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sz. tábla (2)" sheetId="184" r:id="rId16"/>
    <sheet name="11. sz. tábla " sheetId="171" r:id="rId17"/>
  </sheets>
  <externalReferences>
    <externalReference r:id="rId18"/>
    <externalReference r:id="rId19"/>
    <externalReference r:id="rId20"/>
    <externalReference r:id="rId21"/>
    <externalReference r:id="rId22"/>
  </externalReferences>
  <definedNames>
    <definedName name="_xlnm.Print_Area" localSheetId="0">'1.sz.tábla   (2)'!$A$1:$E$55</definedName>
    <definedName name="_xlnm.Print_Area" localSheetId="15">'10.sz. tábla (2)'!$A$1:$G$474</definedName>
    <definedName name="_xlnm.Print_Area" localSheetId="16">'11. sz. tábla '!$A$1:$N$54</definedName>
    <definedName name="_xlnm.Print_Area" localSheetId="2">'2.a tábla ÚJ '!$A$1:$V$60</definedName>
    <definedName name="_xlnm.Print_Area" localSheetId="1">'2.sz.tábla   (2)'!$A$1:$Q$94</definedName>
    <definedName name="_xlnm.Print_Area" localSheetId="3">'2b. tábla 2020. (2)'!$A$1:$M$93</definedName>
    <definedName name="_xlnm.Print_Area" localSheetId="4">'2c. tábla 2020. (2)'!$A$1:$P$120</definedName>
    <definedName name="_xlnm.Print_Area" localSheetId="5">'3.sz. tábla  (2)'!$A$1:$AI$16</definedName>
    <definedName name="_xlnm.Print_Area" localSheetId="6">'4.sz.tábla '!$A$1:$AY$13</definedName>
    <definedName name="_xlnm.Print_Area" localSheetId="8">'5.tábla (2)'!$A$1:$E$148</definedName>
    <definedName name="_xlnm.Print_Area" localSheetId="9">'5b. sz. tábla  (2)'!$A$2:$E$80</definedName>
    <definedName name="_xlnm.Print_Area" localSheetId="10">'6.sz.tábla  (3)'!$A$1:$E$120</definedName>
    <definedName name="_xlnm.Print_Area" localSheetId="11">'7. sz. tábla 1'!$A$4:$E$250</definedName>
    <definedName name="_xlnm.Print_Area" localSheetId="12">'8. sz. tábla  (3)'!$A$1:$J$61</definedName>
    <definedName name="_xlnm.Print_Area" localSheetId="13">'8a. sz. tábla  (4)'!$A$2:$H$62</definedName>
    <definedName name="_xlnm.Print_Area" localSheetId="14">'9. sz. tábla (2)'!$A$1:$J$95</definedName>
    <definedName name="onev" localSheetId="3">[1]kod!$BT$34:$BT$3186</definedName>
    <definedName name="onev" localSheetId="4">[1]kod!$BT$34:$BT$3186</definedName>
    <definedName name="onev">[2]kod!$BT$34:$BT$3186</definedName>
  </definedNames>
  <calcPr calcId="144525"/>
</workbook>
</file>

<file path=xl/calcChain.xml><?xml version="1.0" encoding="utf-8"?>
<calcChain xmlns="http://schemas.openxmlformats.org/spreadsheetml/2006/main">
  <c r="E90" i="149" l="1"/>
  <c r="M28" i="171" l="1"/>
  <c r="L28" i="171"/>
  <c r="M29" i="171"/>
  <c r="B29" i="171"/>
  <c r="D90" i="149" l="1"/>
  <c r="D40" i="148"/>
  <c r="E55" i="148"/>
  <c r="E467" i="184" l="1"/>
  <c r="C437" i="184"/>
  <c r="G447" i="184"/>
  <c r="C445" i="184"/>
  <c r="G444" i="184" s="1"/>
  <c r="C444" i="184"/>
  <c r="C448" i="184"/>
  <c r="C447" i="184"/>
  <c r="F447" i="184"/>
  <c r="F444" i="184"/>
  <c r="F443" i="184"/>
  <c r="F442" i="184"/>
  <c r="D417" i="184"/>
  <c r="D418" i="184"/>
  <c r="F419" i="184"/>
  <c r="E418" i="184"/>
  <c r="E417" i="184"/>
  <c r="E419" i="184"/>
  <c r="B390" i="184"/>
  <c r="F399" i="184"/>
  <c r="B400" i="184"/>
  <c r="B399" i="184"/>
  <c r="E399" i="184"/>
  <c r="C368" i="184"/>
  <c r="G377" i="184"/>
  <c r="F377" i="184"/>
  <c r="G374" i="184"/>
  <c r="F374" i="184"/>
  <c r="F355" i="184"/>
  <c r="F313" i="184"/>
  <c r="E313" i="184"/>
  <c r="F310" i="184"/>
  <c r="E310" i="184"/>
  <c r="G291" i="184"/>
  <c r="F291" i="184"/>
  <c r="G288" i="184"/>
  <c r="F288" i="184"/>
  <c r="G268" i="184"/>
  <c r="F268" i="184"/>
  <c r="G265" i="184"/>
  <c r="F265" i="184"/>
  <c r="E233" i="184"/>
  <c r="E234" i="184"/>
  <c r="D235" i="184"/>
  <c r="D242" i="184"/>
  <c r="D245" i="184"/>
  <c r="D244" i="184"/>
  <c r="F244" i="184"/>
  <c r="F241" i="184"/>
  <c r="E217" i="184"/>
  <c r="G217" i="184"/>
  <c r="E216" i="184"/>
  <c r="G216" i="184"/>
  <c r="E215" i="184"/>
  <c r="G215" i="184"/>
  <c r="F195" i="184"/>
  <c r="F194" i="184"/>
  <c r="F193" i="184"/>
  <c r="E177" i="184"/>
  <c r="E176" i="184"/>
  <c r="G150" i="184"/>
  <c r="G149" i="184"/>
  <c r="G148" i="184"/>
  <c r="G127" i="184"/>
  <c r="G130" i="184"/>
  <c r="F130" i="184"/>
  <c r="F127" i="184"/>
  <c r="D97" i="184"/>
  <c r="D98" i="184"/>
  <c r="D104" i="184"/>
  <c r="D105" i="184"/>
  <c r="F107" i="184"/>
  <c r="D109" i="184"/>
  <c r="F104" i="184"/>
  <c r="D103" i="184"/>
  <c r="F103" i="184"/>
  <c r="D102" i="184"/>
  <c r="F102" i="184"/>
  <c r="F80" i="184"/>
  <c r="F62" i="184"/>
  <c r="F58" i="184"/>
  <c r="F59" i="184"/>
  <c r="F60" i="184"/>
  <c r="D29" i="184"/>
  <c r="D42" i="184"/>
  <c r="F42" i="184" s="1"/>
  <c r="D41" i="184"/>
  <c r="F41" i="184"/>
  <c r="F39" i="184"/>
  <c r="F38" i="184"/>
  <c r="F37" i="184"/>
  <c r="F36" i="184"/>
  <c r="F19" i="184"/>
  <c r="D16" i="184"/>
  <c r="F16" i="184"/>
  <c r="D15" i="184"/>
  <c r="F15" i="184"/>
  <c r="F17" i="184"/>
  <c r="C196" i="184"/>
  <c r="C195" i="184"/>
  <c r="C194" i="184"/>
  <c r="C193" i="184"/>
  <c r="I41" i="170" l="1"/>
  <c r="M38" i="171" l="1"/>
  <c r="M45" i="171"/>
  <c r="H31" i="171" l="1"/>
  <c r="H30" i="171"/>
  <c r="M10" i="171"/>
  <c r="M33" i="171"/>
  <c r="M35" i="171"/>
  <c r="M37" i="171"/>
  <c r="M42" i="171"/>
  <c r="M48" i="171"/>
  <c r="E48" i="171"/>
  <c r="E41" i="171"/>
  <c r="H7" i="167"/>
  <c r="I45" i="170"/>
  <c r="H40" i="170"/>
  <c r="H39" i="170"/>
  <c r="D9" i="155"/>
  <c r="D19" i="155"/>
  <c r="E20" i="155"/>
  <c r="E21" i="155"/>
  <c r="E11" i="155"/>
  <c r="O118" i="166" l="1"/>
  <c r="O93" i="166"/>
  <c r="O90" i="166"/>
  <c r="O83" i="166"/>
  <c r="O78" i="166"/>
  <c r="O61" i="166"/>
  <c r="O48" i="166"/>
  <c r="O36" i="166"/>
  <c r="O25" i="166"/>
  <c r="O14" i="166"/>
  <c r="N114" i="166"/>
  <c r="P114" i="166" s="1"/>
  <c r="O120" i="166" l="1"/>
  <c r="L6" i="154"/>
  <c r="D28" i="155"/>
  <c r="L8" i="154"/>
  <c r="L7" i="154"/>
  <c r="G238" i="157"/>
  <c r="D31" i="148"/>
  <c r="E48" i="148" l="1"/>
  <c r="E203" i="157"/>
  <c r="E204" i="157"/>
  <c r="C59" i="183"/>
  <c r="C48" i="183"/>
  <c r="C40" i="183"/>
  <c r="E164" i="157" l="1"/>
  <c r="E165" i="157"/>
  <c r="E166" i="157"/>
  <c r="E167" i="157"/>
  <c r="E118" i="157"/>
  <c r="D184" i="157" l="1"/>
  <c r="L47" i="150" l="1"/>
  <c r="H48" i="150"/>
  <c r="D48" i="150"/>
  <c r="U47" i="150"/>
  <c r="C44" i="148"/>
  <c r="H38" i="158" s="1"/>
  <c r="D11" i="134"/>
  <c r="C205" i="157"/>
  <c r="C119" i="183"/>
  <c r="C48" i="155"/>
  <c r="C63" i="155"/>
  <c r="C90" i="155"/>
  <c r="C89" i="155"/>
  <c r="C31" i="155"/>
  <c r="C28" i="155"/>
  <c r="D77" i="149"/>
  <c r="L6" i="167"/>
  <c r="L43" i="167"/>
  <c r="L40" i="167" s="1"/>
  <c r="L70" i="167"/>
  <c r="M39" i="167"/>
  <c r="M41" i="167"/>
  <c r="M42" i="167"/>
  <c r="M69" i="167"/>
  <c r="M11" i="167"/>
  <c r="M14" i="167"/>
  <c r="M16" i="167"/>
  <c r="M18" i="167"/>
  <c r="M21" i="167"/>
  <c r="M24" i="167"/>
  <c r="M29" i="167"/>
  <c r="I10" i="167"/>
  <c r="K10" i="167" s="1"/>
  <c r="M10" i="167" s="1"/>
  <c r="M82" i="167" l="1"/>
  <c r="L76" i="167"/>
  <c r="L93" i="167" s="1"/>
  <c r="D31" i="155" l="1"/>
  <c r="D41" i="170" l="1"/>
  <c r="N10" i="171" l="1"/>
  <c r="D55" i="170"/>
  <c r="D42" i="170"/>
  <c r="E121" i="155"/>
  <c r="E118" i="155"/>
  <c r="E119" i="155"/>
  <c r="E120" i="155"/>
  <c r="E98" i="155"/>
  <c r="D63" i="155"/>
  <c r="D48" i="155"/>
  <c r="E62" i="155"/>
  <c r="E75" i="155"/>
  <c r="E45" i="156"/>
  <c r="E37" i="156"/>
  <c r="D121" i="183"/>
  <c r="E118" i="183"/>
  <c r="D119" i="183"/>
  <c r="E39" i="183"/>
  <c r="D40" i="183"/>
  <c r="E225" i="157"/>
  <c r="E226" i="157"/>
  <c r="E202" i="157"/>
  <c r="E113" i="157"/>
  <c r="E162" i="157"/>
  <c r="E161" i="157"/>
  <c r="E160" i="157"/>
  <c r="E159" i="157"/>
  <c r="E155" i="157"/>
  <c r="E156" i="157"/>
  <c r="E157" i="157"/>
  <c r="E158" i="157"/>
  <c r="E163" i="157"/>
  <c r="E136" i="157"/>
  <c r="E134" i="157"/>
  <c r="E133" i="157"/>
  <c r="E132" i="157"/>
  <c r="E116" i="157"/>
  <c r="E117" i="157"/>
  <c r="D198" i="184"/>
  <c r="D195" i="184" l="1"/>
  <c r="D194" i="184"/>
  <c r="D193" i="184"/>
  <c r="D189" i="184"/>
  <c r="D186" i="184"/>
  <c r="E186" i="184" s="1"/>
  <c r="C189" i="184"/>
  <c r="C190" i="184" s="1"/>
  <c r="E196" i="184"/>
  <c r="C201" i="184"/>
  <c r="D177" i="184"/>
  <c r="B201" i="184"/>
  <c r="E200" i="184"/>
  <c r="E199" i="184"/>
  <c r="E198" i="184"/>
  <c r="E197" i="184"/>
  <c r="E195" i="184"/>
  <c r="E194" i="184"/>
  <c r="B190" i="184"/>
  <c r="E187" i="184"/>
  <c r="F209" i="184"/>
  <c r="E210" i="184"/>
  <c r="F210" i="184" s="1"/>
  <c r="E211" i="184"/>
  <c r="F211" i="184" s="1"/>
  <c r="B212" i="184"/>
  <c r="C212" i="184"/>
  <c r="D212" i="184"/>
  <c r="F215" i="184"/>
  <c r="F216" i="184"/>
  <c r="F217" i="184"/>
  <c r="E218" i="184"/>
  <c r="F218" i="184" s="1"/>
  <c r="F219" i="184"/>
  <c r="B220" i="184"/>
  <c r="C220" i="184"/>
  <c r="D220" i="184"/>
  <c r="C164" i="184"/>
  <c r="E189" i="184" l="1"/>
  <c r="D201" i="184"/>
  <c r="E193" i="184"/>
  <c r="E201" i="184" s="1"/>
  <c r="F201" i="184" s="1"/>
  <c r="F220" i="184"/>
  <c r="E212" i="184"/>
  <c r="D190" i="184"/>
  <c r="E220" i="184"/>
  <c r="F212" i="184"/>
  <c r="E188" i="184" l="1"/>
  <c r="E190" i="184" s="1"/>
  <c r="F190" i="184" s="1"/>
  <c r="E43" i="148"/>
  <c r="E45" i="148"/>
  <c r="E54" i="148"/>
  <c r="B17" i="155" l="1"/>
  <c r="E22" i="155"/>
  <c r="C17" i="155"/>
  <c r="C7" i="155"/>
  <c r="D7" i="155"/>
  <c r="B7" i="155"/>
  <c r="B10" i="154" s="1"/>
  <c r="E10" i="155"/>
  <c r="E12" i="155"/>
  <c r="K47" i="171" l="1"/>
  <c r="L47" i="171"/>
  <c r="M47" i="171"/>
  <c r="E14" i="134" l="1"/>
  <c r="F18" i="134"/>
  <c r="AW7" i="154"/>
  <c r="AE10" i="153"/>
  <c r="AF10" i="153"/>
  <c r="AW8" i="154"/>
  <c r="M92" i="166" l="1"/>
  <c r="J76" i="167" l="1"/>
  <c r="M118" i="166"/>
  <c r="J88" i="167"/>
  <c r="K91" i="167"/>
  <c r="M91" i="167" s="1"/>
  <c r="K90" i="167" l="1"/>
  <c r="M90" i="167" s="1"/>
  <c r="K89" i="167"/>
  <c r="M89" i="167" s="1"/>
  <c r="K88" i="167" l="1"/>
  <c r="C23" i="149" s="1"/>
  <c r="O23" i="149" s="1"/>
  <c r="C51" i="148"/>
  <c r="C40" i="148" s="1"/>
  <c r="O90" i="149"/>
  <c r="O89" i="149"/>
  <c r="O88" i="149"/>
  <c r="O87" i="149"/>
  <c r="O86" i="149"/>
  <c r="O85" i="149"/>
  <c r="O83" i="149"/>
  <c r="O82" i="149"/>
  <c r="O81" i="149"/>
  <c r="O73" i="149"/>
  <c r="O72" i="149"/>
  <c r="O71" i="149"/>
  <c r="O68" i="149"/>
  <c r="O67" i="149"/>
  <c r="O63" i="149"/>
  <c r="O62" i="149"/>
  <c r="O60" i="149"/>
  <c r="O56" i="149"/>
  <c r="O55" i="149"/>
  <c r="O54" i="149"/>
  <c r="O50" i="149"/>
  <c r="O49" i="149"/>
  <c r="O48" i="149"/>
  <c r="O44" i="149"/>
  <c r="O41" i="149"/>
  <c r="O40" i="149"/>
  <c r="O39" i="149"/>
  <c r="O37" i="149"/>
  <c r="O36" i="149"/>
  <c r="O33" i="149"/>
  <c r="O32" i="149"/>
  <c r="K79" i="149"/>
  <c r="K30" i="149"/>
  <c r="K8" i="149"/>
  <c r="G94" i="149"/>
  <c r="G80" i="149"/>
  <c r="G79" i="149" s="1"/>
  <c r="G78" i="149"/>
  <c r="G77" i="149"/>
  <c r="G70" i="149"/>
  <c r="G66" i="149"/>
  <c r="G61" i="149"/>
  <c r="G58" i="149" s="1"/>
  <c r="G47" i="149"/>
  <c r="G46" i="149"/>
  <c r="O46" i="149" s="1"/>
  <c r="G45" i="149"/>
  <c r="G42" i="149"/>
  <c r="O42" i="149" s="1"/>
  <c r="G22" i="149"/>
  <c r="G20" i="149"/>
  <c r="G8" i="149"/>
  <c r="C94" i="149"/>
  <c r="C93" i="149"/>
  <c r="C84" i="149"/>
  <c r="O84" i="149" s="1"/>
  <c r="C80" i="149"/>
  <c r="C76" i="149"/>
  <c r="T15" i="153" s="1"/>
  <c r="C70" i="149"/>
  <c r="C66" i="149"/>
  <c r="C58" i="149"/>
  <c r="C43" i="149"/>
  <c r="C38" i="149"/>
  <c r="O38" i="149" s="1"/>
  <c r="C35" i="149"/>
  <c r="O35" i="149" s="1"/>
  <c r="C31" i="149"/>
  <c r="O31" i="149" s="1"/>
  <c r="C22" i="149"/>
  <c r="T54" i="150"/>
  <c r="T57" i="150" s="1"/>
  <c r="G93" i="149" s="1"/>
  <c r="T46" i="150"/>
  <c r="T34" i="150"/>
  <c r="G52" i="149"/>
  <c r="T17" i="150"/>
  <c r="T12" i="150"/>
  <c r="O56" i="150"/>
  <c r="K94" i="149" s="1"/>
  <c r="O55" i="150"/>
  <c r="O54" i="150"/>
  <c r="O53" i="150"/>
  <c r="O48" i="150"/>
  <c r="K78" i="149" s="1"/>
  <c r="O47" i="150"/>
  <c r="O43" i="150"/>
  <c r="O42" i="150"/>
  <c r="O41" i="150"/>
  <c r="O40" i="150" s="1"/>
  <c r="O37" i="150"/>
  <c r="O34" i="150" s="1"/>
  <c r="O33" i="150"/>
  <c r="K57" i="149" s="1"/>
  <c r="O57" i="149" s="1"/>
  <c r="O32" i="150"/>
  <c r="O31" i="150"/>
  <c r="O30" i="150"/>
  <c r="O29" i="150"/>
  <c r="K53" i="149" s="1"/>
  <c r="O53" i="149" s="1"/>
  <c r="O28" i="150"/>
  <c r="K52" i="149" s="1"/>
  <c r="O27" i="150"/>
  <c r="K51" i="149" s="1"/>
  <c r="O51" i="149" s="1"/>
  <c r="O26" i="150"/>
  <c r="O25" i="150"/>
  <c r="K47" i="149" s="1"/>
  <c r="O24" i="150"/>
  <c r="O23" i="150"/>
  <c r="O16" i="150"/>
  <c r="K27" i="149" s="1"/>
  <c r="O14" i="150"/>
  <c r="K21" i="149" s="1"/>
  <c r="O21" i="149" s="1"/>
  <c r="O13" i="150"/>
  <c r="O12" i="150" s="1"/>
  <c r="K57" i="150"/>
  <c r="K46" i="150"/>
  <c r="K40" i="150"/>
  <c r="K34" i="150"/>
  <c r="K21" i="150"/>
  <c r="K15" i="150"/>
  <c r="K12" i="150"/>
  <c r="G57" i="150"/>
  <c r="G46" i="150"/>
  <c r="T10" i="153" s="1"/>
  <c r="G40" i="150"/>
  <c r="G34" i="150"/>
  <c r="G21" i="150"/>
  <c r="G15" i="150"/>
  <c r="G12" i="150"/>
  <c r="C57" i="150"/>
  <c r="C46" i="150"/>
  <c r="C34" i="150"/>
  <c r="C21" i="150"/>
  <c r="C15" i="150"/>
  <c r="C12" i="150"/>
  <c r="J32" i="167"/>
  <c r="H32" i="167"/>
  <c r="F32" i="167"/>
  <c r="E33" i="167"/>
  <c r="E34" i="167"/>
  <c r="G34" i="167" s="1"/>
  <c r="I34" i="167" s="1"/>
  <c r="K34" i="167" s="1"/>
  <c r="M34" i="167" s="1"/>
  <c r="E35" i="167"/>
  <c r="G35" i="167" s="1"/>
  <c r="I35" i="167" s="1"/>
  <c r="K35" i="167" s="1"/>
  <c r="M35" i="167" s="1"/>
  <c r="E36" i="167"/>
  <c r="G36" i="167" s="1"/>
  <c r="I36" i="167" s="1"/>
  <c r="K36" i="167" s="1"/>
  <c r="M36" i="167" s="1"/>
  <c r="E37" i="167"/>
  <c r="G37" i="167" s="1"/>
  <c r="I37" i="167" s="1"/>
  <c r="K37" i="167" s="1"/>
  <c r="M37" i="167" s="1"/>
  <c r="J70" i="167"/>
  <c r="J62" i="167"/>
  <c r="J57" i="167"/>
  <c r="J43" i="167"/>
  <c r="K25" i="167"/>
  <c r="K22" i="167"/>
  <c r="K19" i="167"/>
  <c r="M19" i="167" s="1"/>
  <c r="K17" i="167"/>
  <c r="M17" i="167" s="1"/>
  <c r="K15" i="167"/>
  <c r="M15" i="167" s="1"/>
  <c r="J7" i="167"/>
  <c r="J6" i="167" s="1"/>
  <c r="K13" i="166"/>
  <c r="M93" i="166"/>
  <c r="M90" i="166"/>
  <c r="M83" i="166"/>
  <c r="M78" i="166"/>
  <c r="M36" i="166"/>
  <c r="M25" i="166"/>
  <c r="T13" i="153"/>
  <c r="AT8" i="154"/>
  <c r="T10" i="154"/>
  <c r="T9" i="154"/>
  <c r="P9" i="154"/>
  <c r="K9" i="154"/>
  <c r="G9" i="154"/>
  <c r="C10" i="154"/>
  <c r="C9" i="154"/>
  <c r="E22" i="134"/>
  <c r="E24" i="134"/>
  <c r="E25" i="134"/>
  <c r="E26" i="134"/>
  <c r="D26" i="134"/>
  <c r="D25" i="134"/>
  <c r="D24" i="134"/>
  <c r="D22" i="134"/>
  <c r="D14" i="134"/>
  <c r="X7" i="154" s="1"/>
  <c r="AT7" i="154" s="1"/>
  <c r="D7" i="134"/>
  <c r="D6" i="134"/>
  <c r="C143" i="155"/>
  <c r="C126" i="155"/>
  <c r="P12" i="154" s="1"/>
  <c r="C125" i="155"/>
  <c r="C78" i="155"/>
  <c r="G12" i="154"/>
  <c r="C12" i="154"/>
  <c r="C39" i="155"/>
  <c r="X10" i="154" s="1"/>
  <c r="C35" i="155"/>
  <c r="C33" i="155"/>
  <c r="C27" i="155"/>
  <c r="K10" i="154" s="1"/>
  <c r="G10" i="154"/>
  <c r="C13" i="156"/>
  <c r="C146" i="155" s="1"/>
  <c r="C5" i="156"/>
  <c r="C141" i="155" s="1"/>
  <c r="C122" i="183"/>
  <c r="B121" i="183"/>
  <c r="C123" i="183"/>
  <c r="C106" i="183"/>
  <c r="C97" i="183"/>
  <c r="C92" i="183"/>
  <c r="C85" i="183"/>
  <c r="C76" i="183"/>
  <c r="C32" i="183"/>
  <c r="C20" i="183"/>
  <c r="C14" i="183"/>
  <c r="C244" i="157"/>
  <c r="C245" i="157" s="1"/>
  <c r="AK12" i="154" s="1"/>
  <c r="AK13" i="154" s="1"/>
  <c r="C233" i="157"/>
  <c r="C184" i="157"/>
  <c r="C178" i="157"/>
  <c r="C171" i="157"/>
  <c r="C168" i="157"/>
  <c r="C97" i="157"/>
  <c r="K20" i="167" l="1"/>
  <c r="M20" i="167" s="1"/>
  <c r="M22" i="167"/>
  <c r="K23" i="167"/>
  <c r="M23" i="167" s="1"/>
  <c r="M25" i="167"/>
  <c r="M88" i="167"/>
  <c r="D23" i="149" s="1"/>
  <c r="E23" i="149" s="1"/>
  <c r="O70" i="149"/>
  <c r="C197" i="157"/>
  <c r="C237" i="157" s="1"/>
  <c r="AG12" i="154" s="1"/>
  <c r="AG13" i="154" s="1"/>
  <c r="C174" i="157"/>
  <c r="C175" i="157" s="1"/>
  <c r="X12" i="154" s="1"/>
  <c r="C124" i="183"/>
  <c r="T21" i="150"/>
  <c r="T44" i="150" s="1"/>
  <c r="O13" i="153" s="1"/>
  <c r="O80" i="149"/>
  <c r="O79" i="149" s="1"/>
  <c r="C79" i="149"/>
  <c r="C91" i="149" s="1"/>
  <c r="G7" i="149"/>
  <c r="C136" i="155"/>
  <c r="T12" i="154" s="1"/>
  <c r="D5" i="134"/>
  <c r="X6" i="154" s="1"/>
  <c r="X9" i="154" s="1"/>
  <c r="X11" i="154" s="1"/>
  <c r="O15" i="150"/>
  <c r="O57" i="150"/>
  <c r="K93" i="149" s="1"/>
  <c r="O93" i="149" s="1"/>
  <c r="O21" i="150"/>
  <c r="G30" i="149"/>
  <c r="E32" i="167"/>
  <c r="B10" i="149" s="1"/>
  <c r="G43" i="149"/>
  <c r="O52" i="149"/>
  <c r="O94" i="149"/>
  <c r="O47" i="149"/>
  <c r="K22" i="149"/>
  <c r="O27" i="149"/>
  <c r="O22" i="149" s="1"/>
  <c r="O78" i="149"/>
  <c r="J5" i="167"/>
  <c r="G33" i="167"/>
  <c r="O46" i="150"/>
  <c r="C34" i="149"/>
  <c r="O34" i="149" s="1"/>
  <c r="K20" i="149"/>
  <c r="O20" i="149" s="1"/>
  <c r="K69" i="149"/>
  <c r="C120" i="183"/>
  <c r="C80" i="156"/>
  <c r="C44" i="150"/>
  <c r="O9" i="153" s="1"/>
  <c r="G44" i="150"/>
  <c r="O10" i="153" s="1"/>
  <c r="K44" i="150"/>
  <c r="O11" i="153" s="1"/>
  <c r="G76" i="149"/>
  <c r="G91" i="149" s="1"/>
  <c r="K45" i="149"/>
  <c r="K43" i="149" s="1"/>
  <c r="K61" i="149"/>
  <c r="K77" i="149"/>
  <c r="K76" i="149" s="1"/>
  <c r="K75" i="149" s="1"/>
  <c r="C77" i="155"/>
  <c r="G11" i="154"/>
  <c r="C38" i="155"/>
  <c r="C44" i="155" s="1"/>
  <c r="D21" i="134"/>
  <c r="C11" i="154"/>
  <c r="C13" i="154" s="1"/>
  <c r="K11" i="154"/>
  <c r="P10" i="154"/>
  <c r="AT10" i="154" s="1"/>
  <c r="T11" i="154"/>
  <c r="T11" i="153"/>
  <c r="T9" i="153"/>
  <c r="J40" i="167"/>
  <c r="M14" i="166"/>
  <c r="M48" i="166"/>
  <c r="M61" i="166"/>
  <c r="C248" i="157"/>
  <c r="C247" i="157"/>
  <c r="K12" i="154" l="1"/>
  <c r="C148" i="155"/>
  <c r="D22" i="149"/>
  <c r="D23" i="170" s="1"/>
  <c r="G74" i="149"/>
  <c r="G92" i="149" s="1"/>
  <c r="J93" i="167"/>
  <c r="K50" i="150"/>
  <c r="G75" i="149"/>
  <c r="AT6" i="154"/>
  <c r="AT9" i="154" s="1"/>
  <c r="AT11" i="154" s="1"/>
  <c r="O43" i="149"/>
  <c r="C238" i="157"/>
  <c r="T13" i="154"/>
  <c r="T12" i="153"/>
  <c r="T14" i="153" s="1"/>
  <c r="T16" i="153" s="1"/>
  <c r="G50" i="150"/>
  <c r="X15" i="153"/>
  <c r="X16" i="153" s="1"/>
  <c r="X13" i="154"/>
  <c r="K7" i="149"/>
  <c r="C75" i="149"/>
  <c r="D27" i="134"/>
  <c r="K91" i="149"/>
  <c r="O91" i="149" s="1"/>
  <c r="T50" i="150"/>
  <c r="T45" i="150" s="1"/>
  <c r="T51" i="150" s="1"/>
  <c r="O12" i="153"/>
  <c r="O14" i="153" s="1"/>
  <c r="O76" i="149"/>
  <c r="O75" i="149" s="1"/>
  <c r="K66" i="149"/>
  <c r="O69" i="149"/>
  <c r="O66" i="149" s="1"/>
  <c r="C30" i="149"/>
  <c r="I33" i="167"/>
  <c r="G32" i="167"/>
  <c r="K58" i="149"/>
  <c r="O61" i="149"/>
  <c r="O58" i="149" s="1"/>
  <c r="O44" i="150"/>
  <c r="O77" i="149"/>
  <c r="O45" i="149"/>
  <c r="K13" i="154"/>
  <c r="P11" i="154"/>
  <c r="P13" i="154" s="1"/>
  <c r="M120" i="166"/>
  <c r="C250" i="157"/>
  <c r="AC12" i="154" s="1"/>
  <c r="AC13" i="154" s="1"/>
  <c r="K45" i="150" l="1"/>
  <c r="K51" i="150" s="1"/>
  <c r="G45" i="150"/>
  <c r="G51" i="150" s="1"/>
  <c r="C50" i="150"/>
  <c r="O30" i="149"/>
  <c r="K74" i="149"/>
  <c r="K92" i="149" s="1"/>
  <c r="K33" i="167"/>
  <c r="M33" i="167" s="1"/>
  <c r="C45" i="150" l="1"/>
  <c r="C51" i="150" s="1"/>
  <c r="O50" i="150"/>
  <c r="O45" i="150" l="1"/>
  <c r="O51" i="150" s="1"/>
  <c r="G41" i="170"/>
  <c r="G40" i="170"/>
  <c r="G39" i="170"/>
  <c r="C23" i="170" l="1"/>
  <c r="D89" i="155" l="1"/>
  <c r="D90" i="155"/>
  <c r="I55" i="170" l="1"/>
  <c r="I14" i="170"/>
  <c r="H15" i="170"/>
  <c r="H9" i="170"/>
  <c r="J47" i="171" l="1"/>
  <c r="E30" i="184"/>
  <c r="E31" i="184"/>
  <c r="D39" i="184"/>
  <c r="D32" i="184" s="1"/>
  <c r="E32" i="184" s="1"/>
  <c r="D36" i="184"/>
  <c r="D37" i="184"/>
  <c r="E194" i="157"/>
  <c r="E195" i="157"/>
  <c r="D178" i="157"/>
  <c r="E181" i="157"/>
  <c r="E182" i="157"/>
  <c r="E152" i="157"/>
  <c r="E153" i="157"/>
  <c r="E154" i="157"/>
  <c r="E122" i="157"/>
  <c r="E123" i="157"/>
  <c r="D122" i="183"/>
  <c r="D248" i="157" s="1"/>
  <c r="D247" i="157"/>
  <c r="E112" i="183"/>
  <c r="D5" i="156"/>
  <c r="D141" i="155" s="1"/>
  <c r="E12" i="156"/>
  <c r="E122" i="155"/>
  <c r="C34" i="169" l="1"/>
  <c r="D26" i="170" s="1"/>
  <c r="I15" i="170"/>
  <c r="I60" i="170"/>
  <c r="I29" i="170" s="1"/>
  <c r="E39" i="184"/>
  <c r="D38" i="184"/>
  <c r="I10" i="170"/>
  <c r="E74" i="155"/>
  <c r="I9" i="170"/>
  <c r="K9" i="170" s="1"/>
  <c r="E61" i="155"/>
  <c r="E33" i="149"/>
  <c r="E32" i="149"/>
  <c r="H83" i="167"/>
  <c r="K115" i="166" s="1"/>
  <c r="D51" i="148"/>
  <c r="D43" i="184" l="1"/>
  <c r="L21" i="150" l="1"/>
  <c r="L57" i="150" l="1"/>
  <c r="B39" i="170"/>
  <c r="AX7" i="154" l="1"/>
  <c r="H57" i="150" l="1"/>
  <c r="AU8" i="154" l="1"/>
  <c r="U57" i="150" l="1"/>
  <c r="D57" i="150"/>
  <c r="K22" i="166" l="1"/>
  <c r="K92" i="166"/>
  <c r="K88" i="166"/>
  <c r="K87" i="166"/>
  <c r="K76" i="166"/>
  <c r="K75" i="166"/>
  <c r="K57" i="166"/>
  <c r="K56" i="166"/>
  <c r="H78" i="167"/>
  <c r="H80" i="167"/>
  <c r="H77" i="167"/>
  <c r="K78" i="166" l="1"/>
  <c r="L37" i="166" l="1"/>
  <c r="N37" i="166" s="1"/>
  <c r="P37" i="166" s="1"/>
  <c r="K60" i="166"/>
  <c r="K61" i="166" s="1"/>
  <c r="L89" i="166"/>
  <c r="N89" i="166" s="1"/>
  <c r="P89" i="166" s="1"/>
  <c r="K90" i="166"/>
  <c r="L108" i="166"/>
  <c r="N108" i="166" s="1"/>
  <c r="P108" i="166" s="1"/>
  <c r="L109" i="166"/>
  <c r="N109" i="166" s="1"/>
  <c r="P109" i="166" s="1"/>
  <c r="L110" i="166"/>
  <c r="N110" i="166" s="1"/>
  <c r="P110" i="166" s="1"/>
  <c r="L111" i="166"/>
  <c r="N111" i="166" s="1"/>
  <c r="P111" i="166" s="1"/>
  <c r="L112" i="166"/>
  <c r="N112" i="166" s="1"/>
  <c r="P112" i="166" s="1"/>
  <c r="L115" i="166"/>
  <c r="N115" i="166" s="1"/>
  <c r="P115" i="166" s="1"/>
  <c r="K113" i="166"/>
  <c r="L113" i="166" s="1"/>
  <c r="N113" i="166" s="1"/>
  <c r="P113" i="166" s="1"/>
  <c r="K83" i="166"/>
  <c r="L82" i="166"/>
  <c r="N82" i="166" s="1"/>
  <c r="P82" i="166" s="1"/>
  <c r="K47" i="166"/>
  <c r="K35" i="166"/>
  <c r="L35" i="166" s="1"/>
  <c r="N35" i="166" s="1"/>
  <c r="P35" i="166" s="1"/>
  <c r="K24" i="166"/>
  <c r="K25" i="166" s="1"/>
  <c r="L12" i="166"/>
  <c r="N12" i="166" s="1"/>
  <c r="P12" i="166" s="1"/>
  <c r="L13" i="166"/>
  <c r="N13" i="166" s="1"/>
  <c r="P13" i="166" s="1"/>
  <c r="L46" i="166"/>
  <c r="N46" i="166" s="1"/>
  <c r="P46" i="166" s="1"/>
  <c r="L77" i="166"/>
  <c r="N77" i="166" s="1"/>
  <c r="P77" i="166" s="1"/>
  <c r="L58" i="166"/>
  <c r="N58" i="166" s="1"/>
  <c r="P58" i="166" s="1"/>
  <c r="L59" i="166"/>
  <c r="N59" i="166" s="1"/>
  <c r="P59" i="166" s="1"/>
  <c r="K14" i="166" l="1"/>
  <c r="K36" i="166"/>
  <c r="L24" i="166"/>
  <c r="N24" i="166" s="1"/>
  <c r="P24" i="166" s="1"/>
  <c r="K118" i="166"/>
  <c r="L60" i="166"/>
  <c r="N60" i="166" s="1"/>
  <c r="P60" i="166" s="1"/>
  <c r="L47" i="166"/>
  <c r="N47" i="166" s="1"/>
  <c r="P47" i="166" s="1"/>
  <c r="K48" i="166"/>
  <c r="L34" i="166"/>
  <c r="N34" i="166" s="1"/>
  <c r="P34" i="166" s="1"/>
  <c r="L23" i="166"/>
  <c r="N23" i="166" s="1"/>
  <c r="P23" i="166" s="1"/>
  <c r="H62" i="167" l="1"/>
  <c r="I67" i="167" l="1"/>
  <c r="K67" i="167" s="1"/>
  <c r="M67" i="167" s="1"/>
  <c r="H76" i="167"/>
  <c r="I83" i="167"/>
  <c r="K83" i="167" s="1"/>
  <c r="M83" i="167" s="1"/>
  <c r="I72" i="167"/>
  <c r="K72" i="167" s="1"/>
  <c r="M72" i="167" s="1"/>
  <c r="I73" i="167"/>
  <c r="K73" i="167" s="1"/>
  <c r="M73" i="167" s="1"/>
  <c r="I74" i="167"/>
  <c r="K74" i="167" s="1"/>
  <c r="M74" i="167" s="1"/>
  <c r="H70" i="167"/>
  <c r="H43" i="167"/>
  <c r="I55" i="167"/>
  <c r="K55" i="167" s="1"/>
  <c r="M55" i="167" s="1"/>
  <c r="I46" i="167"/>
  <c r="K46" i="167" s="1"/>
  <c r="M46" i="167" s="1"/>
  <c r="F43" i="167"/>
  <c r="H57" i="167"/>
  <c r="I61" i="167"/>
  <c r="K61" i="167" s="1"/>
  <c r="M61" i="167" s="1"/>
  <c r="H6" i="167"/>
  <c r="H5" i="167" s="1"/>
  <c r="F62" i="167"/>
  <c r="G65" i="167"/>
  <c r="I65" i="167" s="1"/>
  <c r="K65" i="167" s="1"/>
  <c r="M65" i="167" s="1"/>
  <c r="E64" i="167"/>
  <c r="G64" i="167" s="1"/>
  <c r="I64" i="167" s="1"/>
  <c r="K64" i="167" s="1"/>
  <c r="M64" i="167" s="1"/>
  <c r="E63" i="167"/>
  <c r="G63" i="167" s="1"/>
  <c r="I63" i="167" s="1"/>
  <c r="K63" i="167" s="1"/>
  <c r="M63" i="167" s="1"/>
  <c r="C45" i="167"/>
  <c r="G44" i="167"/>
  <c r="I44" i="167" s="1"/>
  <c r="K44" i="167" s="1"/>
  <c r="M44" i="167" s="1"/>
  <c r="G45" i="167"/>
  <c r="I45" i="167" s="1"/>
  <c r="K45" i="167" s="1"/>
  <c r="M45" i="167" s="1"/>
  <c r="E47" i="167"/>
  <c r="E48" i="167"/>
  <c r="G48" i="167" s="1"/>
  <c r="I48" i="167" s="1"/>
  <c r="K48" i="167" s="1"/>
  <c r="M48" i="167" s="1"/>
  <c r="E49" i="167"/>
  <c r="G49" i="167" s="1"/>
  <c r="I49" i="167" s="1"/>
  <c r="K49" i="167" s="1"/>
  <c r="M49" i="167" s="1"/>
  <c r="E50" i="167"/>
  <c r="G50" i="167" s="1"/>
  <c r="I50" i="167" s="1"/>
  <c r="K50" i="167" s="1"/>
  <c r="M50" i="167" s="1"/>
  <c r="E52" i="167"/>
  <c r="G52" i="167" s="1"/>
  <c r="I52" i="167" s="1"/>
  <c r="K52" i="167" s="1"/>
  <c r="M52" i="167" s="1"/>
  <c r="E53" i="167"/>
  <c r="G53" i="167" s="1"/>
  <c r="I53" i="167" s="1"/>
  <c r="K53" i="167" s="1"/>
  <c r="M53" i="167" s="1"/>
  <c r="E54" i="167"/>
  <c r="G54" i="167" s="1"/>
  <c r="I54" i="167" s="1"/>
  <c r="K54" i="167" s="1"/>
  <c r="M54" i="167" s="1"/>
  <c r="G56" i="167"/>
  <c r="I56" i="167" s="1"/>
  <c r="K56" i="167" s="1"/>
  <c r="M56" i="167" s="1"/>
  <c r="F57" i="167"/>
  <c r="E58" i="167"/>
  <c r="G58" i="167" s="1"/>
  <c r="I58" i="167" s="1"/>
  <c r="K58" i="167" s="1"/>
  <c r="M58" i="167" s="1"/>
  <c r="G59" i="167"/>
  <c r="I59" i="167" s="1"/>
  <c r="K59" i="167" s="1"/>
  <c r="M59" i="167" s="1"/>
  <c r="E60" i="167"/>
  <c r="G60" i="167" s="1"/>
  <c r="I60" i="167" s="1"/>
  <c r="K60" i="167" s="1"/>
  <c r="M60" i="167" s="1"/>
  <c r="G66" i="167"/>
  <c r="I66" i="167" s="1"/>
  <c r="K66" i="167" s="1"/>
  <c r="M66" i="167" s="1"/>
  <c r="G47" i="167" l="1"/>
  <c r="F40" i="167"/>
  <c r="E62" i="167"/>
  <c r="G62" i="167" s="1"/>
  <c r="I62" i="167" s="1"/>
  <c r="K62" i="167" s="1"/>
  <c r="M62" i="167" s="1"/>
  <c r="H40" i="167"/>
  <c r="H93" i="167" s="1"/>
  <c r="I47" i="167"/>
  <c r="K47" i="167" s="1"/>
  <c r="M47" i="167" s="1"/>
  <c r="E51" i="167"/>
  <c r="G51" i="167" s="1"/>
  <c r="I51" i="167" s="1"/>
  <c r="K51" i="167" s="1"/>
  <c r="M51" i="167" s="1"/>
  <c r="E57" i="167"/>
  <c r="G57" i="167" s="1"/>
  <c r="I57" i="167" s="1"/>
  <c r="K57" i="167" s="1"/>
  <c r="M57" i="167" s="1"/>
  <c r="E43" i="167" l="1"/>
  <c r="E40" i="167" s="1"/>
  <c r="B11" i="149" s="1"/>
  <c r="K43" i="167"/>
  <c r="I43" i="167"/>
  <c r="I40" i="167" s="1"/>
  <c r="G43" i="167"/>
  <c r="G40" i="167" s="1"/>
  <c r="K40" i="167" l="1"/>
  <c r="C11" i="149" s="1"/>
  <c r="O11" i="149" s="1"/>
  <c r="M43" i="167"/>
  <c r="I38" i="167"/>
  <c r="I9" i="167"/>
  <c r="K9" i="167" s="1"/>
  <c r="M9" i="167" s="1"/>
  <c r="M40" i="167" l="1"/>
  <c r="D11" i="149" s="1"/>
  <c r="K38" i="167"/>
  <c r="I32" i="167"/>
  <c r="H77" i="149"/>
  <c r="C83" i="170" s="1"/>
  <c r="H78" i="149"/>
  <c r="D9" i="154"/>
  <c r="D10" i="154"/>
  <c r="H9" i="154"/>
  <c r="L9" i="154"/>
  <c r="Q9" i="154"/>
  <c r="C91" i="170" l="1"/>
  <c r="C32" i="170" s="1"/>
  <c r="K32" i="167"/>
  <c r="C10" i="149" s="1"/>
  <c r="O10" i="149" s="1"/>
  <c r="M38" i="167"/>
  <c r="D11" i="154"/>
  <c r="F8" i="169" s="1"/>
  <c r="O33" i="171"/>
  <c r="G37" i="169"/>
  <c r="G13" i="169"/>
  <c r="C43" i="169"/>
  <c r="C21" i="169"/>
  <c r="C23" i="169"/>
  <c r="C25" i="169"/>
  <c r="E11" i="158"/>
  <c r="E12" i="158"/>
  <c r="E13" i="158"/>
  <c r="E14" i="158"/>
  <c r="E15" i="158"/>
  <c r="E16" i="158"/>
  <c r="E22" i="158"/>
  <c r="E23" i="158"/>
  <c r="E33" i="158"/>
  <c r="E34" i="158"/>
  <c r="E35" i="158"/>
  <c r="E36" i="158"/>
  <c r="E37" i="158"/>
  <c r="E38" i="158"/>
  <c r="E40" i="158"/>
  <c r="J42" i="158"/>
  <c r="J44" i="158"/>
  <c r="J45" i="158"/>
  <c r="J18" i="158"/>
  <c r="J21" i="158"/>
  <c r="J22" i="158"/>
  <c r="J24" i="158"/>
  <c r="U10" i="154"/>
  <c r="U9" i="154"/>
  <c r="G15" i="170" s="1"/>
  <c r="E42" i="148"/>
  <c r="E46" i="148"/>
  <c r="E47" i="148"/>
  <c r="E49" i="148"/>
  <c r="E50" i="148"/>
  <c r="E51" i="148"/>
  <c r="E52" i="148"/>
  <c r="E53" i="148"/>
  <c r="E41" i="148"/>
  <c r="D44" i="148"/>
  <c r="I12" i="158"/>
  <c r="I23" i="158"/>
  <c r="I36" i="158"/>
  <c r="I43" i="158"/>
  <c r="I41" i="158" s="1"/>
  <c r="I57" i="158" s="1"/>
  <c r="E249" i="157"/>
  <c r="D244" i="157"/>
  <c r="E243" i="157"/>
  <c r="E242" i="157"/>
  <c r="E241" i="157"/>
  <c r="E236" i="157"/>
  <c r="E235" i="157"/>
  <c r="E234" i="157"/>
  <c r="D233" i="157"/>
  <c r="E232" i="157"/>
  <c r="E231" i="157"/>
  <c r="E230" i="157"/>
  <c r="E229" i="157"/>
  <c r="E228" i="157"/>
  <c r="E227" i="157"/>
  <c r="E224" i="157"/>
  <c r="E223" i="157"/>
  <c r="E222" i="157"/>
  <c r="E221" i="157"/>
  <c r="E220" i="157"/>
  <c r="E219" i="157"/>
  <c r="E218" i="157"/>
  <c r="E217" i="157"/>
  <c r="E216" i="157"/>
  <c r="E215" i="157"/>
  <c r="E214" i="157"/>
  <c r="E213" i="157"/>
  <c r="E212" i="157"/>
  <c r="E209" i="157"/>
  <c r="E208" i="157"/>
  <c r="E207" i="157"/>
  <c r="E206" i="157"/>
  <c r="D205" i="157"/>
  <c r="E201" i="157"/>
  <c r="E200" i="157"/>
  <c r="E199" i="157"/>
  <c r="E198" i="157"/>
  <c r="E193" i="157"/>
  <c r="E192" i="157"/>
  <c r="E191" i="157"/>
  <c r="E190" i="157"/>
  <c r="E189" i="157"/>
  <c r="E188" i="157"/>
  <c r="E187" i="157"/>
  <c r="E186" i="157"/>
  <c r="E185" i="157"/>
  <c r="I35" i="158"/>
  <c r="E180" i="157"/>
  <c r="E178" i="157" s="1"/>
  <c r="G38" i="169"/>
  <c r="E173" i="157"/>
  <c r="E172" i="157"/>
  <c r="D171" i="157"/>
  <c r="E170" i="157"/>
  <c r="E169" i="157"/>
  <c r="D168" i="157"/>
  <c r="E151" i="157"/>
  <c r="E150" i="157"/>
  <c r="E149" i="157"/>
  <c r="E148" i="157"/>
  <c r="E147" i="157"/>
  <c r="E146" i="157"/>
  <c r="E145" i="157"/>
  <c r="E144" i="157"/>
  <c r="E143" i="157"/>
  <c r="E142" i="157"/>
  <c r="E141" i="157"/>
  <c r="E140" i="157"/>
  <c r="E139" i="157"/>
  <c r="E138" i="157"/>
  <c r="E137" i="157"/>
  <c r="E135" i="157"/>
  <c r="E130" i="157"/>
  <c r="E129" i="157"/>
  <c r="E128" i="157"/>
  <c r="E127" i="157"/>
  <c r="E126" i="157"/>
  <c r="E125" i="157"/>
  <c r="E124" i="157"/>
  <c r="E121" i="157"/>
  <c r="E120" i="157"/>
  <c r="E119" i="157"/>
  <c r="E115" i="157"/>
  <c r="E114" i="157"/>
  <c r="E112" i="157"/>
  <c r="E111" i="157"/>
  <c r="E110" i="157"/>
  <c r="E109" i="157"/>
  <c r="E108" i="157"/>
  <c r="E107" i="157"/>
  <c r="E106" i="157"/>
  <c r="E105" i="157"/>
  <c r="E104" i="157"/>
  <c r="E103" i="157"/>
  <c r="E102" i="157"/>
  <c r="E101" i="157"/>
  <c r="E100" i="157"/>
  <c r="D97" i="157"/>
  <c r="E96" i="157"/>
  <c r="E95" i="157"/>
  <c r="E94" i="157"/>
  <c r="E93" i="157"/>
  <c r="E92" i="157"/>
  <c r="E91" i="157"/>
  <c r="E90" i="157"/>
  <c r="E89" i="157"/>
  <c r="E88" i="157"/>
  <c r="E87" i="157"/>
  <c r="E86" i="157"/>
  <c r="E85" i="157"/>
  <c r="E84" i="157"/>
  <c r="E83" i="157"/>
  <c r="E82" i="157"/>
  <c r="E81" i="157"/>
  <c r="E80" i="157"/>
  <c r="E79" i="157"/>
  <c r="E78" i="157"/>
  <c r="E77" i="157"/>
  <c r="E76" i="157"/>
  <c r="E74" i="157"/>
  <c r="E73" i="157"/>
  <c r="E72" i="157"/>
  <c r="E71" i="157"/>
  <c r="E70" i="157"/>
  <c r="E69" i="157"/>
  <c r="E68" i="157"/>
  <c r="E67" i="157"/>
  <c r="E66" i="157"/>
  <c r="E65" i="157"/>
  <c r="E64" i="157"/>
  <c r="E63" i="157"/>
  <c r="E62" i="157"/>
  <c r="E61" i="157"/>
  <c r="E60" i="157"/>
  <c r="E59" i="157"/>
  <c r="E58" i="157"/>
  <c r="E57" i="157"/>
  <c r="E56" i="157"/>
  <c r="E55" i="157"/>
  <c r="E54" i="157"/>
  <c r="E53" i="157"/>
  <c r="E52" i="157"/>
  <c r="E51" i="157"/>
  <c r="E50" i="157"/>
  <c r="E49" i="157"/>
  <c r="E48" i="157"/>
  <c r="E47" i="157"/>
  <c r="E46" i="157"/>
  <c r="E45" i="157"/>
  <c r="E44" i="157"/>
  <c r="E43" i="157"/>
  <c r="E42" i="157"/>
  <c r="E41" i="157"/>
  <c r="E40"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E15" i="157"/>
  <c r="E14" i="157"/>
  <c r="E13" i="157"/>
  <c r="E12" i="157"/>
  <c r="E11" i="157"/>
  <c r="E10" i="157"/>
  <c r="E9" i="157"/>
  <c r="D123" i="183"/>
  <c r="E116" i="183"/>
  <c r="E115" i="183"/>
  <c r="E114" i="183"/>
  <c r="E113" i="183"/>
  <c r="E123" i="183" s="1"/>
  <c r="D106" i="183"/>
  <c r="E105" i="183"/>
  <c r="E104" i="183"/>
  <c r="E103" i="183"/>
  <c r="E102" i="183"/>
  <c r="E101" i="183"/>
  <c r="E100" i="183"/>
  <c r="D97" i="183"/>
  <c r="E96" i="183"/>
  <c r="E95" i="183"/>
  <c r="D92" i="183"/>
  <c r="E91" i="183"/>
  <c r="E92" i="183" s="1"/>
  <c r="D85" i="183"/>
  <c r="E84" i="183"/>
  <c r="E83" i="183"/>
  <c r="E82" i="183"/>
  <c r="D76" i="183"/>
  <c r="E75" i="183"/>
  <c r="E76" i="183" s="1"/>
  <c r="D59" i="183"/>
  <c r="E58" i="183"/>
  <c r="E57" i="183"/>
  <c r="D48" i="183"/>
  <c r="E47" i="183"/>
  <c r="E46" i="183"/>
  <c r="E45" i="183"/>
  <c r="E44" i="183"/>
  <c r="E43" i="183"/>
  <c r="E38" i="183"/>
  <c r="E37" i="183"/>
  <c r="E36" i="183"/>
  <c r="D32" i="183"/>
  <c r="E31" i="183"/>
  <c r="E30" i="183"/>
  <c r="E29" i="183"/>
  <c r="E28" i="183"/>
  <c r="E27" i="183"/>
  <c r="E26" i="183"/>
  <c r="D20" i="183"/>
  <c r="E19" i="183"/>
  <c r="E18" i="183"/>
  <c r="E17" i="183"/>
  <c r="D14" i="183"/>
  <c r="E13" i="183"/>
  <c r="E12" i="183"/>
  <c r="E11" i="183"/>
  <c r="E10" i="183"/>
  <c r="E9" i="183"/>
  <c r="E8" i="183"/>
  <c r="E7" i="183"/>
  <c r="E6" i="183"/>
  <c r="E79" i="156"/>
  <c r="E78" i="156"/>
  <c r="E77" i="156"/>
  <c r="E76" i="156"/>
  <c r="E75" i="156"/>
  <c r="E74" i="156"/>
  <c r="E73" i="156"/>
  <c r="E72" i="156"/>
  <c r="E71" i="156"/>
  <c r="E70" i="156"/>
  <c r="E69" i="156"/>
  <c r="E68" i="156"/>
  <c r="E67" i="156"/>
  <c r="E66" i="156"/>
  <c r="E65" i="156"/>
  <c r="E64" i="156"/>
  <c r="E63" i="156"/>
  <c r="E62" i="156"/>
  <c r="E61" i="156"/>
  <c r="E60" i="156"/>
  <c r="E59" i="156"/>
  <c r="E58" i="156"/>
  <c r="E57" i="156"/>
  <c r="E56" i="156"/>
  <c r="E55" i="156"/>
  <c r="E54" i="156"/>
  <c r="E53" i="156"/>
  <c r="E52" i="156"/>
  <c r="E51" i="156"/>
  <c r="E47" i="156"/>
  <c r="E46" i="156"/>
  <c r="E44" i="156"/>
  <c r="E43" i="156"/>
  <c r="E42" i="156"/>
  <c r="E41" i="156"/>
  <c r="E40" i="156"/>
  <c r="E39" i="156"/>
  <c r="E38" i="156"/>
  <c r="E36" i="156"/>
  <c r="E35" i="156"/>
  <c r="E34" i="156"/>
  <c r="E33" i="156"/>
  <c r="E32" i="156"/>
  <c r="E31" i="156"/>
  <c r="E30" i="156"/>
  <c r="E29" i="156"/>
  <c r="E28" i="156"/>
  <c r="E27" i="156"/>
  <c r="E26" i="156"/>
  <c r="E25" i="156"/>
  <c r="E24" i="156"/>
  <c r="E23" i="156"/>
  <c r="E22" i="156"/>
  <c r="E21" i="156"/>
  <c r="E20" i="156"/>
  <c r="E19" i="156"/>
  <c r="E18" i="156"/>
  <c r="E17" i="156"/>
  <c r="E16" i="156"/>
  <c r="E15" i="156"/>
  <c r="E14" i="156"/>
  <c r="D13" i="156"/>
  <c r="D146" i="155" s="1"/>
  <c r="I16" i="170" s="1"/>
  <c r="E11" i="156"/>
  <c r="E10" i="156"/>
  <c r="E9" i="156"/>
  <c r="E8" i="156"/>
  <c r="E7" i="156"/>
  <c r="E6" i="156"/>
  <c r="E145" i="155"/>
  <c r="E144" i="155"/>
  <c r="D143" i="155"/>
  <c r="G14" i="169"/>
  <c r="E137" i="155"/>
  <c r="E135" i="155"/>
  <c r="E134" i="155"/>
  <c r="E133" i="155"/>
  <c r="E132" i="155"/>
  <c r="E131" i="155"/>
  <c r="E130" i="155"/>
  <c r="E129" i="155"/>
  <c r="E128" i="155"/>
  <c r="E127" i="155"/>
  <c r="D126" i="155"/>
  <c r="D125" i="155"/>
  <c r="D77" i="155" s="1"/>
  <c r="E124" i="155"/>
  <c r="E123" i="155"/>
  <c r="E117" i="155"/>
  <c r="E116" i="155"/>
  <c r="E115" i="155"/>
  <c r="E114" i="155"/>
  <c r="E113" i="155"/>
  <c r="E112" i="155"/>
  <c r="E111" i="155"/>
  <c r="E110" i="155"/>
  <c r="E109" i="155"/>
  <c r="E108" i="155"/>
  <c r="E107" i="155"/>
  <c r="E105" i="155"/>
  <c r="E104" i="155"/>
  <c r="E103" i="155"/>
  <c r="E102" i="155"/>
  <c r="E101" i="155"/>
  <c r="E100" i="155"/>
  <c r="E99" i="155"/>
  <c r="E97" i="155"/>
  <c r="E96" i="155"/>
  <c r="E95" i="155"/>
  <c r="E94" i="155"/>
  <c r="E93" i="155"/>
  <c r="E92" i="155"/>
  <c r="E91" i="155"/>
  <c r="E90" i="155"/>
  <c r="E89" i="155"/>
  <c r="E88" i="155"/>
  <c r="E87" i="155"/>
  <c r="E86" i="155"/>
  <c r="E85" i="155"/>
  <c r="E84" i="155"/>
  <c r="E83" i="155"/>
  <c r="E82" i="155"/>
  <c r="E81" i="155"/>
  <c r="E80" i="155"/>
  <c r="E79" i="155"/>
  <c r="E78" i="155"/>
  <c r="E73" i="155"/>
  <c r="E72" i="155"/>
  <c r="E71" i="155"/>
  <c r="E70" i="155"/>
  <c r="E69" i="155"/>
  <c r="E68" i="155"/>
  <c r="E67" i="155"/>
  <c r="E66" i="155"/>
  <c r="E65" i="155"/>
  <c r="E64" i="155"/>
  <c r="G9" i="169"/>
  <c r="E60" i="155"/>
  <c r="E59" i="155"/>
  <c r="E58" i="155"/>
  <c r="E57" i="155"/>
  <c r="E56" i="155"/>
  <c r="E55" i="155"/>
  <c r="E54" i="155"/>
  <c r="E53" i="155"/>
  <c r="E52" i="155"/>
  <c r="E51" i="155"/>
  <c r="E50" i="155"/>
  <c r="E49" i="155"/>
  <c r="D12" i="154"/>
  <c r="E43" i="155"/>
  <c r="E42" i="155"/>
  <c r="E41" i="155"/>
  <c r="E40" i="155"/>
  <c r="D39" i="155"/>
  <c r="E37" i="155"/>
  <c r="E36" i="155"/>
  <c r="D35" i="155"/>
  <c r="E34" i="155"/>
  <c r="D33" i="155"/>
  <c r="E32" i="155"/>
  <c r="E31" i="155"/>
  <c r="E30" i="155"/>
  <c r="E29" i="155"/>
  <c r="E28" i="155"/>
  <c r="D27" i="155"/>
  <c r="H11" i="170" s="1"/>
  <c r="E26" i="155"/>
  <c r="E25" i="155"/>
  <c r="E24" i="155"/>
  <c r="E23" i="155"/>
  <c r="E19" i="155"/>
  <c r="E18" i="155"/>
  <c r="D17" i="155"/>
  <c r="H10" i="170" s="1"/>
  <c r="E16" i="155"/>
  <c r="E15" i="155"/>
  <c r="E14" i="155"/>
  <c r="E13" i="155"/>
  <c r="E9" i="155"/>
  <c r="E8" i="155"/>
  <c r="E7" i="155"/>
  <c r="F26" i="134"/>
  <c r="F23" i="134"/>
  <c r="F20" i="134"/>
  <c r="F19" i="134"/>
  <c r="F17" i="134"/>
  <c r="F16" i="134"/>
  <c r="F15" i="134"/>
  <c r="F13" i="134"/>
  <c r="F12" i="134"/>
  <c r="F10" i="134"/>
  <c r="F9" i="134"/>
  <c r="F8" i="134"/>
  <c r="E7" i="134"/>
  <c r="E6" i="134"/>
  <c r="E184" i="157" l="1"/>
  <c r="M32" i="167"/>
  <c r="D10" i="149" s="1"/>
  <c r="I38" i="158"/>
  <c r="G39" i="169" s="1"/>
  <c r="F22" i="155"/>
  <c r="F12" i="155"/>
  <c r="F14" i="134"/>
  <c r="D20" i="170"/>
  <c r="D136" i="155"/>
  <c r="D148" i="155" s="1"/>
  <c r="D245" i="157"/>
  <c r="AL12" i="154" s="1"/>
  <c r="AL13" i="154" s="1"/>
  <c r="I20" i="170"/>
  <c r="I15" i="158"/>
  <c r="I17" i="170"/>
  <c r="Q12" i="154"/>
  <c r="I12" i="170"/>
  <c r="O38" i="171"/>
  <c r="I11" i="170"/>
  <c r="Y10" i="154"/>
  <c r="H24" i="170"/>
  <c r="E48" i="155"/>
  <c r="E11" i="154"/>
  <c r="E5" i="134"/>
  <c r="D250" i="157"/>
  <c r="I32" i="158" s="1"/>
  <c r="G21" i="169"/>
  <c r="E21" i="134"/>
  <c r="E85" i="183"/>
  <c r="E106" i="183"/>
  <c r="G36" i="169"/>
  <c r="G44" i="169"/>
  <c r="D80" i="156"/>
  <c r="E40" i="183"/>
  <c r="E97" i="157"/>
  <c r="I13" i="158"/>
  <c r="G16" i="169"/>
  <c r="O36" i="171"/>
  <c r="O40" i="171"/>
  <c r="O34" i="171"/>
  <c r="L10" i="154"/>
  <c r="L11" i="154" s="1"/>
  <c r="O37" i="171"/>
  <c r="D174" i="157"/>
  <c r="D175" i="157" s="1"/>
  <c r="I23" i="170" s="1"/>
  <c r="AU7" i="154"/>
  <c r="H10" i="154"/>
  <c r="H11" i="154" s="1"/>
  <c r="O35" i="171"/>
  <c r="H12" i="154"/>
  <c r="D124" i="183"/>
  <c r="I37" i="158"/>
  <c r="U11" i="154"/>
  <c r="G11" i="169"/>
  <c r="O42" i="171"/>
  <c r="Q10" i="154"/>
  <c r="Q11" i="154" s="1"/>
  <c r="D38" i="155"/>
  <c r="D44" i="155" s="1"/>
  <c r="L12" i="154"/>
  <c r="E126" i="155"/>
  <c r="E143" i="155"/>
  <c r="E14" i="183"/>
  <c r="E20" i="183"/>
  <c r="E23" i="183" s="1"/>
  <c r="E32" i="183"/>
  <c r="E48" i="183"/>
  <c r="E59" i="183"/>
  <c r="E97" i="183"/>
  <c r="I20" i="158"/>
  <c r="I14" i="158"/>
  <c r="G8" i="169"/>
  <c r="G10" i="169"/>
  <c r="G15" i="169"/>
  <c r="O39" i="171"/>
  <c r="D13" i="154"/>
  <c r="I7" i="158" s="1"/>
  <c r="D197" i="157"/>
  <c r="D120" i="183"/>
  <c r="V8" i="154"/>
  <c r="V7" i="154"/>
  <c r="V6" i="154"/>
  <c r="M8" i="154"/>
  <c r="M7" i="154"/>
  <c r="M6" i="154"/>
  <c r="I8" i="154"/>
  <c r="I7" i="154"/>
  <c r="I6" i="154"/>
  <c r="E8" i="154"/>
  <c r="E9" i="154"/>
  <c r="E10" i="154"/>
  <c r="E7" i="154"/>
  <c r="E6" i="154"/>
  <c r="M15" i="153"/>
  <c r="L55" i="166"/>
  <c r="N55" i="166" s="1"/>
  <c r="P55" i="166" s="1"/>
  <c r="L62" i="166"/>
  <c r="N62" i="166" s="1"/>
  <c r="P62" i="166" s="1"/>
  <c r="L63" i="166"/>
  <c r="N63" i="166" s="1"/>
  <c r="P63" i="166" s="1"/>
  <c r="L84" i="166"/>
  <c r="N84" i="166" s="1"/>
  <c r="P84" i="166" s="1"/>
  <c r="L91" i="166"/>
  <c r="N91" i="166" s="1"/>
  <c r="P91" i="166" s="1"/>
  <c r="L94" i="166"/>
  <c r="N94" i="166" s="1"/>
  <c r="P94" i="166" s="1"/>
  <c r="L49" i="166"/>
  <c r="N49" i="166" s="1"/>
  <c r="P49" i="166" s="1"/>
  <c r="L44" i="166"/>
  <c r="N44" i="166" s="1"/>
  <c r="P44" i="166" s="1"/>
  <c r="L32" i="166"/>
  <c r="N32" i="166" s="1"/>
  <c r="P32" i="166" s="1"/>
  <c r="L26" i="166"/>
  <c r="N26" i="166" s="1"/>
  <c r="P26" i="166" s="1"/>
  <c r="L21" i="166"/>
  <c r="N21" i="166" s="1"/>
  <c r="P21" i="166" s="1"/>
  <c r="L10" i="166"/>
  <c r="N10" i="166" s="1"/>
  <c r="P10" i="166" s="1"/>
  <c r="K93" i="166"/>
  <c r="I25" i="167"/>
  <c r="I23" i="167" s="1"/>
  <c r="I22" i="167"/>
  <c r="I20" i="167" s="1"/>
  <c r="I19" i="167"/>
  <c r="I17" i="167"/>
  <c r="I15" i="167"/>
  <c r="O51" i="171" l="1"/>
  <c r="Q13" i="154"/>
  <c r="I10" i="158" s="1"/>
  <c r="AD12" i="154"/>
  <c r="E27" i="134"/>
  <c r="O46" i="171"/>
  <c r="G33" i="169"/>
  <c r="Y9" i="154"/>
  <c r="AU6" i="154"/>
  <c r="AW6" i="154" s="1"/>
  <c r="H13" i="154"/>
  <c r="F9" i="169"/>
  <c r="G31" i="169"/>
  <c r="Y12" i="154"/>
  <c r="I30" i="158"/>
  <c r="O45" i="171"/>
  <c r="L13" i="154"/>
  <c r="F10" i="169"/>
  <c r="O41" i="171"/>
  <c r="U12" i="154"/>
  <c r="U13" i="154" s="1"/>
  <c r="D237" i="157"/>
  <c r="D238" i="157" s="1"/>
  <c r="D26" i="148" s="1"/>
  <c r="G35" i="169"/>
  <c r="I34" i="158"/>
  <c r="I19" i="158"/>
  <c r="F14" i="169"/>
  <c r="I11" i="158"/>
  <c r="AU10" i="154"/>
  <c r="K120" i="166"/>
  <c r="V55" i="150"/>
  <c r="V56" i="150"/>
  <c r="V58" i="150"/>
  <c r="V59" i="150"/>
  <c r="V60" i="150"/>
  <c r="V53" i="150"/>
  <c r="V48" i="150"/>
  <c r="V24" i="150"/>
  <c r="V26" i="150"/>
  <c r="V27" i="150"/>
  <c r="V29" i="150"/>
  <c r="V30" i="150"/>
  <c r="V31" i="150"/>
  <c r="V32" i="150"/>
  <c r="V33" i="150"/>
  <c r="V35" i="150"/>
  <c r="V36" i="150"/>
  <c r="V37" i="150"/>
  <c r="V23" i="150"/>
  <c r="V20" i="150"/>
  <c r="V13" i="150"/>
  <c r="U46" i="150"/>
  <c r="U34" i="150"/>
  <c r="U21" i="150"/>
  <c r="U17" i="150"/>
  <c r="U12" i="150"/>
  <c r="P54" i="150"/>
  <c r="P55" i="150"/>
  <c r="P56" i="150"/>
  <c r="L94" i="149" s="1"/>
  <c r="P57" i="150"/>
  <c r="L93" i="149" s="1"/>
  <c r="P53" i="150"/>
  <c r="P48" i="150"/>
  <c r="L78" i="149" s="1"/>
  <c r="B32" i="170" s="1"/>
  <c r="P47" i="150"/>
  <c r="L77" i="149" s="1"/>
  <c r="B20" i="170" s="1"/>
  <c r="P43" i="150"/>
  <c r="P42" i="150"/>
  <c r="P41" i="150"/>
  <c r="P40" i="150" s="1"/>
  <c r="P37" i="150"/>
  <c r="P34" i="150" s="1"/>
  <c r="P27" i="150"/>
  <c r="L51" i="149" s="1"/>
  <c r="P51" i="149" s="1"/>
  <c r="P28" i="150"/>
  <c r="L52" i="149" s="1"/>
  <c r="P29" i="150"/>
  <c r="L53" i="149" s="1"/>
  <c r="P53" i="149" s="1"/>
  <c r="P30" i="150"/>
  <c r="P31" i="150"/>
  <c r="P32" i="150"/>
  <c r="P33" i="150"/>
  <c r="L57" i="149" s="1"/>
  <c r="P57" i="149" s="1"/>
  <c r="P26" i="150"/>
  <c r="P25" i="150"/>
  <c r="L47" i="149" s="1"/>
  <c r="P24" i="150"/>
  <c r="P23" i="150"/>
  <c r="L45" i="149" s="1"/>
  <c r="P16" i="150"/>
  <c r="L27" i="149" s="1"/>
  <c r="B23" i="170" s="1"/>
  <c r="P14" i="150"/>
  <c r="L21" i="149" s="1"/>
  <c r="P21" i="149" s="1"/>
  <c r="P13" i="150"/>
  <c r="P12" i="150" s="1"/>
  <c r="M54" i="150"/>
  <c r="M56" i="150"/>
  <c r="M53" i="150"/>
  <c r="M48" i="150"/>
  <c r="M26" i="150"/>
  <c r="M27" i="150"/>
  <c r="M29" i="150"/>
  <c r="M25" i="150"/>
  <c r="M13" i="150"/>
  <c r="L46" i="150"/>
  <c r="U11" i="153" s="1"/>
  <c r="L40" i="150"/>
  <c r="L34" i="150"/>
  <c r="L15" i="150"/>
  <c r="L12" i="150"/>
  <c r="I54" i="150"/>
  <c r="I56" i="150"/>
  <c r="I53" i="150"/>
  <c r="I48" i="150"/>
  <c r="I41" i="150"/>
  <c r="I16" i="150"/>
  <c r="I14" i="150"/>
  <c r="I13" i="150"/>
  <c r="H46" i="150"/>
  <c r="U10" i="153" s="1"/>
  <c r="H40" i="150"/>
  <c r="H34" i="150"/>
  <c r="H21" i="150"/>
  <c r="H15" i="150"/>
  <c r="H12" i="150"/>
  <c r="E54" i="150"/>
  <c r="E56" i="150"/>
  <c r="E53" i="150"/>
  <c r="E47" i="150"/>
  <c r="E29" i="150"/>
  <c r="E30" i="150"/>
  <c r="E31" i="150"/>
  <c r="E32" i="150"/>
  <c r="E33" i="150"/>
  <c r="E16" i="150"/>
  <c r="E13" i="150"/>
  <c r="D46" i="150"/>
  <c r="D34" i="150"/>
  <c r="D21" i="150"/>
  <c r="D15" i="150"/>
  <c r="D12" i="150"/>
  <c r="M54" i="149"/>
  <c r="M50" i="149"/>
  <c r="M48" i="149"/>
  <c r="H80" i="149"/>
  <c r="H79" i="149" s="1"/>
  <c r="E85" i="149"/>
  <c r="E82" i="149"/>
  <c r="E83" i="149"/>
  <c r="E81" i="149"/>
  <c r="E78" i="149"/>
  <c r="E77" i="149"/>
  <c r="E73" i="149"/>
  <c r="E72" i="149"/>
  <c r="E69" i="149"/>
  <c r="E68" i="149"/>
  <c r="E60" i="149"/>
  <c r="E53" i="149"/>
  <c r="E54" i="149"/>
  <c r="E55" i="149"/>
  <c r="E56" i="149"/>
  <c r="E57" i="149"/>
  <c r="E46" i="149"/>
  <c r="E47" i="149"/>
  <c r="E48" i="149"/>
  <c r="E49" i="149"/>
  <c r="E50" i="149"/>
  <c r="E51" i="149"/>
  <c r="E52" i="149"/>
  <c r="E45" i="149"/>
  <c r="E40" i="149"/>
  <c r="E41" i="149"/>
  <c r="E42" i="149"/>
  <c r="E39" i="149"/>
  <c r="E37" i="149"/>
  <c r="E36" i="149"/>
  <c r="E27" i="149"/>
  <c r="E20" i="149"/>
  <c r="P90" i="149"/>
  <c r="D24" i="158" s="1"/>
  <c r="P89" i="149"/>
  <c r="P88" i="149"/>
  <c r="P87" i="149"/>
  <c r="P86" i="149"/>
  <c r="P85" i="149"/>
  <c r="D44" i="158" s="1"/>
  <c r="P83" i="149"/>
  <c r="P82" i="149"/>
  <c r="P81" i="149"/>
  <c r="P73" i="149"/>
  <c r="P72" i="149"/>
  <c r="P71" i="149"/>
  <c r="P68" i="149"/>
  <c r="P67" i="149"/>
  <c r="P63" i="149"/>
  <c r="P62" i="149"/>
  <c r="P60" i="149"/>
  <c r="P56" i="149"/>
  <c r="P55" i="149"/>
  <c r="P54" i="149"/>
  <c r="P50" i="149"/>
  <c r="P49" i="149"/>
  <c r="P48" i="149"/>
  <c r="P44" i="149"/>
  <c r="P41" i="149"/>
  <c r="P40" i="149"/>
  <c r="P39" i="149"/>
  <c r="P37" i="149"/>
  <c r="P36" i="149"/>
  <c r="P33" i="149"/>
  <c r="P32" i="149"/>
  <c r="P23" i="149"/>
  <c r="L79" i="149"/>
  <c r="L30" i="149"/>
  <c r="L8" i="149"/>
  <c r="H94" i="149"/>
  <c r="H93" i="149"/>
  <c r="H76" i="149"/>
  <c r="O30" i="171" s="1"/>
  <c r="H70" i="149"/>
  <c r="H66" i="149"/>
  <c r="H61" i="149"/>
  <c r="H58" i="149" s="1"/>
  <c r="C24" i="170" s="1"/>
  <c r="H52" i="149"/>
  <c r="H47" i="149"/>
  <c r="H46" i="149"/>
  <c r="P46" i="149" s="1"/>
  <c r="H45" i="149"/>
  <c r="H42" i="149"/>
  <c r="H30" i="149" s="1"/>
  <c r="C10" i="170" s="1"/>
  <c r="H22" i="149"/>
  <c r="H20" i="149"/>
  <c r="H8" i="149"/>
  <c r="D94" i="149"/>
  <c r="D93" i="149"/>
  <c r="D84" i="149"/>
  <c r="C45" i="169" s="1"/>
  <c r="D80" i="149"/>
  <c r="D76" i="149"/>
  <c r="D70" i="149"/>
  <c r="D66" i="149"/>
  <c r="D12" i="170" s="1"/>
  <c r="D58" i="149"/>
  <c r="D24" i="170" s="1"/>
  <c r="D43" i="149"/>
  <c r="D11" i="170" s="1"/>
  <c r="D38" i="149"/>
  <c r="P38" i="149" s="1"/>
  <c r="D35" i="149"/>
  <c r="D31" i="149"/>
  <c r="E14" i="148"/>
  <c r="E24" i="148"/>
  <c r="E29" i="148"/>
  <c r="E31" i="148"/>
  <c r="D37" i="148"/>
  <c r="D36" i="148"/>
  <c r="D35" i="148"/>
  <c r="D34" i="148"/>
  <c r="D28" i="148"/>
  <c r="D22" i="148"/>
  <c r="D21" i="148"/>
  <c r="U9" i="153" l="1"/>
  <c r="U12" i="153" s="1"/>
  <c r="U13" i="153"/>
  <c r="AD13" i="154"/>
  <c r="B33" i="169"/>
  <c r="B25" i="170"/>
  <c r="P15" i="150"/>
  <c r="Y11" i="154"/>
  <c r="O47" i="171" s="1"/>
  <c r="D34" i="149"/>
  <c r="P34" i="149" s="1"/>
  <c r="H7" i="149"/>
  <c r="P70" i="149"/>
  <c r="D12" i="148" s="1"/>
  <c r="L44" i="150"/>
  <c r="L50" i="150" s="1"/>
  <c r="L61" i="149"/>
  <c r="L58" i="149" s="1"/>
  <c r="P80" i="149"/>
  <c r="D45" i="158" s="1"/>
  <c r="O21" i="171"/>
  <c r="C31" i="169"/>
  <c r="C10" i="169"/>
  <c r="O10" i="171"/>
  <c r="P10" i="171" s="1"/>
  <c r="O11" i="171"/>
  <c r="C11" i="169"/>
  <c r="U15" i="153"/>
  <c r="O29" i="171"/>
  <c r="B9" i="169"/>
  <c r="P31" i="149"/>
  <c r="P35" i="149"/>
  <c r="U44" i="150"/>
  <c r="P13" i="153" s="1"/>
  <c r="I33" i="158"/>
  <c r="AH12" i="154"/>
  <c r="O48" i="171"/>
  <c r="AU9" i="154"/>
  <c r="C32" i="169"/>
  <c r="O22" i="171"/>
  <c r="O23" i="171"/>
  <c r="C33" i="169"/>
  <c r="D79" i="149"/>
  <c r="P42" i="149"/>
  <c r="O14" i="171"/>
  <c r="P84" i="149"/>
  <c r="D21" i="158"/>
  <c r="I56" i="158"/>
  <c r="I55" i="158" s="1"/>
  <c r="I9" i="158"/>
  <c r="I8" i="158"/>
  <c r="H44" i="150"/>
  <c r="O24" i="171"/>
  <c r="P52" i="149"/>
  <c r="P47" i="149"/>
  <c r="P94" i="149"/>
  <c r="P78" i="149"/>
  <c r="D42" i="158" s="1"/>
  <c r="D41" i="158" s="1"/>
  <c r="B43" i="169"/>
  <c r="P46" i="150"/>
  <c r="L76" i="149"/>
  <c r="O31" i="171" s="1"/>
  <c r="P77" i="149"/>
  <c r="D20" i="158" s="1"/>
  <c r="D19" i="158" s="1"/>
  <c r="B21" i="169"/>
  <c r="D44" i="150"/>
  <c r="P9" i="153" s="1"/>
  <c r="H75" i="149"/>
  <c r="H91" i="149"/>
  <c r="D32" i="148"/>
  <c r="D38" i="148"/>
  <c r="P11" i="149"/>
  <c r="L20" i="149"/>
  <c r="L7" i="149" s="1"/>
  <c r="O17" i="171" s="1"/>
  <c r="P93" i="149"/>
  <c r="H43" i="149"/>
  <c r="C11" i="170" s="1"/>
  <c r="P45" i="149"/>
  <c r="L69" i="149"/>
  <c r="P21" i="150"/>
  <c r="L22" i="149"/>
  <c r="P27" i="149"/>
  <c r="P22" i="149" s="1"/>
  <c r="L43" i="149"/>
  <c r="B122" i="183"/>
  <c r="B123" i="183"/>
  <c r="L45" i="150" l="1"/>
  <c r="L51" i="150" s="1"/>
  <c r="O13" i="171"/>
  <c r="B32" i="169"/>
  <c r="B24" i="170"/>
  <c r="P61" i="149"/>
  <c r="Y13" i="154"/>
  <c r="D27" i="148"/>
  <c r="D25" i="148" s="1"/>
  <c r="I31" i="158"/>
  <c r="I39" i="158" s="1"/>
  <c r="I46" i="158" s="1"/>
  <c r="F32" i="169"/>
  <c r="P11" i="153"/>
  <c r="P79" i="149"/>
  <c r="D16" i="148" s="1"/>
  <c r="D32" i="158"/>
  <c r="D30" i="149"/>
  <c r="U50" i="150"/>
  <c r="Y15" i="153"/>
  <c r="O28" i="171"/>
  <c r="D91" i="149"/>
  <c r="D59" i="158"/>
  <c r="AU11" i="154"/>
  <c r="D23" i="148"/>
  <c r="D20" i="148" s="1"/>
  <c r="AH13" i="154"/>
  <c r="D75" i="149"/>
  <c r="L91" i="149"/>
  <c r="P76" i="149"/>
  <c r="D15" i="148" s="1"/>
  <c r="L75" i="149"/>
  <c r="P20" i="149"/>
  <c r="H50" i="150"/>
  <c r="P10" i="153"/>
  <c r="H74" i="149"/>
  <c r="H92" i="149" s="1"/>
  <c r="O15" i="171"/>
  <c r="U14" i="153"/>
  <c r="O18" i="171"/>
  <c r="B10" i="169"/>
  <c r="D50" i="150"/>
  <c r="P44" i="150"/>
  <c r="D7" i="148"/>
  <c r="D30" i="158"/>
  <c r="B31" i="169"/>
  <c r="O25" i="171"/>
  <c r="D56" i="158"/>
  <c r="D57" i="158"/>
  <c r="D30" i="148"/>
  <c r="P43" i="149"/>
  <c r="L66" i="149"/>
  <c r="P69" i="149"/>
  <c r="P66" i="149" s="1"/>
  <c r="B124" i="183"/>
  <c r="C367" i="184"/>
  <c r="C365" i="184"/>
  <c r="I28" i="170"/>
  <c r="I25" i="170"/>
  <c r="D62" i="170"/>
  <c r="H45" i="150" l="1"/>
  <c r="H51" i="150" s="1"/>
  <c r="U45" i="150"/>
  <c r="U51" i="150" s="1"/>
  <c r="O9" i="171"/>
  <c r="D10" i="170"/>
  <c r="D17" i="148"/>
  <c r="P58" i="149"/>
  <c r="D10" i="148" s="1"/>
  <c r="I52" i="158"/>
  <c r="P30" i="149"/>
  <c r="C9" i="169"/>
  <c r="P91" i="149"/>
  <c r="D11" i="148"/>
  <c r="D10" i="158"/>
  <c r="O43" i="171"/>
  <c r="G17" i="169"/>
  <c r="Y16" i="153"/>
  <c r="L74" i="149"/>
  <c r="L92" i="149" s="1"/>
  <c r="O19" i="171"/>
  <c r="B11" i="169"/>
  <c r="P75" i="149"/>
  <c r="P50" i="150"/>
  <c r="P12" i="153"/>
  <c r="D45" i="150"/>
  <c r="U16" i="153"/>
  <c r="D9" i="148"/>
  <c r="D9" i="158"/>
  <c r="D55" i="158"/>
  <c r="I16" i="158"/>
  <c r="AQ12" i="154"/>
  <c r="D33" i="148"/>
  <c r="D39" i="148" s="1"/>
  <c r="P45" i="150" l="1"/>
  <c r="P51" i="150" s="1"/>
  <c r="AU12" i="154"/>
  <c r="AU13" i="154" s="1"/>
  <c r="D31" i="158"/>
  <c r="D39" i="158" s="1"/>
  <c r="I40" i="158" s="1"/>
  <c r="D8" i="158"/>
  <c r="D8" i="148"/>
  <c r="I17" i="158"/>
  <c r="I25" i="158" s="1"/>
  <c r="P14" i="153"/>
  <c r="D51" i="150"/>
  <c r="AQ13" i="154"/>
  <c r="D47" i="171"/>
  <c r="M20" i="171"/>
  <c r="D52" i="158" l="1"/>
  <c r="I51" i="158"/>
  <c r="I53" i="158" s="1"/>
  <c r="I61" i="158" s="1"/>
  <c r="H64" i="169" s="1"/>
  <c r="B472" i="184"/>
  <c r="B462" i="184"/>
  <c r="C472" i="184"/>
  <c r="D471" i="184"/>
  <c r="D470" i="184"/>
  <c r="D469" i="184"/>
  <c r="D468" i="184"/>
  <c r="D467" i="184"/>
  <c r="C462" i="184"/>
  <c r="D461" i="184"/>
  <c r="D460" i="184"/>
  <c r="D459" i="184"/>
  <c r="D458" i="184"/>
  <c r="D462" i="184" l="1"/>
  <c r="D472" i="184"/>
  <c r="V54" i="150"/>
  <c r="G10" i="170"/>
  <c r="G54" i="170"/>
  <c r="G24" i="170" s="1"/>
  <c r="G9" i="170" l="1"/>
  <c r="C72" i="170" l="1"/>
  <c r="I47" i="171" l="1"/>
  <c r="H47" i="171"/>
  <c r="F47" i="171"/>
  <c r="AG10" i="153" l="1"/>
  <c r="AZ8" i="154"/>
  <c r="AJ10" i="153" l="1"/>
  <c r="F6" i="134"/>
  <c r="F7" i="134"/>
  <c r="Z7" i="154" l="1"/>
  <c r="H43" i="158"/>
  <c r="J43" i="158" s="1"/>
  <c r="B39" i="155"/>
  <c r="B48" i="155"/>
  <c r="E63" i="155"/>
  <c r="C35" i="148"/>
  <c r="E35" i="148" s="1"/>
  <c r="B168" i="157"/>
  <c r="F22" i="134"/>
  <c r="F25" i="134"/>
  <c r="F24" i="134"/>
  <c r="Q82" i="149"/>
  <c r="Q81" i="149"/>
  <c r="E117" i="183" l="1"/>
  <c r="E119" i="183" s="1"/>
  <c r="E80" i="149"/>
  <c r="E13" i="154"/>
  <c r="E12" i="154"/>
  <c r="E17" i="155"/>
  <c r="V47" i="150"/>
  <c r="M47" i="150"/>
  <c r="E48" i="150"/>
  <c r="E46" i="150" s="1"/>
  <c r="E23" i="150"/>
  <c r="E124" i="183" l="1"/>
  <c r="I47" i="150"/>
  <c r="E39" i="155"/>
  <c r="E120" i="183"/>
  <c r="E28" i="150"/>
  <c r="J106" i="166"/>
  <c r="I55" i="166"/>
  <c r="I44" i="166"/>
  <c r="I32" i="166"/>
  <c r="I21" i="166"/>
  <c r="I10" i="166"/>
  <c r="I106" i="166" l="1"/>
  <c r="L106" i="166"/>
  <c r="N106" i="166" s="1"/>
  <c r="P106" i="166" s="1"/>
  <c r="E437" i="184"/>
  <c r="C438" i="184"/>
  <c r="C435" i="184"/>
  <c r="D449" i="184"/>
  <c r="B449" i="184"/>
  <c r="E448" i="184"/>
  <c r="E446" i="184"/>
  <c r="E445" i="184"/>
  <c r="E444" i="184"/>
  <c r="E443" i="184"/>
  <c r="E442" i="184"/>
  <c r="D439" i="184"/>
  <c r="E436" i="184"/>
  <c r="C449" i="184" l="1"/>
  <c r="C439" i="184"/>
  <c r="E438" i="184"/>
  <c r="B439" i="184"/>
  <c r="E447" i="184"/>
  <c r="E449" i="184" s="1"/>
  <c r="E435" i="184"/>
  <c r="E439" i="184" l="1"/>
  <c r="B121" i="184" l="1"/>
  <c r="C131" i="184"/>
  <c r="C121" i="184" s="1"/>
  <c r="D131" i="184"/>
  <c r="D128" i="184"/>
  <c r="D127" i="184"/>
  <c r="D130" i="184"/>
  <c r="D118" i="184"/>
  <c r="D121" i="184" l="1"/>
  <c r="J104" i="166" l="1"/>
  <c r="L104" i="166" s="1"/>
  <c r="N104" i="166" s="1"/>
  <c r="P104" i="166" s="1"/>
  <c r="I118" i="166"/>
  <c r="H93" i="166"/>
  <c r="I93" i="166"/>
  <c r="J92" i="166"/>
  <c r="J86" i="166"/>
  <c r="L86" i="166" s="1"/>
  <c r="N86" i="166" s="1"/>
  <c r="P86" i="166" s="1"/>
  <c r="J87" i="166"/>
  <c r="L87" i="166" s="1"/>
  <c r="N87" i="166" s="1"/>
  <c r="P87" i="166" s="1"/>
  <c r="J88" i="166"/>
  <c r="L88" i="166" s="1"/>
  <c r="N88" i="166" s="1"/>
  <c r="P88" i="166" s="1"/>
  <c r="I90" i="166"/>
  <c r="H83" i="166"/>
  <c r="I83" i="166"/>
  <c r="H70" i="166"/>
  <c r="I70" i="166"/>
  <c r="J74" i="166"/>
  <c r="L74" i="166" s="1"/>
  <c r="N74" i="166" s="1"/>
  <c r="P74" i="166" s="1"/>
  <c r="J75" i="166"/>
  <c r="L75" i="166" s="1"/>
  <c r="N75" i="166" s="1"/>
  <c r="P75" i="166" s="1"/>
  <c r="J76" i="166"/>
  <c r="L76" i="166" s="1"/>
  <c r="N76" i="166" s="1"/>
  <c r="P76" i="166" s="1"/>
  <c r="J79" i="166"/>
  <c r="L79" i="166" s="1"/>
  <c r="N79" i="166" s="1"/>
  <c r="P79" i="166" s="1"/>
  <c r="J81" i="166"/>
  <c r="L81" i="166" s="1"/>
  <c r="N81" i="166" s="1"/>
  <c r="P81" i="166" s="1"/>
  <c r="J64" i="166"/>
  <c r="L64" i="166" s="1"/>
  <c r="N64" i="166" s="1"/>
  <c r="P64" i="166" s="1"/>
  <c r="J53" i="166"/>
  <c r="L53" i="166" s="1"/>
  <c r="N53" i="166" s="1"/>
  <c r="P53" i="166" s="1"/>
  <c r="J56" i="166"/>
  <c r="L56" i="166" s="1"/>
  <c r="N56" i="166" s="1"/>
  <c r="P56" i="166" s="1"/>
  <c r="J57" i="166"/>
  <c r="L57" i="166" s="1"/>
  <c r="N57" i="166" s="1"/>
  <c r="P57" i="166" s="1"/>
  <c r="I61" i="166"/>
  <c r="J45" i="166"/>
  <c r="L45" i="166" s="1"/>
  <c r="N45" i="166" s="1"/>
  <c r="P45" i="166" s="1"/>
  <c r="I48" i="166"/>
  <c r="I36" i="166"/>
  <c r="J33" i="166"/>
  <c r="L33" i="166" s="1"/>
  <c r="N33" i="166" s="1"/>
  <c r="P33" i="166" s="1"/>
  <c r="I25" i="166"/>
  <c r="J22" i="166"/>
  <c r="L22" i="166" s="1"/>
  <c r="N22" i="166" s="1"/>
  <c r="P22" i="166" s="1"/>
  <c r="I14" i="166"/>
  <c r="J11" i="166"/>
  <c r="L11" i="166" s="1"/>
  <c r="N11" i="166" s="1"/>
  <c r="P11" i="166" s="1"/>
  <c r="G78" i="167"/>
  <c r="I78" i="167" s="1"/>
  <c r="K78" i="167" s="1"/>
  <c r="M78" i="167" s="1"/>
  <c r="G79" i="167"/>
  <c r="I79" i="167" s="1"/>
  <c r="K79" i="167" s="1"/>
  <c r="M79" i="167" s="1"/>
  <c r="G80" i="167"/>
  <c r="I80" i="167" s="1"/>
  <c r="K80" i="167" s="1"/>
  <c r="M80" i="167" s="1"/>
  <c r="G81" i="167"/>
  <c r="I81" i="167" s="1"/>
  <c r="K81" i="167" s="1"/>
  <c r="M81" i="167" s="1"/>
  <c r="G77" i="167"/>
  <c r="I77" i="167" s="1"/>
  <c r="K77" i="167" s="1"/>
  <c r="M77" i="167" s="1"/>
  <c r="F76" i="167"/>
  <c r="E76" i="167"/>
  <c r="G68" i="167"/>
  <c r="I68" i="167" s="1"/>
  <c r="K68" i="167" s="1"/>
  <c r="M68" i="167" s="1"/>
  <c r="G71" i="167"/>
  <c r="I71" i="167" s="1"/>
  <c r="K71" i="167" s="1"/>
  <c r="M71" i="167" s="1"/>
  <c r="F26" i="167"/>
  <c r="G28" i="167"/>
  <c r="I28" i="167" s="1"/>
  <c r="K28" i="167" s="1"/>
  <c r="M28" i="167" s="1"/>
  <c r="G27" i="167"/>
  <c r="I27" i="167" s="1"/>
  <c r="K27" i="167" s="1"/>
  <c r="M27" i="167" s="1"/>
  <c r="F7" i="167"/>
  <c r="F6" i="167" s="1"/>
  <c r="G25" i="167"/>
  <c r="G23" i="167" s="1"/>
  <c r="G22" i="167"/>
  <c r="G20" i="167" s="1"/>
  <c r="G19" i="167"/>
  <c r="G17" i="167"/>
  <c r="G15" i="167"/>
  <c r="K76" i="167" l="1"/>
  <c r="C13" i="149" s="1"/>
  <c r="I76" i="167"/>
  <c r="J93" i="166"/>
  <c r="L92" i="166"/>
  <c r="N92" i="166" s="1"/>
  <c r="P92" i="166" s="1"/>
  <c r="F5" i="167"/>
  <c r="F93" i="167" s="1"/>
  <c r="I78" i="166"/>
  <c r="G76" i="167"/>
  <c r="C424" i="184"/>
  <c r="B424" i="184"/>
  <c r="D423" i="184"/>
  <c r="E422" i="184"/>
  <c r="D422" i="184"/>
  <c r="D421" i="184"/>
  <c r="D420" i="184"/>
  <c r="D419" i="184"/>
  <c r="C414" i="184"/>
  <c r="B414" i="184"/>
  <c r="D413" i="184"/>
  <c r="D412" i="184"/>
  <c r="D411" i="184"/>
  <c r="D410" i="184"/>
  <c r="C401" i="184"/>
  <c r="B401" i="184"/>
  <c r="D400" i="184"/>
  <c r="D399" i="184"/>
  <c r="D398" i="184"/>
  <c r="D397" i="184"/>
  <c r="D396" i="184"/>
  <c r="C391" i="184"/>
  <c r="B391" i="184"/>
  <c r="D390" i="184"/>
  <c r="D389" i="184"/>
  <c r="D388" i="184"/>
  <c r="D387" i="184"/>
  <c r="D379" i="184"/>
  <c r="B379" i="184"/>
  <c r="C378" i="184"/>
  <c r="E378" i="184" s="1"/>
  <c r="C377" i="184"/>
  <c r="E376" i="184"/>
  <c r="E375" i="184"/>
  <c r="E374" i="184"/>
  <c r="E373" i="184"/>
  <c r="E372" i="184"/>
  <c r="D369" i="184"/>
  <c r="B368" i="184"/>
  <c r="E367" i="184"/>
  <c r="E366" i="184"/>
  <c r="D357" i="184"/>
  <c r="C357" i="184"/>
  <c r="B357" i="184"/>
  <c r="E356" i="184"/>
  <c r="E355" i="184"/>
  <c r="E354" i="184"/>
  <c r="E353" i="184"/>
  <c r="E352" i="184"/>
  <c r="D349" i="184"/>
  <c r="C349" i="184"/>
  <c r="B349" i="184"/>
  <c r="E348" i="184"/>
  <c r="E347" i="184"/>
  <c r="E346" i="184"/>
  <c r="D336" i="184"/>
  <c r="C336" i="184"/>
  <c r="B336" i="184"/>
  <c r="E335" i="184"/>
  <c r="E334" i="184"/>
  <c r="E333" i="184"/>
  <c r="E332" i="184"/>
  <c r="E331" i="184"/>
  <c r="D328" i="184"/>
  <c r="C328" i="184"/>
  <c r="B327" i="184"/>
  <c r="B328" i="184" s="1"/>
  <c r="E326" i="184"/>
  <c r="E325" i="184"/>
  <c r="B315" i="184"/>
  <c r="D314" i="184"/>
  <c r="D313" i="184"/>
  <c r="D312" i="184"/>
  <c r="C311" i="184"/>
  <c r="C315" i="184" s="1"/>
  <c r="D310" i="184"/>
  <c r="B305" i="184"/>
  <c r="D303" i="184"/>
  <c r="D302" i="184"/>
  <c r="D301" i="184"/>
  <c r="C293" i="184"/>
  <c r="B293" i="184"/>
  <c r="E292" i="184"/>
  <c r="E291" i="184"/>
  <c r="E290" i="184"/>
  <c r="D289" i="184"/>
  <c r="D293" i="184" s="1"/>
  <c r="E288" i="184"/>
  <c r="E287" i="184"/>
  <c r="E286" i="184"/>
  <c r="B283" i="184"/>
  <c r="E280" i="184"/>
  <c r="E279" i="184"/>
  <c r="C271" i="184"/>
  <c r="B271" i="184"/>
  <c r="E270" i="184"/>
  <c r="E269" i="184"/>
  <c r="E268" i="184"/>
  <c r="E267" i="184"/>
  <c r="D266" i="184"/>
  <c r="D271" i="184" s="1"/>
  <c r="E265" i="184"/>
  <c r="E264" i="184"/>
  <c r="E263" i="184"/>
  <c r="C260" i="184"/>
  <c r="B260" i="184"/>
  <c r="E258" i="184"/>
  <c r="E257" i="184"/>
  <c r="E256" i="184"/>
  <c r="C246" i="184"/>
  <c r="B246" i="184"/>
  <c r="F245" i="184"/>
  <c r="E245" i="184"/>
  <c r="E244" i="184"/>
  <c r="E243" i="184"/>
  <c r="D246" i="184"/>
  <c r="E241" i="184"/>
  <c r="E240" i="184"/>
  <c r="E239" i="184"/>
  <c r="C236" i="184"/>
  <c r="B236" i="184"/>
  <c r="E232" i="184"/>
  <c r="C177" i="184"/>
  <c r="B177" i="184"/>
  <c r="E175" i="184"/>
  <c r="E174" i="184"/>
  <c r="F173" i="184"/>
  <c r="E173" i="184"/>
  <c r="E172" i="184"/>
  <c r="E171" i="184"/>
  <c r="E170" i="184"/>
  <c r="E169" i="184"/>
  <c r="D166" i="184"/>
  <c r="B166" i="184"/>
  <c r="E165" i="184"/>
  <c r="E164" i="184"/>
  <c r="E163" i="184"/>
  <c r="E162" i="184"/>
  <c r="D154" i="184"/>
  <c r="C154" i="184"/>
  <c r="B154" i="184"/>
  <c r="F153" i="184"/>
  <c r="F152" i="184"/>
  <c r="E151" i="184"/>
  <c r="E154" i="184" s="1"/>
  <c r="F150" i="184"/>
  <c r="F149" i="184"/>
  <c r="F148" i="184"/>
  <c r="C145" i="184"/>
  <c r="B145" i="184"/>
  <c r="E143" i="184"/>
  <c r="E145" i="184" s="1"/>
  <c r="F142" i="184"/>
  <c r="C132" i="184"/>
  <c r="B132" i="184"/>
  <c r="E131" i="184"/>
  <c r="E130" i="184"/>
  <c r="E129" i="184"/>
  <c r="E127" i="184"/>
  <c r="E126" i="184"/>
  <c r="E125" i="184"/>
  <c r="C122" i="184"/>
  <c r="B122" i="184"/>
  <c r="E120" i="184"/>
  <c r="E119" i="184"/>
  <c r="E118" i="184"/>
  <c r="C110" i="184"/>
  <c r="B110" i="184"/>
  <c r="E109" i="184"/>
  <c r="E108" i="184"/>
  <c r="E107" i="184"/>
  <c r="E106" i="184"/>
  <c r="D110" i="184"/>
  <c r="E104" i="184"/>
  <c r="E103" i="184"/>
  <c r="E102" i="184"/>
  <c r="B99" i="184"/>
  <c r="E96" i="184"/>
  <c r="E95" i="184"/>
  <c r="D84" i="184"/>
  <c r="C84" i="184"/>
  <c r="B84" i="184"/>
  <c r="E83" i="184"/>
  <c r="E82" i="184"/>
  <c r="E81" i="184"/>
  <c r="E80" i="184"/>
  <c r="B75" i="184"/>
  <c r="E72" i="184"/>
  <c r="D64" i="184"/>
  <c r="C64" i="184"/>
  <c r="B64" i="184"/>
  <c r="E63" i="184"/>
  <c r="E62" i="184"/>
  <c r="E61" i="184"/>
  <c r="E60" i="184"/>
  <c r="E59" i="184"/>
  <c r="E58" i="184"/>
  <c r="B55" i="184"/>
  <c r="E53" i="184"/>
  <c r="E52" i="184"/>
  <c r="C43" i="184"/>
  <c r="B43" i="184"/>
  <c r="E42" i="184"/>
  <c r="E41" i="184"/>
  <c r="E40" i="184"/>
  <c r="E38" i="184"/>
  <c r="E37" i="184"/>
  <c r="E36" i="184"/>
  <c r="B33" i="184"/>
  <c r="E29" i="184"/>
  <c r="D21" i="184"/>
  <c r="C21" i="184"/>
  <c r="B21" i="184"/>
  <c r="E20" i="184"/>
  <c r="E19" i="184"/>
  <c r="E18" i="184"/>
  <c r="E17" i="184"/>
  <c r="E16" i="184"/>
  <c r="E15" i="184"/>
  <c r="D12" i="184"/>
  <c r="C12" i="184"/>
  <c r="B12" i="184"/>
  <c r="E11" i="184"/>
  <c r="E10" i="184"/>
  <c r="E9" i="184"/>
  <c r="O13" i="149" l="1"/>
  <c r="M76" i="167"/>
  <c r="D13" i="149" s="1"/>
  <c r="P13" i="149" s="1"/>
  <c r="D236" i="184"/>
  <c r="D259" i="184"/>
  <c r="E259" i="184" s="1"/>
  <c r="E260" i="184" s="1"/>
  <c r="E43" i="184"/>
  <c r="L93" i="166"/>
  <c r="E128" i="184"/>
  <c r="E132" i="184" s="1"/>
  <c r="E121" i="184"/>
  <c r="E122" i="184" s="1"/>
  <c r="I120" i="166"/>
  <c r="C369" i="184"/>
  <c r="C304" i="184"/>
  <c r="C305" i="184" s="1"/>
  <c r="D311" i="184"/>
  <c r="D315" i="184" s="1"/>
  <c r="E336" i="184"/>
  <c r="E357" i="184"/>
  <c r="C379" i="184"/>
  <c r="D33" i="184"/>
  <c r="E12" i="184"/>
  <c r="E33" i="184"/>
  <c r="E84" i="184"/>
  <c r="C74" i="184"/>
  <c r="C75" i="184" s="1"/>
  <c r="D99" i="184"/>
  <c r="E64" i="184"/>
  <c r="C54" i="184"/>
  <c r="C55" i="184" s="1"/>
  <c r="E105" i="184"/>
  <c r="E110" i="184" s="1"/>
  <c r="E166" i="184"/>
  <c r="E368" i="184"/>
  <c r="C97" i="184"/>
  <c r="E97" i="184" s="1"/>
  <c r="E21" i="184"/>
  <c r="F143" i="184"/>
  <c r="F151" i="184"/>
  <c r="F154" i="184" s="1"/>
  <c r="D144" i="184" s="1"/>
  <c r="E242" i="184"/>
  <c r="E246" i="184" s="1"/>
  <c r="D282" i="184"/>
  <c r="E289" i="184"/>
  <c r="E293" i="184" s="1"/>
  <c r="C281" i="184"/>
  <c r="C283" i="184" s="1"/>
  <c r="E328" i="184"/>
  <c r="E349" i="184"/>
  <c r="D391" i="184"/>
  <c r="D401" i="184"/>
  <c r="D414" i="184"/>
  <c r="D424" i="184"/>
  <c r="B369" i="184"/>
  <c r="D132" i="184"/>
  <c r="C166" i="184"/>
  <c r="E266" i="184"/>
  <c r="E271" i="184" s="1"/>
  <c r="E327" i="184"/>
  <c r="E365" i="184"/>
  <c r="E377" i="184"/>
  <c r="E379" i="184" s="1"/>
  <c r="E235" i="184" l="1"/>
  <c r="E236" i="184" s="1"/>
  <c r="D260" i="184"/>
  <c r="N93" i="166"/>
  <c r="P93" i="166" s="1"/>
  <c r="D10" i="153" s="1"/>
  <c r="H10" i="153" s="1"/>
  <c r="F43" i="184"/>
  <c r="E13" i="149"/>
  <c r="E281" i="184"/>
  <c r="F349" i="184"/>
  <c r="E98" i="184"/>
  <c r="E99" i="184" s="1"/>
  <c r="G110" i="184" s="1"/>
  <c r="D122" i="184"/>
  <c r="D304" i="184"/>
  <c r="D305" i="184" s="1"/>
  <c r="D54" i="184"/>
  <c r="D55" i="184" s="1"/>
  <c r="E55" i="184" s="1"/>
  <c r="E369" i="184"/>
  <c r="D74" i="184"/>
  <c r="D75" i="184" s="1"/>
  <c r="E75" i="184" s="1"/>
  <c r="C99" i="184"/>
  <c r="D145" i="184"/>
  <c r="F144" i="184"/>
  <c r="F145" i="184" s="1"/>
  <c r="D283" i="184"/>
  <c r="E282" i="184"/>
  <c r="L10" i="153" l="1"/>
  <c r="AC10" i="153" s="1"/>
  <c r="C10" i="153"/>
  <c r="G10" i="153" s="1"/>
  <c r="E283" i="184"/>
  <c r="E54" i="184"/>
  <c r="E74" i="184"/>
  <c r="I10" i="153" l="1"/>
  <c r="E10" i="153"/>
  <c r="E244" i="157"/>
  <c r="E245" i="157" s="1"/>
  <c r="B244" i="157"/>
  <c r="E233" i="157"/>
  <c r="E211" i="157"/>
  <c r="B233" i="157"/>
  <c r="B211" i="157"/>
  <c r="E205" i="157"/>
  <c r="B205" i="157"/>
  <c r="B184" i="157"/>
  <c r="B178" i="157"/>
  <c r="E171" i="157"/>
  <c r="E168" i="157"/>
  <c r="B171" i="157"/>
  <c r="B97" i="157"/>
  <c r="B119" i="183"/>
  <c r="B106" i="183"/>
  <c r="B97" i="183"/>
  <c r="B92" i="183"/>
  <c r="B85" i="183"/>
  <c r="B76" i="183"/>
  <c r="B59" i="183"/>
  <c r="B48" i="183"/>
  <c r="B40" i="183"/>
  <c r="B20" i="183"/>
  <c r="B14" i="183"/>
  <c r="B59" i="156"/>
  <c r="E125" i="155"/>
  <c r="B125" i="155"/>
  <c r="E77" i="155"/>
  <c r="B88" i="155"/>
  <c r="B63" i="155"/>
  <c r="B33" i="155"/>
  <c r="E33" i="155"/>
  <c r="K10" i="153" l="1"/>
  <c r="AB10" i="153" s="1"/>
  <c r="E174" i="157"/>
  <c r="E175" i="157" s="1"/>
  <c r="F175" i="157" s="1"/>
  <c r="E197" i="157"/>
  <c r="I27" i="170"/>
  <c r="B77" i="155"/>
  <c r="C5" i="134"/>
  <c r="F21" i="134"/>
  <c r="C21" i="134"/>
  <c r="AZ7" i="154"/>
  <c r="Z6" i="154" l="1"/>
  <c r="F5" i="134"/>
  <c r="W6" i="154"/>
  <c r="V28" i="150" l="1"/>
  <c r="V25" i="150"/>
  <c r="S28" i="150"/>
  <c r="S25" i="150"/>
  <c r="J28" i="150"/>
  <c r="I23" i="150"/>
  <c r="F23" i="150"/>
  <c r="F13" i="150"/>
  <c r="B15" i="150"/>
  <c r="B13" i="150"/>
  <c r="I20" i="149"/>
  <c r="B44" i="148"/>
  <c r="G38" i="158" s="1"/>
  <c r="J38" i="158" l="1"/>
  <c r="E44" i="148"/>
  <c r="M28" i="150"/>
  <c r="I30" i="170" l="1"/>
  <c r="P6" i="171"/>
  <c r="E47" i="171" l="1"/>
  <c r="G47" i="171"/>
  <c r="E20" i="171"/>
  <c r="E248" i="157" l="1"/>
  <c r="B248" i="157"/>
  <c r="E247" i="157"/>
  <c r="B247" i="157"/>
  <c r="B32" i="183"/>
  <c r="AG11" i="153"/>
  <c r="G11" i="170"/>
  <c r="B41" i="170"/>
  <c r="B11" i="170" s="1"/>
  <c r="E250" i="157" l="1"/>
  <c r="B250" i="157"/>
  <c r="B120" i="183"/>
  <c r="AY9" i="154" l="1"/>
  <c r="AX9" i="154"/>
  <c r="AI12" i="153"/>
  <c r="AG12" i="153"/>
  <c r="AF12" i="153"/>
  <c r="C14" i="134" l="1"/>
  <c r="C11" i="134"/>
  <c r="F11" i="134" l="1"/>
  <c r="Z8" i="154"/>
  <c r="F27" i="134"/>
  <c r="C27" i="134"/>
  <c r="N53" i="171" l="1"/>
  <c r="D51" i="171"/>
  <c r="B49" i="171"/>
  <c r="N48" i="171"/>
  <c r="P48" i="171" s="1"/>
  <c r="M49" i="171"/>
  <c r="L49" i="171"/>
  <c r="K49" i="171"/>
  <c r="J49" i="171"/>
  <c r="I49" i="171"/>
  <c r="H49" i="171"/>
  <c r="G49" i="171"/>
  <c r="F49" i="171"/>
  <c r="E49" i="171"/>
  <c r="D49" i="171"/>
  <c r="C49" i="171"/>
  <c r="N46" i="171"/>
  <c r="P46" i="171" s="1"/>
  <c r="N45" i="171"/>
  <c r="P45" i="171" s="1"/>
  <c r="L44" i="171"/>
  <c r="K44" i="171"/>
  <c r="J44" i="171"/>
  <c r="I44" i="171"/>
  <c r="H44" i="171"/>
  <c r="G44" i="171"/>
  <c r="G50" i="171" s="1"/>
  <c r="G52" i="171" s="1"/>
  <c r="F44" i="171"/>
  <c r="E44" i="171"/>
  <c r="D44" i="171"/>
  <c r="C44" i="171"/>
  <c r="C50" i="171" s="1"/>
  <c r="C52" i="171" s="1"/>
  <c r="B44" i="171"/>
  <c r="N42" i="171"/>
  <c r="P42" i="171" s="1"/>
  <c r="N41" i="171"/>
  <c r="P41" i="171" s="1"/>
  <c r="N40" i="171"/>
  <c r="P40" i="171" s="1"/>
  <c r="N39" i="171"/>
  <c r="P39" i="171" s="1"/>
  <c r="N38" i="171"/>
  <c r="P38" i="171" s="1"/>
  <c r="N37" i="171"/>
  <c r="P37" i="171" s="1"/>
  <c r="N36" i="171"/>
  <c r="P36" i="171" s="1"/>
  <c r="N35" i="171"/>
  <c r="P35" i="171" s="1"/>
  <c r="N34" i="171"/>
  <c r="P34" i="171" s="1"/>
  <c r="N33" i="171"/>
  <c r="P33" i="171" s="1"/>
  <c r="N31" i="171"/>
  <c r="P31" i="171" s="1"/>
  <c r="N30" i="171"/>
  <c r="P30" i="171" s="1"/>
  <c r="N29" i="171"/>
  <c r="P29" i="171" s="1"/>
  <c r="M26" i="171"/>
  <c r="L26" i="171"/>
  <c r="K26" i="171"/>
  <c r="J26" i="171"/>
  <c r="I26" i="171"/>
  <c r="H26" i="171"/>
  <c r="G26" i="171"/>
  <c r="F26" i="171"/>
  <c r="E26" i="171"/>
  <c r="E27" i="171" s="1"/>
  <c r="E32" i="171" s="1"/>
  <c r="D26" i="171"/>
  <c r="C26" i="171"/>
  <c r="B26" i="171"/>
  <c r="N25" i="171"/>
  <c r="P25" i="171" s="1"/>
  <c r="N24" i="171"/>
  <c r="P24" i="171" s="1"/>
  <c r="N23" i="171"/>
  <c r="P23" i="171" s="1"/>
  <c r="N22" i="171"/>
  <c r="P22" i="171" s="1"/>
  <c r="N21" i="171"/>
  <c r="P21" i="171" s="1"/>
  <c r="L20" i="171"/>
  <c r="K20" i="171"/>
  <c r="J20" i="171"/>
  <c r="H20" i="171"/>
  <c r="F20" i="171"/>
  <c r="D20" i="171"/>
  <c r="C20" i="171"/>
  <c r="B20" i="171"/>
  <c r="N19" i="171"/>
  <c r="P19" i="171" s="1"/>
  <c r="N18" i="171"/>
  <c r="P18" i="171" s="1"/>
  <c r="N17" i="171"/>
  <c r="P17" i="171" s="1"/>
  <c r="N16" i="171"/>
  <c r="P16" i="171" s="1"/>
  <c r="N15" i="171"/>
  <c r="P15" i="171" s="1"/>
  <c r="N14" i="171"/>
  <c r="P14" i="171" s="1"/>
  <c r="I20" i="171"/>
  <c r="G20" i="171"/>
  <c r="N12" i="171"/>
  <c r="P12" i="171" s="1"/>
  <c r="N11" i="171"/>
  <c r="P11" i="171" s="1"/>
  <c r="N9" i="171"/>
  <c r="P9" i="171" s="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K24" i="170"/>
  <c r="K14" i="170"/>
  <c r="K13" i="170"/>
  <c r="J13" i="170"/>
  <c r="I60" i="169"/>
  <c r="B60" i="169"/>
  <c r="I59" i="169"/>
  <c r="H44" i="169"/>
  <c r="B44" i="169"/>
  <c r="B61" i="169" s="1"/>
  <c r="H43" i="169"/>
  <c r="C42" i="169"/>
  <c r="C58" i="169" s="1"/>
  <c r="F42" i="169"/>
  <c r="F58" i="169" s="1"/>
  <c r="H39" i="169"/>
  <c r="H37" i="169"/>
  <c r="D34" i="169"/>
  <c r="D25" i="169"/>
  <c r="H24" i="169"/>
  <c r="H23" i="169"/>
  <c r="H22" i="169"/>
  <c r="C20" i="169"/>
  <c r="C57" i="169" s="1"/>
  <c r="F20" i="169"/>
  <c r="F57" i="169" s="1"/>
  <c r="D14" i="169"/>
  <c r="H13" i="169"/>
  <c r="D13" i="169"/>
  <c r="D12" i="169"/>
  <c r="H97" i="170" l="1"/>
  <c r="AY10" i="154"/>
  <c r="B27" i="17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AX10" i="154"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P51" i="171" s="1"/>
  <c r="H50" i="171"/>
  <c r="H52" i="171" s="1"/>
  <c r="B50" i="171"/>
  <c r="B54" i="171" s="1"/>
  <c r="C6" i="171" s="1"/>
  <c r="F50" i="171"/>
  <c r="F52" i="171" s="1"/>
  <c r="L50" i="171"/>
  <c r="L52" i="171" s="1"/>
  <c r="N26" i="171"/>
  <c r="C27" i="171"/>
  <c r="C32" i="171" s="1"/>
  <c r="I51" i="170"/>
  <c r="K25" i="170"/>
  <c r="K30" i="170"/>
  <c r="Q6" i="171"/>
  <c r="N6" i="171" s="1"/>
  <c r="N13" i="171"/>
  <c r="N28" i="171"/>
  <c r="P28" i="171" s="1"/>
  <c r="N47" i="171"/>
  <c r="J39" i="170"/>
  <c r="D49" i="170"/>
  <c r="D51" i="170" s="1"/>
  <c r="E42" i="170"/>
  <c r="G61" i="170"/>
  <c r="G64" i="170" s="1"/>
  <c r="J54" i="170"/>
  <c r="C65" i="170"/>
  <c r="E72" i="170"/>
  <c r="E82" i="170" s="1"/>
  <c r="B49" i="170"/>
  <c r="B51" i="170" s="1"/>
  <c r="B65" i="170" s="1"/>
  <c r="E39" i="170"/>
  <c r="E41" i="170"/>
  <c r="J41" i="170"/>
  <c r="C82" i="170"/>
  <c r="F56" i="169"/>
  <c r="AW10" i="154" l="1"/>
  <c r="N49" i="171"/>
  <c r="P47" i="171"/>
  <c r="N20" i="171"/>
  <c r="N27" i="171" s="1"/>
  <c r="P13" i="171"/>
  <c r="G58" i="169"/>
  <c r="I58" i="169" s="1"/>
  <c r="I32" i="170"/>
  <c r="AY11" i="154"/>
  <c r="AG13" i="153"/>
  <c r="AF14" i="153"/>
  <c r="B52" i="171"/>
  <c r="G65" i="170"/>
  <c r="E49" i="170"/>
  <c r="E51" i="170" s="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X11" i="154"/>
  <c r="N32" i="171"/>
  <c r="E76" i="149" l="1"/>
  <c r="E15" i="150" l="1"/>
  <c r="E35" i="149" l="1"/>
  <c r="V10" i="154"/>
  <c r="I10" i="154"/>
  <c r="AV6" i="154"/>
  <c r="I9" i="154" l="1"/>
  <c r="M9" i="154"/>
  <c r="V9" i="154"/>
  <c r="Z9" i="154"/>
  <c r="I11" i="154"/>
  <c r="V11" i="154"/>
  <c r="C37" i="148"/>
  <c r="E37" i="148" s="1"/>
  <c r="C34" i="148"/>
  <c r="E34" i="148" s="1"/>
  <c r="I57" i="150"/>
  <c r="M57" i="150"/>
  <c r="V57" i="150"/>
  <c r="V34" i="150"/>
  <c r="M12" i="154"/>
  <c r="I12" i="154"/>
  <c r="E35" i="155"/>
  <c r="E27" i="155"/>
  <c r="C28" i="148"/>
  <c r="E28" i="148" s="1"/>
  <c r="C36" i="148"/>
  <c r="E36" i="148" s="1"/>
  <c r="E88" i="167"/>
  <c r="C72" i="167"/>
  <c r="E70" i="167"/>
  <c r="E26" i="167"/>
  <c r="G26" i="167" s="1"/>
  <c r="I26" i="167" s="1"/>
  <c r="K26" i="167" s="1"/>
  <c r="M26" i="167" s="1"/>
  <c r="E25" i="167"/>
  <c r="E23" i="167" s="1"/>
  <c r="E22" i="167"/>
  <c r="E20" i="167" s="1"/>
  <c r="E19" i="167"/>
  <c r="E17" i="167"/>
  <c r="E15" i="167"/>
  <c r="E12" i="167"/>
  <c r="E8" i="167"/>
  <c r="G107" i="166"/>
  <c r="J107" i="166" s="1"/>
  <c r="L107" i="166" s="1"/>
  <c r="N107" i="166" s="1"/>
  <c r="P107" i="166" s="1"/>
  <c r="E105" i="166"/>
  <c r="G105" i="166" s="1"/>
  <c r="J105" i="166" s="1"/>
  <c r="L105" i="166" s="1"/>
  <c r="N105" i="166" s="1"/>
  <c r="P105" i="166" s="1"/>
  <c r="G97" i="166"/>
  <c r="G93" i="166"/>
  <c r="G85" i="166"/>
  <c r="G80" i="166"/>
  <c r="G73" i="166"/>
  <c r="J73" i="166" s="1"/>
  <c r="L73" i="166" s="1"/>
  <c r="N73" i="166" s="1"/>
  <c r="P73" i="166" s="1"/>
  <c r="G72" i="166"/>
  <c r="J72" i="166" s="1"/>
  <c r="L72" i="166" s="1"/>
  <c r="N72" i="166" s="1"/>
  <c r="P72" i="166" s="1"/>
  <c r="G71" i="166"/>
  <c r="J71" i="166" s="1"/>
  <c r="L71" i="166" s="1"/>
  <c r="N71" i="166" s="1"/>
  <c r="P71" i="166" s="1"/>
  <c r="G69" i="166"/>
  <c r="J69" i="166" s="1"/>
  <c r="L69" i="166" s="1"/>
  <c r="N69" i="166" s="1"/>
  <c r="P69" i="166" s="1"/>
  <c r="G68" i="166"/>
  <c r="J68" i="166" s="1"/>
  <c r="L68" i="166" s="1"/>
  <c r="N68" i="166" s="1"/>
  <c r="P68" i="166" s="1"/>
  <c r="G67" i="166"/>
  <c r="J67" i="166" s="1"/>
  <c r="L67" i="166" s="1"/>
  <c r="N67" i="166" s="1"/>
  <c r="P67" i="166" s="1"/>
  <c r="G66" i="166"/>
  <c r="J66" i="166" s="1"/>
  <c r="L66" i="166" s="1"/>
  <c r="N66" i="166" s="1"/>
  <c r="P66" i="166" s="1"/>
  <c r="G65" i="166"/>
  <c r="J65" i="166" s="1"/>
  <c r="L65" i="166" s="1"/>
  <c r="N65" i="166" s="1"/>
  <c r="P65" i="166" s="1"/>
  <c r="E54" i="166"/>
  <c r="G54" i="166" s="1"/>
  <c r="J54" i="166" s="1"/>
  <c r="L54" i="166" s="1"/>
  <c r="N54" i="166" s="1"/>
  <c r="P54" i="166" s="1"/>
  <c r="F52" i="166"/>
  <c r="G52" i="166" s="1"/>
  <c r="J52" i="166" s="1"/>
  <c r="L52" i="166" s="1"/>
  <c r="N52" i="166" s="1"/>
  <c r="P52" i="166" s="1"/>
  <c r="F51" i="166"/>
  <c r="G51" i="166" s="1"/>
  <c r="J51" i="166" s="1"/>
  <c r="L51" i="166" s="1"/>
  <c r="N51" i="166" s="1"/>
  <c r="P51" i="166" s="1"/>
  <c r="E43" i="166"/>
  <c r="G43" i="166" s="1"/>
  <c r="J43" i="166" s="1"/>
  <c r="L43" i="166" s="1"/>
  <c r="N43" i="166" s="1"/>
  <c r="P43" i="166" s="1"/>
  <c r="G42" i="166"/>
  <c r="J42" i="166" s="1"/>
  <c r="L42" i="166" s="1"/>
  <c r="N42" i="166" s="1"/>
  <c r="P42" i="166" s="1"/>
  <c r="G41" i="166"/>
  <c r="J41" i="166" s="1"/>
  <c r="L41" i="166" s="1"/>
  <c r="N41" i="166" s="1"/>
  <c r="P41" i="166" s="1"/>
  <c r="G40" i="166"/>
  <c r="J40" i="166" s="1"/>
  <c r="L40" i="166" s="1"/>
  <c r="N40" i="166" s="1"/>
  <c r="P40" i="166" s="1"/>
  <c r="G39" i="166"/>
  <c r="J39" i="166" s="1"/>
  <c r="L39" i="166" s="1"/>
  <c r="N39" i="166" s="1"/>
  <c r="P39" i="166" s="1"/>
  <c r="G38" i="166"/>
  <c r="J38" i="166" s="1"/>
  <c r="L38" i="166" s="1"/>
  <c r="N38" i="166" s="1"/>
  <c r="P38" i="166" s="1"/>
  <c r="E31" i="166"/>
  <c r="G31" i="166" s="1"/>
  <c r="J31" i="166" s="1"/>
  <c r="L31" i="166" s="1"/>
  <c r="N31" i="166" s="1"/>
  <c r="P31" i="166" s="1"/>
  <c r="G30" i="166"/>
  <c r="J30" i="166" s="1"/>
  <c r="L30" i="166" s="1"/>
  <c r="N30" i="166" s="1"/>
  <c r="P30" i="166" s="1"/>
  <c r="G29" i="166"/>
  <c r="J29" i="166" s="1"/>
  <c r="L29" i="166" s="1"/>
  <c r="N29" i="166" s="1"/>
  <c r="P29" i="166" s="1"/>
  <c r="G28" i="166"/>
  <c r="J28" i="166" s="1"/>
  <c r="L28" i="166" s="1"/>
  <c r="N28" i="166" s="1"/>
  <c r="P28" i="166" s="1"/>
  <c r="G27" i="166"/>
  <c r="J27" i="166" s="1"/>
  <c r="L27" i="166" s="1"/>
  <c r="N27" i="166" s="1"/>
  <c r="P27" i="166" s="1"/>
  <c r="E20" i="166"/>
  <c r="G20" i="166" s="1"/>
  <c r="J20" i="166" s="1"/>
  <c r="L20" i="166" s="1"/>
  <c r="N20" i="166" s="1"/>
  <c r="P20" i="166" s="1"/>
  <c r="G19" i="166"/>
  <c r="J19" i="166" s="1"/>
  <c r="L19" i="166" s="1"/>
  <c r="N19" i="166" s="1"/>
  <c r="P19" i="166" s="1"/>
  <c r="G18" i="166"/>
  <c r="J18" i="166" s="1"/>
  <c r="L18" i="166" s="1"/>
  <c r="N18" i="166" s="1"/>
  <c r="P18" i="166" s="1"/>
  <c r="G17" i="166"/>
  <c r="J17" i="166" s="1"/>
  <c r="L17" i="166" s="1"/>
  <c r="N17" i="166" s="1"/>
  <c r="P17" i="166" s="1"/>
  <c r="G16" i="166"/>
  <c r="J16" i="166" s="1"/>
  <c r="L16" i="166" s="1"/>
  <c r="N16" i="166" s="1"/>
  <c r="P16" i="166" s="1"/>
  <c r="E9" i="166"/>
  <c r="G9" i="166" s="1"/>
  <c r="G8" i="166"/>
  <c r="J8" i="166" s="1"/>
  <c r="L8" i="166" s="1"/>
  <c r="N8" i="166" s="1"/>
  <c r="P8" i="166" s="1"/>
  <c r="G7" i="166"/>
  <c r="G6" i="166"/>
  <c r="D6" i="166"/>
  <c r="G5" i="166"/>
  <c r="G4" i="166"/>
  <c r="L118" i="166" l="1"/>
  <c r="N118" i="166" s="1"/>
  <c r="P118" i="166" s="1"/>
  <c r="E146" i="155"/>
  <c r="E13" i="156"/>
  <c r="E57" i="150"/>
  <c r="E141" i="155"/>
  <c r="E5" i="156"/>
  <c r="C27" i="148"/>
  <c r="E27" i="148" s="1"/>
  <c r="Z10" i="154"/>
  <c r="J6" i="166"/>
  <c r="L6" i="166" s="1"/>
  <c r="N6" i="166" s="1"/>
  <c r="P6" i="166" s="1"/>
  <c r="J4" i="166"/>
  <c r="L4" i="166" s="1"/>
  <c r="N4" i="166" s="1"/>
  <c r="P4" i="166" s="1"/>
  <c r="J9" i="166"/>
  <c r="L9" i="166" s="1"/>
  <c r="N9" i="166" s="1"/>
  <c r="P9" i="166" s="1"/>
  <c r="J5" i="166"/>
  <c r="L5" i="166" s="1"/>
  <c r="N5" i="166" s="1"/>
  <c r="P5" i="166" s="1"/>
  <c r="P10" i="149"/>
  <c r="Z11" i="154"/>
  <c r="R12" i="154"/>
  <c r="J118" i="166"/>
  <c r="J7" i="166"/>
  <c r="L7" i="166" s="1"/>
  <c r="N7" i="166" s="1"/>
  <c r="P7" i="166" s="1"/>
  <c r="G83" i="166"/>
  <c r="J83" i="166" s="1"/>
  <c r="J80" i="166"/>
  <c r="L80" i="166" s="1"/>
  <c r="N80" i="166" s="1"/>
  <c r="P80" i="166" s="1"/>
  <c r="G90" i="166"/>
  <c r="J90" i="166" s="1"/>
  <c r="J85" i="166"/>
  <c r="L85" i="166" s="1"/>
  <c r="N85" i="166" s="1"/>
  <c r="P85" i="166" s="1"/>
  <c r="B12" i="149"/>
  <c r="G70" i="167"/>
  <c r="E13" i="167"/>
  <c r="E11" i="167" s="1"/>
  <c r="G12" i="167"/>
  <c r="E7" i="167"/>
  <c r="G7" i="167" s="1"/>
  <c r="I7" i="167" s="1"/>
  <c r="K7" i="167" s="1"/>
  <c r="M7" i="167" s="1"/>
  <c r="G8" i="167"/>
  <c r="I8" i="167" s="1"/>
  <c r="K8" i="167" s="1"/>
  <c r="M8" i="167" s="1"/>
  <c r="B12" i="170"/>
  <c r="G20" i="169"/>
  <c r="H21" i="169"/>
  <c r="G70" i="166"/>
  <c r="J70" i="166" s="1"/>
  <c r="L70" i="166" s="1"/>
  <c r="N70" i="166" s="1"/>
  <c r="P70" i="166" s="1"/>
  <c r="G118" i="166"/>
  <c r="G13" i="154"/>
  <c r="I13" i="154" s="1"/>
  <c r="E50" i="150"/>
  <c r="G48" i="166"/>
  <c r="J48" i="166" s="1"/>
  <c r="L48" i="166" s="1"/>
  <c r="N48" i="166" s="1"/>
  <c r="P48" i="166" s="1"/>
  <c r="G25" i="166"/>
  <c r="J25" i="166" s="1"/>
  <c r="L25" i="166" s="1"/>
  <c r="N25" i="166" s="1"/>
  <c r="P25" i="166" s="1"/>
  <c r="G36" i="166"/>
  <c r="J36" i="166" s="1"/>
  <c r="L36" i="166" s="1"/>
  <c r="N36" i="166" s="1"/>
  <c r="P36" i="166" s="1"/>
  <c r="G61" i="166"/>
  <c r="J61" i="166" s="1"/>
  <c r="L61" i="166" s="1"/>
  <c r="E237" i="157"/>
  <c r="G14" i="166"/>
  <c r="J14" i="166" s="1"/>
  <c r="L14" i="166" s="1"/>
  <c r="N14" i="166" s="1"/>
  <c r="P14" i="166" s="1"/>
  <c r="E136" i="155" l="1"/>
  <c r="N61" i="166"/>
  <c r="P61" i="166" s="1"/>
  <c r="D11" i="153" s="1"/>
  <c r="H11" i="153" s="1"/>
  <c r="E10" i="149"/>
  <c r="H32" i="169"/>
  <c r="C22" i="148"/>
  <c r="E22" i="148" s="1"/>
  <c r="E38" i="155"/>
  <c r="M11" i="154"/>
  <c r="M10" i="154"/>
  <c r="L90" i="166"/>
  <c r="L83" i="166"/>
  <c r="I70" i="167"/>
  <c r="G13" i="167"/>
  <c r="I12" i="167"/>
  <c r="F40" i="169"/>
  <c r="G78" i="166"/>
  <c r="J78" i="166" s="1"/>
  <c r="E6" i="167"/>
  <c r="E5" i="167" s="1"/>
  <c r="E93" i="167" s="1"/>
  <c r="K20" i="170"/>
  <c r="J20" i="170"/>
  <c r="G57" i="169"/>
  <c r="H20" i="169"/>
  <c r="H57" i="169" s="1"/>
  <c r="H56" i="169" s="1"/>
  <c r="E238" i="157"/>
  <c r="H238" i="157" s="1"/>
  <c r="C11" i="153" l="1"/>
  <c r="I13" i="167"/>
  <c r="K12" i="167"/>
  <c r="K70" i="167"/>
  <c r="C13" i="153"/>
  <c r="G13" i="153" s="1"/>
  <c r="N83" i="166"/>
  <c r="N90" i="166"/>
  <c r="P90" i="166" s="1"/>
  <c r="D9" i="153" s="1"/>
  <c r="H9" i="153" s="1"/>
  <c r="M13" i="154"/>
  <c r="E44" i="155"/>
  <c r="C21" i="148"/>
  <c r="E21" i="148" s="1"/>
  <c r="E148" i="155"/>
  <c r="V13" i="154"/>
  <c r="V12" i="154"/>
  <c r="J120" i="166"/>
  <c r="L78" i="166"/>
  <c r="N78" i="166" s="1"/>
  <c r="P78" i="166" s="1"/>
  <c r="L11" i="153"/>
  <c r="AC11" i="153" s="1"/>
  <c r="AE11" i="153" s="1"/>
  <c r="AJ11" i="153" s="1"/>
  <c r="E11" i="149"/>
  <c r="Z13" i="154"/>
  <c r="Z12" i="154"/>
  <c r="F47" i="169"/>
  <c r="F53" i="169"/>
  <c r="G120" i="166"/>
  <c r="G6" i="167"/>
  <c r="I6" i="167" s="1"/>
  <c r="K6" i="167" s="1"/>
  <c r="M6" i="167" s="1"/>
  <c r="B9" i="149"/>
  <c r="G5" i="167"/>
  <c r="C26" i="148"/>
  <c r="E26" i="148" s="1"/>
  <c r="G56" i="169"/>
  <c r="I56" i="169" s="1"/>
  <c r="I57" i="169"/>
  <c r="G11" i="153" l="1"/>
  <c r="I11" i="153" s="1"/>
  <c r="H12" i="153"/>
  <c r="P83" i="166"/>
  <c r="E11" i="153"/>
  <c r="L9" i="153"/>
  <c r="AC9" i="153" s="1"/>
  <c r="AE9" i="153" s="1"/>
  <c r="C9" i="153"/>
  <c r="G9" i="153" s="1"/>
  <c r="M70" i="167"/>
  <c r="D12" i="149" s="1"/>
  <c r="P12" i="149" s="1"/>
  <c r="C12" i="149"/>
  <c r="O12" i="149" s="1"/>
  <c r="K13" i="167"/>
  <c r="M13" i="167" s="1"/>
  <c r="M12" i="167"/>
  <c r="N120" i="166"/>
  <c r="K13" i="153"/>
  <c r="AB13" i="153" s="1"/>
  <c r="L120" i="166"/>
  <c r="I5" i="167"/>
  <c r="G93" i="167"/>
  <c r="D25" i="170"/>
  <c r="K11" i="153" l="1"/>
  <c r="AB11" i="153" s="1"/>
  <c r="P120" i="166"/>
  <c r="D13" i="153"/>
  <c r="H13" i="153" s="1"/>
  <c r="H14" i="153" s="1"/>
  <c r="H15" i="153" s="1"/>
  <c r="D12" i="153"/>
  <c r="B9" i="170" s="1"/>
  <c r="E9" i="153"/>
  <c r="C12" i="153"/>
  <c r="C14" i="153" s="1"/>
  <c r="C15" i="153" s="1"/>
  <c r="C16" i="153" s="1"/>
  <c r="E12" i="149"/>
  <c r="K5" i="167"/>
  <c r="I93" i="167"/>
  <c r="AC12" i="153"/>
  <c r="AV7" i="154"/>
  <c r="AV8" i="154"/>
  <c r="B9" i="154"/>
  <c r="F9" i="154"/>
  <c r="J9" i="154"/>
  <c r="O9" i="154"/>
  <c r="R9" i="154"/>
  <c r="S9" i="154"/>
  <c r="AB9" i="154"/>
  <c r="AB11" i="154" s="1"/>
  <c r="AE9" i="154"/>
  <c r="AF9" i="154"/>
  <c r="AF11" i="154" s="1"/>
  <c r="AI9" i="154"/>
  <c r="AI11" i="154" s="1"/>
  <c r="AJ9" i="154"/>
  <c r="AJ11" i="154" s="1"/>
  <c r="AM9" i="154"/>
  <c r="AM11" i="154" s="1"/>
  <c r="AO9" i="154"/>
  <c r="AO11" i="154" s="1"/>
  <c r="AR9" i="154"/>
  <c r="AR11" i="154" s="1"/>
  <c r="F10" i="154"/>
  <c r="S10" i="154"/>
  <c r="L13" i="153" l="1"/>
  <c r="AC13" i="153" s="1"/>
  <c r="I13" i="153"/>
  <c r="G12" i="153"/>
  <c r="G14" i="153" s="1"/>
  <c r="G15" i="153" s="1"/>
  <c r="I9" i="153"/>
  <c r="C9" i="170"/>
  <c r="K9" i="153"/>
  <c r="AB9" i="153" s="1"/>
  <c r="AB12" i="153" s="1"/>
  <c r="AB14" i="153" s="1"/>
  <c r="E13" i="153"/>
  <c r="E12" i="153"/>
  <c r="D14" i="153"/>
  <c r="D15" i="153" s="1"/>
  <c r="D9" i="170" s="1"/>
  <c r="L12" i="153"/>
  <c r="B8" i="169"/>
  <c r="M5" i="167"/>
  <c r="C9" i="149"/>
  <c r="C8" i="149" s="1"/>
  <c r="C7" i="149" s="1"/>
  <c r="C74" i="149" s="1"/>
  <c r="C92" i="149" s="1"/>
  <c r="O92" i="149" s="1"/>
  <c r="K93" i="167"/>
  <c r="K94" i="167" s="1"/>
  <c r="AC14" i="153"/>
  <c r="M50" i="150"/>
  <c r="I50" i="150"/>
  <c r="G19" i="170"/>
  <c r="G21" i="170" s="1"/>
  <c r="S11" i="154"/>
  <c r="F11" i="169" s="1"/>
  <c r="B11" i="154"/>
  <c r="F11" i="154"/>
  <c r="L14" i="153" l="1"/>
  <c r="L16" i="153" s="1"/>
  <c r="D16" i="153"/>
  <c r="E16" i="153" s="1"/>
  <c r="E14" i="153"/>
  <c r="K12" i="153"/>
  <c r="K14" i="153" s="1"/>
  <c r="K16" i="153" s="1"/>
  <c r="E15" i="153"/>
  <c r="O9" i="149"/>
  <c r="O8" i="149" s="1"/>
  <c r="O7" i="149" s="1"/>
  <c r="O74" i="149" s="1"/>
  <c r="M93" i="167"/>
  <c r="D9" i="149"/>
  <c r="D8" i="149" s="1"/>
  <c r="D7" i="149" s="1"/>
  <c r="D74" i="149" s="1"/>
  <c r="D92" i="149" s="1"/>
  <c r="M51" i="150"/>
  <c r="I51" i="150"/>
  <c r="O8" i="171" l="1"/>
  <c r="P8" i="171" s="1"/>
  <c r="C8" i="169"/>
  <c r="E9" i="149"/>
  <c r="Q9" i="149" s="1"/>
  <c r="P9" i="149"/>
  <c r="P8" i="149" s="1"/>
  <c r="P7" i="149" s="1"/>
  <c r="P74" i="149" s="1"/>
  <c r="P15" i="153"/>
  <c r="P92" i="149"/>
  <c r="H36" i="169"/>
  <c r="K11" i="170"/>
  <c r="D7" i="158" l="1"/>
  <c r="D17" i="158" s="1"/>
  <c r="D18" i="158" s="1"/>
  <c r="D6" i="148"/>
  <c r="D13" i="148" s="1"/>
  <c r="D18" i="148" s="1"/>
  <c r="P32" i="171" s="1"/>
  <c r="D51" i="158"/>
  <c r="D53" i="158" s="1"/>
  <c r="I54" i="158" s="1"/>
  <c r="P16" i="153"/>
  <c r="AC15" i="153"/>
  <c r="AC16" i="153" s="1"/>
  <c r="J28" i="170"/>
  <c r="K28" i="170"/>
  <c r="H16" i="169"/>
  <c r="D25" i="158" l="1"/>
  <c r="J17" i="170"/>
  <c r="K17" i="170"/>
  <c r="I15" i="150"/>
  <c r="C20" i="170" l="1"/>
  <c r="H41" i="158"/>
  <c r="H36" i="158"/>
  <c r="J36" i="158" s="1"/>
  <c r="H23" i="158"/>
  <c r="J23" i="158" s="1"/>
  <c r="H12" i="158"/>
  <c r="J12" i="158" s="1"/>
  <c r="H34" i="158"/>
  <c r="J34" i="158" s="1"/>
  <c r="H35" i="158"/>
  <c r="J35" i="158" s="1"/>
  <c r="H37" i="158"/>
  <c r="J37" i="158" s="1"/>
  <c r="E80" i="156"/>
  <c r="H15" i="158"/>
  <c r="J15" i="158" s="1"/>
  <c r="V13" i="153"/>
  <c r="V11" i="153"/>
  <c r="V10" i="153"/>
  <c r="V9" i="153"/>
  <c r="H57" i="158" l="1"/>
  <c r="J41" i="158"/>
  <c r="E83" i="170"/>
  <c r="E84" i="170" s="1"/>
  <c r="C84" i="170"/>
  <c r="C12" i="170"/>
  <c r="H32" i="158"/>
  <c r="J32" i="158" s="1"/>
  <c r="H33" i="158"/>
  <c r="J33" i="158" s="1"/>
  <c r="H20" i="158"/>
  <c r="Q13" i="153"/>
  <c r="Q9" i="153"/>
  <c r="Q11" i="153"/>
  <c r="Q10" i="153"/>
  <c r="H19" i="158" l="1"/>
  <c r="J20" i="158"/>
  <c r="V14" i="153"/>
  <c r="V12" i="153"/>
  <c r="AI12" i="154"/>
  <c r="AE12" i="154"/>
  <c r="E91" i="170"/>
  <c r="E93" i="170" s="1"/>
  <c r="C93" i="170"/>
  <c r="AH13" i="153" s="1"/>
  <c r="AV10" i="154"/>
  <c r="H30" i="158"/>
  <c r="J30" i="158" s="1"/>
  <c r="Q14" i="153" l="1"/>
  <c r="Q12" i="153"/>
  <c r="H56" i="158"/>
  <c r="H55" i="158" s="1"/>
  <c r="J19" i="158"/>
  <c r="C23" i="148"/>
  <c r="E23" i="148" s="1"/>
  <c r="AV9" i="154"/>
  <c r="AH14" i="153"/>
  <c r="AI13" i="153" s="1"/>
  <c r="AI14" i="153" s="1"/>
  <c r="AV11" i="154"/>
  <c r="H33" i="169" l="1"/>
  <c r="E38" i="149"/>
  <c r="E31" i="149"/>
  <c r="K29" i="170" l="1"/>
  <c r="J29" i="170"/>
  <c r="J57" i="170"/>
  <c r="J61" i="170" s="1"/>
  <c r="J64" i="170" s="1"/>
  <c r="J65" i="170" s="1"/>
  <c r="I61" i="170"/>
  <c r="I64" i="170" s="1"/>
  <c r="H38" i="169"/>
  <c r="AM12" i="154"/>
  <c r="E34" i="149"/>
  <c r="E30" i="149" s="1"/>
  <c r="E93" i="149"/>
  <c r="E94" i="149"/>
  <c r="I94" i="149"/>
  <c r="Q53" i="150"/>
  <c r="Q54" i="150"/>
  <c r="Q55" i="150"/>
  <c r="Q56" i="150"/>
  <c r="M94" i="149" l="1"/>
  <c r="Q94" i="149" s="1"/>
  <c r="I93" i="149"/>
  <c r="I65" i="170"/>
  <c r="R30" i="149"/>
  <c r="AE13" i="154"/>
  <c r="AM13" i="154"/>
  <c r="Q57" i="150"/>
  <c r="M93" i="149" l="1"/>
  <c r="H14" i="169" l="1"/>
  <c r="H35" i="169"/>
  <c r="H9" i="169"/>
  <c r="J9" i="170"/>
  <c r="H15" i="169"/>
  <c r="J11" i="170"/>
  <c r="H19" i="170"/>
  <c r="H21" i="170" s="1"/>
  <c r="R10" i="154"/>
  <c r="R11" i="154" s="1"/>
  <c r="G31" i="170"/>
  <c r="G33" i="170" s="1"/>
  <c r="J56" i="158"/>
  <c r="Q93" i="149"/>
  <c r="Q90" i="149"/>
  <c r="Q85" i="149"/>
  <c r="Q73" i="149"/>
  <c r="Q72" i="149"/>
  <c r="Q71" i="149"/>
  <c r="Q68" i="149"/>
  <c r="Q67" i="149"/>
  <c r="Q63" i="149"/>
  <c r="Q62" i="149"/>
  <c r="Q60" i="149"/>
  <c r="Q56" i="149"/>
  <c r="Q55" i="149"/>
  <c r="Q49" i="149"/>
  <c r="Q41" i="149"/>
  <c r="Q40" i="149"/>
  <c r="Q39" i="149"/>
  <c r="Q38" i="149"/>
  <c r="Q37" i="149"/>
  <c r="Q36" i="149"/>
  <c r="Q35" i="149"/>
  <c r="Q34" i="149"/>
  <c r="Q33" i="149"/>
  <c r="Q32" i="149"/>
  <c r="Q31" i="149"/>
  <c r="M79" i="149"/>
  <c r="Q48" i="149"/>
  <c r="M30" i="149"/>
  <c r="M8" i="149"/>
  <c r="E84" i="149"/>
  <c r="E70" i="149"/>
  <c r="E66" i="149"/>
  <c r="E58" i="149"/>
  <c r="E43" i="149"/>
  <c r="I80" i="149"/>
  <c r="I78" i="149"/>
  <c r="I77" i="149"/>
  <c r="I70" i="149"/>
  <c r="I66" i="149"/>
  <c r="I61" i="149"/>
  <c r="I52" i="149"/>
  <c r="I47" i="149"/>
  <c r="I46" i="149"/>
  <c r="I42" i="149"/>
  <c r="I22" i="149"/>
  <c r="I8" i="149"/>
  <c r="V46" i="150"/>
  <c r="V21" i="150"/>
  <c r="V17" i="150"/>
  <c r="V12" i="150"/>
  <c r="Q48" i="150"/>
  <c r="Q43" i="150"/>
  <c r="Q42" i="150"/>
  <c r="Q41" i="150"/>
  <c r="Q37" i="150"/>
  <c r="Q33" i="150"/>
  <c r="Q32" i="150"/>
  <c r="Q31" i="150"/>
  <c r="Q30" i="150"/>
  <c r="Q29" i="150"/>
  <c r="Q28" i="150"/>
  <c r="Q27" i="150"/>
  <c r="Q24" i="150"/>
  <c r="Q26" i="150"/>
  <c r="Q25" i="150"/>
  <c r="Q23" i="150"/>
  <c r="Q16" i="150"/>
  <c r="Q13" i="150"/>
  <c r="Q14" i="150"/>
  <c r="M40" i="150"/>
  <c r="M34" i="150"/>
  <c r="M21" i="150"/>
  <c r="M15" i="150"/>
  <c r="M12" i="150"/>
  <c r="I46" i="150"/>
  <c r="I40" i="150"/>
  <c r="I34" i="150"/>
  <c r="I21" i="150"/>
  <c r="I12" i="150"/>
  <c r="E21" i="150"/>
  <c r="E34" i="150"/>
  <c r="E12" i="150"/>
  <c r="I79" i="149" l="1"/>
  <c r="Q80" i="149"/>
  <c r="H11" i="169"/>
  <c r="M21" i="149"/>
  <c r="Q21" i="149" s="1"/>
  <c r="M27" i="149"/>
  <c r="M47" i="149"/>
  <c r="Q47" i="149" s="1"/>
  <c r="Q54" i="149"/>
  <c r="Q34" i="150"/>
  <c r="Q12" i="150"/>
  <c r="M53" i="149"/>
  <c r="Q53" i="149" s="1"/>
  <c r="M57" i="149"/>
  <c r="Q57" i="149" s="1"/>
  <c r="K10" i="170"/>
  <c r="J10" i="170"/>
  <c r="K27" i="170"/>
  <c r="J27" i="170"/>
  <c r="K15" i="170"/>
  <c r="J15" i="170"/>
  <c r="H31" i="169"/>
  <c r="H40" i="169" s="1"/>
  <c r="K16" i="170"/>
  <c r="J16" i="170"/>
  <c r="K12" i="170"/>
  <c r="J12" i="170"/>
  <c r="G94" i="170"/>
  <c r="G34" i="170"/>
  <c r="H31" i="170"/>
  <c r="H33" i="170" s="1"/>
  <c r="H94" i="170" s="1"/>
  <c r="J24" i="170"/>
  <c r="H8" i="169"/>
  <c r="D33" i="169"/>
  <c r="H10" i="169"/>
  <c r="F18" i="169"/>
  <c r="Q42" i="149"/>
  <c r="E79" i="149"/>
  <c r="R13" i="154"/>
  <c r="I30" i="149"/>
  <c r="M78" i="149"/>
  <c r="M51" i="149"/>
  <c r="Q51" i="149" s="1"/>
  <c r="Q40" i="150"/>
  <c r="E12" i="170" s="1"/>
  <c r="M69" i="149"/>
  <c r="Q69" i="149" s="1"/>
  <c r="Q66" i="149" s="1"/>
  <c r="I58" i="149"/>
  <c r="I76" i="149"/>
  <c r="Q46" i="149"/>
  <c r="M61" i="149"/>
  <c r="Q70" i="149"/>
  <c r="Q84" i="149"/>
  <c r="V44" i="150"/>
  <c r="Q15" i="150"/>
  <c r="E44" i="150"/>
  <c r="I44" i="150"/>
  <c r="M45" i="149"/>
  <c r="M20" i="149"/>
  <c r="M52" i="149"/>
  <c r="M44" i="150"/>
  <c r="Q50" i="149"/>
  <c r="Q21" i="150"/>
  <c r="C31" i="170" l="1"/>
  <c r="C33" i="170" s="1"/>
  <c r="I45" i="149"/>
  <c r="I44" i="149" s="1"/>
  <c r="Q79" i="149"/>
  <c r="E25" i="170"/>
  <c r="H34" i="170"/>
  <c r="AE13" i="153" s="1"/>
  <c r="AJ13" i="153" s="1"/>
  <c r="E55" i="170"/>
  <c r="G40" i="169"/>
  <c r="I40" i="169" s="1"/>
  <c r="J23" i="170"/>
  <c r="J31" i="170" s="1"/>
  <c r="J33" i="170" s="1"/>
  <c r="I31" i="170"/>
  <c r="I33" i="170" s="1"/>
  <c r="K23" i="170"/>
  <c r="K31" i="170" s="1"/>
  <c r="K33" i="170" s="1"/>
  <c r="E24" i="170"/>
  <c r="AW9" i="154"/>
  <c r="AZ9" i="154" s="1"/>
  <c r="AZ6" i="154"/>
  <c r="AG14" i="153"/>
  <c r="D61" i="170"/>
  <c r="D64" i="170" s="1"/>
  <c r="D65" i="170" s="1"/>
  <c r="E54" i="170"/>
  <c r="B31" i="170"/>
  <c r="B33" i="170" s="1"/>
  <c r="E11" i="170"/>
  <c r="D9" i="169"/>
  <c r="E10" i="170"/>
  <c r="F26" i="169"/>
  <c r="F52" i="169"/>
  <c r="F54" i="169" s="1"/>
  <c r="Q78" i="149"/>
  <c r="H47" i="169"/>
  <c r="H53" i="169"/>
  <c r="V50" i="150"/>
  <c r="V45" i="150" s="1"/>
  <c r="E91" i="149"/>
  <c r="E75" i="149"/>
  <c r="Q30" i="149"/>
  <c r="M66" i="149"/>
  <c r="Q61" i="149"/>
  <c r="Q58" i="149" s="1"/>
  <c r="M58" i="149"/>
  <c r="D32" i="169" s="1"/>
  <c r="I75" i="149"/>
  <c r="I91" i="149"/>
  <c r="Q27" i="149"/>
  <c r="M22" i="149"/>
  <c r="M7" i="149"/>
  <c r="Q52" i="149"/>
  <c r="M43" i="149"/>
  <c r="Q44" i="150"/>
  <c r="Q45" i="149" l="1"/>
  <c r="Q44" i="149"/>
  <c r="I43" i="149"/>
  <c r="Q43" i="149" s="1"/>
  <c r="AZ10" i="154"/>
  <c r="E61" i="170"/>
  <c r="E64" i="170" s="1"/>
  <c r="AW11" i="154"/>
  <c r="AZ11" i="154" s="1"/>
  <c r="G47" i="169"/>
  <c r="G53" i="169"/>
  <c r="I53" i="169" s="1"/>
  <c r="B20" i="169"/>
  <c r="E20" i="170"/>
  <c r="D11" i="169"/>
  <c r="D10" i="169"/>
  <c r="B42" i="169"/>
  <c r="B58" i="169" s="1"/>
  <c r="D43" i="169"/>
  <c r="D42" i="169" s="1"/>
  <c r="D58" i="169" s="1"/>
  <c r="F62" i="169"/>
  <c r="M74" i="149"/>
  <c r="E65" i="170" l="1"/>
  <c r="D21" i="169"/>
  <c r="D20" i="169"/>
  <c r="D57" i="169" s="1"/>
  <c r="D56" i="169" s="1"/>
  <c r="B57" i="169"/>
  <c r="B56" i="169" s="1"/>
  <c r="B40" i="169"/>
  <c r="B53" i="169" l="1"/>
  <c r="B47" i="169"/>
  <c r="F41" i="169"/>
  <c r="C32" i="148" l="1"/>
  <c r="E32" i="148" l="1"/>
  <c r="E40" i="148"/>
  <c r="C38" i="148"/>
  <c r="E38" i="148" s="1"/>
  <c r="C30" i="148" l="1"/>
  <c r="J57" i="150"/>
  <c r="J46" i="150"/>
  <c r="J34" i="150"/>
  <c r="J21" i="150"/>
  <c r="J12" i="150"/>
  <c r="F57" i="150"/>
  <c r="F46" i="150"/>
  <c r="F40" i="150"/>
  <c r="F34" i="150"/>
  <c r="F21" i="150"/>
  <c r="F15" i="150"/>
  <c r="F12" i="150"/>
  <c r="B57" i="150"/>
  <c r="B46" i="150"/>
  <c r="B21" i="150"/>
  <c r="B12" i="150"/>
  <c r="J80" i="149"/>
  <c r="J79" i="149" s="1"/>
  <c r="J56" i="149"/>
  <c r="J55" i="149"/>
  <c r="J8" i="149"/>
  <c r="N26" i="149"/>
  <c r="N23" i="149"/>
  <c r="N24" i="149"/>
  <c r="N25" i="149"/>
  <c r="N13" i="149"/>
  <c r="N14" i="149"/>
  <c r="AS7" i="154"/>
  <c r="AS8" i="154"/>
  <c r="B143" i="155"/>
  <c r="B126" i="155"/>
  <c r="O12" i="154" s="1"/>
  <c r="J12" i="154"/>
  <c r="F12" i="154"/>
  <c r="B12" i="154"/>
  <c r="W10" i="154"/>
  <c r="B35" i="155"/>
  <c r="B27" i="155"/>
  <c r="J10" i="154" s="1"/>
  <c r="AB12" i="154"/>
  <c r="B245" i="157"/>
  <c r="AJ12" i="154" s="1"/>
  <c r="AJ13" i="154" s="1"/>
  <c r="B197" i="157"/>
  <c r="E30" i="148" l="1"/>
  <c r="AP12" i="154"/>
  <c r="H16" i="158"/>
  <c r="J16" i="158" s="1"/>
  <c r="F13" i="154"/>
  <c r="B13" i="154"/>
  <c r="AB13" i="154"/>
  <c r="O10" i="154"/>
  <c r="O11" i="154" s="1"/>
  <c r="O13" i="154" s="1"/>
  <c r="AS6" i="154"/>
  <c r="AS9" i="154" s="1"/>
  <c r="W9" i="154"/>
  <c r="W11" i="154" s="1"/>
  <c r="J11" i="154"/>
  <c r="J13" i="154" s="1"/>
  <c r="B44" i="150"/>
  <c r="J44" i="150"/>
  <c r="F44" i="150"/>
  <c r="B38" i="155"/>
  <c r="B44" i="155" s="1"/>
  <c r="B174" i="157"/>
  <c r="B175" i="157" s="1"/>
  <c r="W12" i="154" s="1"/>
  <c r="AP13" i="154" l="1"/>
  <c r="AT12" i="154"/>
  <c r="AT13" i="154" s="1"/>
  <c r="AR12" i="154"/>
  <c r="AS10" i="154"/>
  <c r="AS11" i="154" s="1"/>
  <c r="W13" i="154"/>
  <c r="B237" i="157"/>
  <c r="AF12" i="154" l="1"/>
  <c r="AF13" i="154" s="1"/>
  <c r="Q23" i="149"/>
  <c r="Q22" i="149" s="1"/>
  <c r="E22" i="149"/>
  <c r="B238" i="157"/>
  <c r="B13" i="156"/>
  <c r="B146" i="155" s="1"/>
  <c r="B5" i="156"/>
  <c r="B141" i="155" s="1"/>
  <c r="O49" i="171" l="1"/>
  <c r="P49" i="171" s="1"/>
  <c r="AI13" i="154"/>
  <c r="D31" i="170"/>
  <c r="E23" i="170"/>
  <c r="E31" i="170" s="1"/>
  <c r="O26" i="171"/>
  <c r="P26" i="171" s="1"/>
  <c r="B80" i="156"/>
  <c r="B136" i="155"/>
  <c r="S12" i="154" s="1"/>
  <c r="F78" i="149"/>
  <c r="F77" i="149"/>
  <c r="F61" i="149"/>
  <c r="F58" i="149" s="1"/>
  <c r="F20" i="149"/>
  <c r="S46" i="150"/>
  <c r="S34" i="150"/>
  <c r="S17" i="150"/>
  <c r="S12" i="150"/>
  <c r="S57" i="150"/>
  <c r="F94" i="149"/>
  <c r="F80" i="149"/>
  <c r="F70" i="149"/>
  <c r="F66" i="149"/>
  <c r="F52" i="149"/>
  <c r="F46" i="149"/>
  <c r="F45" i="149"/>
  <c r="F42" i="149"/>
  <c r="F31" i="149"/>
  <c r="V15" i="153"/>
  <c r="B94" i="149"/>
  <c r="B93" i="149"/>
  <c r="B84" i="149"/>
  <c r="B79" i="149" s="1"/>
  <c r="B76" i="149"/>
  <c r="B70" i="149"/>
  <c r="B66" i="149"/>
  <c r="B58" i="149"/>
  <c r="B43" i="149"/>
  <c r="B38" i="149"/>
  <c r="B35" i="149"/>
  <c r="B31" i="149"/>
  <c r="B22" i="149"/>
  <c r="B40" i="148"/>
  <c r="B32" i="148" s="1"/>
  <c r="B37" i="148"/>
  <c r="B34" i="148"/>
  <c r="F79" i="149" l="1"/>
  <c r="V16" i="153"/>
  <c r="I7" i="149"/>
  <c r="Q20" i="149"/>
  <c r="S21" i="150"/>
  <c r="S44" i="150" s="1"/>
  <c r="S50" i="150" s="1"/>
  <c r="F13" i="153" s="1"/>
  <c r="F93" i="149"/>
  <c r="C40" i="169"/>
  <c r="D31" i="169"/>
  <c r="D40" i="169" s="1"/>
  <c r="S13" i="154"/>
  <c r="F47" i="149"/>
  <c r="F43" i="149" s="1"/>
  <c r="B91" i="149"/>
  <c r="B148" i="155"/>
  <c r="B30" i="148"/>
  <c r="AO12" i="154" s="1"/>
  <c r="AO13" i="154" s="1"/>
  <c r="B75" i="149"/>
  <c r="F76" i="149"/>
  <c r="F30" i="149"/>
  <c r="B34" i="149"/>
  <c r="B30" i="149" s="1"/>
  <c r="F91" i="149" l="1"/>
  <c r="D43" i="158"/>
  <c r="C46" i="169"/>
  <c r="D32" i="170" s="1"/>
  <c r="C19" i="170"/>
  <c r="C21" i="170" s="1"/>
  <c r="I74" i="149"/>
  <c r="I92" i="149" s="1"/>
  <c r="B18" i="169"/>
  <c r="D53" i="169"/>
  <c r="H41" i="169"/>
  <c r="C53" i="169"/>
  <c r="G41" i="169"/>
  <c r="AS12" i="154"/>
  <c r="AS13" i="154" s="1"/>
  <c r="H14" i="158"/>
  <c r="J14" i="158" s="1"/>
  <c r="F75" i="149"/>
  <c r="D46" i="169" l="1"/>
  <c r="Z15" i="153"/>
  <c r="Z16" i="153" s="1"/>
  <c r="D60" i="158"/>
  <c r="D58" i="158" s="1"/>
  <c r="D61" i="158" s="1"/>
  <c r="D46" i="158"/>
  <c r="B26" i="169"/>
  <c r="B19" i="169"/>
  <c r="B52" i="169"/>
  <c r="B54" i="169" s="1"/>
  <c r="C34" i="170"/>
  <c r="C94" i="170"/>
  <c r="C95" i="170" s="1"/>
  <c r="I62" i="158" l="1"/>
  <c r="D66" i="169"/>
  <c r="E32" i="170"/>
  <c r="E33" i="170" s="1"/>
  <c r="D33" i="170"/>
  <c r="I47" i="158"/>
  <c r="AV13" i="154"/>
  <c r="AV12" i="154"/>
  <c r="B62" i="169"/>
  <c r="B63" i="169" s="1"/>
  <c r="F55" i="169"/>
  <c r="G43" i="158"/>
  <c r="G36" i="158"/>
  <c r="G12" i="158"/>
  <c r="G23" i="158"/>
  <c r="G41" i="158" l="1"/>
  <c r="G57" i="158" s="1"/>
  <c r="B28" i="148"/>
  <c r="B36" i="148"/>
  <c r="G35" i="158"/>
  <c r="G37" i="158"/>
  <c r="G14" i="158"/>
  <c r="G15" i="158"/>
  <c r="G13" i="158"/>
  <c r="J50" i="150"/>
  <c r="F11" i="153" s="1"/>
  <c r="F50" i="150"/>
  <c r="B50" i="150"/>
  <c r="R60" i="150"/>
  <c r="R58" i="150"/>
  <c r="R56" i="150"/>
  <c r="N56" i="150"/>
  <c r="R55" i="150"/>
  <c r="N55" i="150"/>
  <c r="R54" i="150"/>
  <c r="N54" i="150"/>
  <c r="R53" i="150"/>
  <c r="R57" i="150" s="1"/>
  <c r="N53" i="150"/>
  <c r="R50" i="150"/>
  <c r="R45" i="150" s="1"/>
  <c r="N49" i="150"/>
  <c r="N48" i="150"/>
  <c r="N47" i="150"/>
  <c r="S11" i="153"/>
  <c r="S10" i="153"/>
  <c r="S9" i="153"/>
  <c r="N43" i="150"/>
  <c r="R42" i="150"/>
  <c r="N42" i="150"/>
  <c r="N41" i="150"/>
  <c r="R40" i="150"/>
  <c r="N39" i="150"/>
  <c r="N38" i="150"/>
  <c r="N37" i="150"/>
  <c r="N36" i="150"/>
  <c r="N35" i="150"/>
  <c r="R34" i="150"/>
  <c r="R33" i="150"/>
  <c r="N33" i="150"/>
  <c r="N32" i="150"/>
  <c r="N31" i="150"/>
  <c r="R30" i="150"/>
  <c r="N30" i="150"/>
  <c r="R29" i="150"/>
  <c r="N29" i="150"/>
  <c r="R28" i="150"/>
  <c r="N28" i="150"/>
  <c r="R27" i="150"/>
  <c r="N27" i="150"/>
  <c r="R26" i="150"/>
  <c r="N26" i="150"/>
  <c r="R25" i="150"/>
  <c r="N25" i="150"/>
  <c r="R24" i="150"/>
  <c r="N24" i="150"/>
  <c r="R23" i="150"/>
  <c r="N23" i="150"/>
  <c r="R22" i="150"/>
  <c r="N22" i="150"/>
  <c r="N20" i="150"/>
  <c r="N19" i="150"/>
  <c r="R18" i="150"/>
  <c r="N18" i="150"/>
  <c r="R17" i="150"/>
  <c r="N17" i="150"/>
  <c r="N16" i="150"/>
  <c r="J27" i="149" s="1"/>
  <c r="R15" i="150"/>
  <c r="N14" i="150"/>
  <c r="N13" i="150"/>
  <c r="R12" i="150"/>
  <c r="C24" i="158"/>
  <c r="N90" i="149"/>
  <c r="B24" i="158" s="1"/>
  <c r="B21" i="158" s="1"/>
  <c r="N89" i="149"/>
  <c r="N88" i="149"/>
  <c r="N87" i="149"/>
  <c r="N86" i="149"/>
  <c r="N85" i="149"/>
  <c r="B44" i="158" s="1"/>
  <c r="B43" i="158" s="1"/>
  <c r="B60" i="158" s="1"/>
  <c r="N84" i="149"/>
  <c r="N83" i="149"/>
  <c r="N82" i="149"/>
  <c r="N81" i="149"/>
  <c r="S15" i="153"/>
  <c r="N73" i="149"/>
  <c r="N72" i="149"/>
  <c r="N71" i="149"/>
  <c r="N68" i="149"/>
  <c r="N67" i="149"/>
  <c r="N63" i="149"/>
  <c r="N62" i="149"/>
  <c r="N60" i="149"/>
  <c r="N56" i="149"/>
  <c r="N55" i="149"/>
  <c r="N54" i="149"/>
  <c r="N50" i="149"/>
  <c r="N49" i="149"/>
  <c r="N44" i="149"/>
  <c r="N42" i="149"/>
  <c r="N41" i="149"/>
  <c r="N40" i="149"/>
  <c r="N39" i="149"/>
  <c r="N37" i="149"/>
  <c r="N36" i="149"/>
  <c r="N35" i="149"/>
  <c r="N33" i="149"/>
  <c r="N32" i="149"/>
  <c r="F22" i="149"/>
  <c r="F7" i="149"/>
  <c r="I45" i="150" l="1"/>
  <c r="F10" i="153"/>
  <c r="J10" i="153" s="1"/>
  <c r="F9" i="153"/>
  <c r="C21" i="158"/>
  <c r="E24" i="158"/>
  <c r="J57" i="158"/>
  <c r="J55" i="158" s="1"/>
  <c r="J45" i="150"/>
  <c r="J51" i="150" s="1"/>
  <c r="J61" i="149"/>
  <c r="N61" i="149" s="1"/>
  <c r="N58" i="149" s="1"/>
  <c r="J45" i="149"/>
  <c r="N45" i="149" s="1"/>
  <c r="J53" i="149"/>
  <c r="N53" i="149" s="1"/>
  <c r="J57" i="149"/>
  <c r="N57" i="149" s="1"/>
  <c r="J22" i="149"/>
  <c r="N22" i="149" s="1"/>
  <c r="J94" i="149"/>
  <c r="N94" i="149" s="1"/>
  <c r="B45" i="150"/>
  <c r="B51" i="150" s="1"/>
  <c r="H13" i="158"/>
  <c r="J13" i="158" s="1"/>
  <c r="C44" i="158"/>
  <c r="E44" i="158" s="1"/>
  <c r="N57" i="150"/>
  <c r="C10" i="148"/>
  <c r="E10" i="148" s="1"/>
  <c r="J78" i="149"/>
  <c r="N78" i="149" s="1"/>
  <c r="B42" i="158" s="1"/>
  <c r="B41" i="158" s="1"/>
  <c r="B57" i="158" s="1"/>
  <c r="J47" i="149"/>
  <c r="J52" i="149"/>
  <c r="J77" i="149"/>
  <c r="J51" i="149"/>
  <c r="J21" i="149"/>
  <c r="N21" i="149" s="1"/>
  <c r="F45" i="150"/>
  <c r="F51" i="150" s="1"/>
  <c r="B59" i="158"/>
  <c r="B58" i="158" s="1"/>
  <c r="N12" i="150"/>
  <c r="J20" i="149"/>
  <c r="N40" i="150"/>
  <c r="J69" i="149"/>
  <c r="B38" i="148"/>
  <c r="F74" i="149"/>
  <c r="G8" i="158"/>
  <c r="N80" i="149"/>
  <c r="N79" i="149" s="1"/>
  <c r="B16" i="148" s="1"/>
  <c r="N38" i="149"/>
  <c r="C20" i="158"/>
  <c r="E20" i="158" s="1"/>
  <c r="N15" i="150"/>
  <c r="N34" i="150"/>
  <c r="G11" i="158"/>
  <c r="N11" i="153"/>
  <c r="N13" i="153"/>
  <c r="W15" i="153"/>
  <c r="W16" i="153" s="1"/>
  <c r="N34" i="149"/>
  <c r="N70" i="149"/>
  <c r="C12" i="148"/>
  <c r="E12" i="148" s="1"/>
  <c r="R21" i="150"/>
  <c r="R44" i="150" s="1"/>
  <c r="R51" i="150" s="1"/>
  <c r="N21" i="150"/>
  <c r="N10" i="153"/>
  <c r="S12" i="153"/>
  <c r="S13" i="153"/>
  <c r="N46" i="150"/>
  <c r="N50" i="150"/>
  <c r="G34" i="158"/>
  <c r="G32" i="158"/>
  <c r="B23" i="148"/>
  <c r="G7" i="158"/>
  <c r="G9" i="158"/>
  <c r="G10" i="158"/>
  <c r="B21" i="148"/>
  <c r="G20" i="158"/>
  <c r="N31" i="149"/>
  <c r="N46" i="149"/>
  <c r="N48" i="149"/>
  <c r="C16" i="148" l="1"/>
  <c r="E16" i="148" s="1"/>
  <c r="C45" i="158"/>
  <c r="E45" i="158" s="1"/>
  <c r="C59" i="158"/>
  <c r="E21" i="158"/>
  <c r="E59" i="158" s="1"/>
  <c r="G33" i="158"/>
  <c r="H11" i="158"/>
  <c r="J11" i="158" s="1"/>
  <c r="C19" i="158"/>
  <c r="N27" i="149"/>
  <c r="J58" i="149"/>
  <c r="J93" i="149"/>
  <c r="N93" i="149" s="1"/>
  <c r="C32" i="158"/>
  <c r="E32" i="158" s="1"/>
  <c r="C31" i="158"/>
  <c r="E31" i="158" s="1"/>
  <c r="Q13" i="149"/>
  <c r="J76" i="149"/>
  <c r="J75" i="149" s="1"/>
  <c r="C42" i="158"/>
  <c r="E42" i="158" s="1"/>
  <c r="N51" i="149"/>
  <c r="N47" i="149"/>
  <c r="N77" i="149"/>
  <c r="B20" i="158" s="1"/>
  <c r="B19" i="158" s="1"/>
  <c r="B56" i="158" s="1"/>
  <c r="B55" i="158" s="1"/>
  <c r="N12" i="149"/>
  <c r="C7" i="148"/>
  <c r="E7" i="148" s="1"/>
  <c r="E45" i="150"/>
  <c r="Q50" i="150"/>
  <c r="N52" i="149"/>
  <c r="J43" i="149"/>
  <c r="C11" i="148"/>
  <c r="E11" i="148" s="1"/>
  <c r="AA10" i="153"/>
  <c r="H8" i="158"/>
  <c r="J8" i="158" s="1"/>
  <c r="G19" i="158"/>
  <c r="J66" i="149"/>
  <c r="N69" i="149"/>
  <c r="N66" i="149" s="1"/>
  <c r="B10" i="158" s="1"/>
  <c r="N20" i="149"/>
  <c r="J7" i="149"/>
  <c r="B22" i="148"/>
  <c r="G31" i="158"/>
  <c r="B27" i="148"/>
  <c r="N10" i="149"/>
  <c r="F92" i="149"/>
  <c r="B32" i="158"/>
  <c r="B12" i="148"/>
  <c r="B31" i="158"/>
  <c r="B10" i="148"/>
  <c r="B30" i="158"/>
  <c r="B7" i="148"/>
  <c r="G30" i="158"/>
  <c r="G16" i="158"/>
  <c r="N30" i="149"/>
  <c r="C15" i="148"/>
  <c r="E15" i="148" s="1"/>
  <c r="N45" i="150"/>
  <c r="N44" i="150"/>
  <c r="N9" i="153"/>
  <c r="S14" i="153"/>
  <c r="S16" i="153" s="1"/>
  <c r="C43" i="158" l="1"/>
  <c r="C60" i="158" s="1"/>
  <c r="C58" i="158" s="1"/>
  <c r="C56" i="158"/>
  <c r="E19" i="158"/>
  <c r="E56" i="158" s="1"/>
  <c r="AD10" i="153"/>
  <c r="M10" i="153"/>
  <c r="C41" i="158"/>
  <c r="G17" i="158"/>
  <c r="G25" i="158" s="1"/>
  <c r="N43" i="149"/>
  <c r="B9" i="158" s="1"/>
  <c r="J74" i="149"/>
  <c r="B20" i="148"/>
  <c r="N12" i="153"/>
  <c r="N14" i="153" s="1"/>
  <c r="Q12" i="149"/>
  <c r="C30" i="158"/>
  <c r="E30" i="158" s="1"/>
  <c r="J91" i="149"/>
  <c r="N91" i="149" s="1"/>
  <c r="H31" i="158"/>
  <c r="J31" i="158" s="1"/>
  <c r="N76" i="149"/>
  <c r="N75" i="149" s="1"/>
  <c r="H7" i="158"/>
  <c r="J7" i="158" s="1"/>
  <c r="C10" i="158"/>
  <c r="E10" i="158" s="1"/>
  <c r="V51" i="150"/>
  <c r="E51" i="150"/>
  <c r="C20" i="148"/>
  <c r="E20" i="148" s="1"/>
  <c r="C9" i="148"/>
  <c r="E9" i="148" s="1"/>
  <c r="B11" i="148"/>
  <c r="J9" i="153"/>
  <c r="AA9" i="153" s="1"/>
  <c r="S45" i="150"/>
  <c r="G56" i="158"/>
  <c r="B12" i="153"/>
  <c r="G39" i="158"/>
  <c r="G46" i="158" s="1"/>
  <c r="B26" i="148"/>
  <c r="B25" i="148" s="1"/>
  <c r="B39" i="158"/>
  <c r="B52" i="158" s="1"/>
  <c r="B8" i="158"/>
  <c r="B8" i="148"/>
  <c r="N51" i="150"/>
  <c r="C8" i="148"/>
  <c r="E8" i="148" s="1"/>
  <c r="S51" i="150" l="1"/>
  <c r="J13" i="153"/>
  <c r="AA13" i="153" s="1"/>
  <c r="E43" i="158"/>
  <c r="E60" i="158" s="1"/>
  <c r="E58" i="158" s="1"/>
  <c r="C57" i="158"/>
  <c r="C55" i="158" s="1"/>
  <c r="E41" i="158"/>
  <c r="E57" i="158" s="1"/>
  <c r="E55" i="158" s="1"/>
  <c r="AD11" i="153"/>
  <c r="M11" i="153"/>
  <c r="G51" i="158"/>
  <c r="B9" i="148"/>
  <c r="C39" i="158"/>
  <c r="B33" i="148"/>
  <c r="B39" i="148" s="1"/>
  <c r="Q10" i="149"/>
  <c r="H39" i="158"/>
  <c r="J39" i="158" s="1"/>
  <c r="J52" i="158" s="1"/>
  <c r="J92" i="149"/>
  <c r="B15" i="148"/>
  <c r="H10" i="158"/>
  <c r="J10" i="158" s="1"/>
  <c r="H9" i="158"/>
  <c r="J9" i="158" s="1"/>
  <c r="C9" i="158"/>
  <c r="E9" i="158" s="1"/>
  <c r="C8" i="158"/>
  <c r="E8" i="158" s="1"/>
  <c r="C25" i="148"/>
  <c r="E25" i="148" s="1"/>
  <c r="C17" i="148"/>
  <c r="E17" i="148" s="1"/>
  <c r="N11" i="149"/>
  <c r="F12" i="153"/>
  <c r="G52" i="158"/>
  <c r="G55" i="158"/>
  <c r="B14" i="153"/>
  <c r="J11" i="153"/>
  <c r="AA11" i="153" s="1"/>
  <c r="AA12" i="153" s="1"/>
  <c r="G40" i="158"/>
  <c r="B46" i="158"/>
  <c r="G47" i="158" s="1"/>
  <c r="AA14" i="153" l="1"/>
  <c r="F14" i="153"/>
  <c r="F15" i="153" s="1"/>
  <c r="F16" i="153" s="1"/>
  <c r="G53" i="158"/>
  <c r="G61" i="158" s="1"/>
  <c r="C52" i="158"/>
  <c r="E39" i="158"/>
  <c r="E52" i="158" s="1"/>
  <c r="C46" i="158"/>
  <c r="E46" i="158" s="1"/>
  <c r="B17" i="148"/>
  <c r="H46" i="158"/>
  <c r="J46" i="158" s="1"/>
  <c r="H40" i="158"/>
  <c r="J40" i="158" s="1"/>
  <c r="Q11" i="149"/>
  <c r="H52" i="158"/>
  <c r="H17" i="158"/>
  <c r="M13" i="153"/>
  <c r="C33" i="148"/>
  <c r="E33" i="148" s="1"/>
  <c r="J12" i="153"/>
  <c r="J14" i="153" s="1"/>
  <c r="J16" i="153" s="1"/>
  <c r="M12" i="153" l="1"/>
  <c r="I12" i="153"/>
  <c r="H25" i="158"/>
  <c r="J25" i="158" s="1"/>
  <c r="J17" i="158"/>
  <c r="AD9" i="153"/>
  <c r="AJ9" i="153" s="1"/>
  <c r="M9" i="153"/>
  <c r="H47" i="158"/>
  <c r="J47" i="158" s="1"/>
  <c r="B19" i="170"/>
  <c r="B21" i="170" s="1"/>
  <c r="H51" i="158"/>
  <c r="H53" i="158" s="1"/>
  <c r="H61" i="158" s="1"/>
  <c r="D19" i="170"/>
  <c r="D21" i="170" s="1"/>
  <c r="AD13" i="153"/>
  <c r="C39" i="148"/>
  <c r="E39" i="148" s="1"/>
  <c r="N9" i="149"/>
  <c r="N8" i="149" s="1"/>
  <c r="N7" i="149" s="1"/>
  <c r="B8" i="149"/>
  <c r="B7" i="149" s="1"/>
  <c r="B74" i="149" s="1"/>
  <c r="B92" i="149" s="1"/>
  <c r="M14" i="153" l="1"/>
  <c r="I15" i="153"/>
  <c r="I14" i="153"/>
  <c r="AD12" i="153"/>
  <c r="D34" i="170"/>
  <c r="D94" i="170"/>
  <c r="E9" i="170"/>
  <c r="E19" i="170" s="1"/>
  <c r="E21" i="170" s="1"/>
  <c r="B94" i="170"/>
  <c r="B95" i="170" s="1"/>
  <c r="C96" i="170" s="1"/>
  <c r="B34" i="170"/>
  <c r="Q8" i="149"/>
  <c r="Q7" i="149" s="1"/>
  <c r="B7" i="158"/>
  <c r="B17" i="158" s="1"/>
  <c r="B6" i="148"/>
  <c r="B13" i="148" s="1"/>
  <c r="B18" i="148" s="1"/>
  <c r="N74" i="149"/>
  <c r="N15" i="153"/>
  <c r="N92" i="149"/>
  <c r="E34" i="170" l="1"/>
  <c r="E94" i="170"/>
  <c r="M16" i="153"/>
  <c r="AD14" i="153"/>
  <c r="O15" i="153"/>
  <c r="AE12" i="153"/>
  <c r="E8" i="149"/>
  <c r="C6" i="148"/>
  <c r="E6" i="148" s="1"/>
  <c r="Q74" i="149"/>
  <c r="B51" i="158"/>
  <c r="B53" i="158" s="1"/>
  <c r="B18" i="158"/>
  <c r="B25" i="158"/>
  <c r="N16" i="153"/>
  <c r="O16" i="153" l="1"/>
  <c r="AB15" i="153"/>
  <c r="AB16" i="153" s="1"/>
  <c r="AJ12" i="153"/>
  <c r="AE14" i="153"/>
  <c r="AJ14" i="153" s="1"/>
  <c r="E7" i="149"/>
  <c r="C7" i="158"/>
  <c r="E7" i="158" s="1"/>
  <c r="C13" i="148"/>
  <c r="E13" i="148" s="1"/>
  <c r="B61" i="158"/>
  <c r="G62" i="158" s="1"/>
  <c r="G54" i="158"/>
  <c r="C17" i="158" l="1"/>
  <c r="C18" i="158" s="1"/>
  <c r="E18" i="158" s="1"/>
  <c r="O20" i="171"/>
  <c r="E74" i="149"/>
  <c r="Q15" i="153"/>
  <c r="C18" i="148"/>
  <c r="O27" i="171" l="1"/>
  <c r="P20" i="171"/>
  <c r="C51" i="158"/>
  <c r="C53" i="158" s="1"/>
  <c r="C61" i="158" s="1"/>
  <c r="E17" i="158"/>
  <c r="E51" i="158" s="1"/>
  <c r="E53" i="158" s="1"/>
  <c r="E61" i="158" s="1"/>
  <c r="E18" i="148"/>
  <c r="C25" i="158"/>
  <c r="C18" i="169"/>
  <c r="D8" i="169"/>
  <c r="D18" i="169" s="1"/>
  <c r="R74" i="149"/>
  <c r="E92" i="149"/>
  <c r="Q16" i="153"/>
  <c r="O32" i="171" l="1"/>
  <c r="P27" i="171"/>
  <c r="H54" i="158"/>
  <c r="H62" i="158"/>
  <c r="G40" i="148"/>
  <c r="E25" i="158"/>
  <c r="D52" i="169"/>
  <c r="D54" i="169" s="1"/>
  <c r="C52" i="169"/>
  <c r="C54" i="169" s="1"/>
  <c r="B16" i="153" l="1"/>
  <c r="AA15" i="153"/>
  <c r="AA16" i="153" s="1"/>
  <c r="AD16" i="153" l="1"/>
  <c r="AD15" i="153"/>
  <c r="I18" i="170"/>
  <c r="K18" i="170" l="1"/>
  <c r="J18" i="170"/>
  <c r="J19" i="170" s="1"/>
  <c r="J21" i="170" s="1"/>
  <c r="I19" i="170"/>
  <c r="H17" i="169"/>
  <c r="H18" i="169" s="1"/>
  <c r="G18" i="169"/>
  <c r="I18" i="169" s="1"/>
  <c r="AR13" i="154"/>
  <c r="K94" i="170" l="1"/>
  <c r="J34" i="170"/>
  <c r="I21" i="170"/>
  <c r="K19" i="170"/>
  <c r="K21" i="170" s="1"/>
  <c r="G26" i="169"/>
  <c r="G52" i="169"/>
  <c r="C19" i="169"/>
  <c r="H52" i="169"/>
  <c r="H54" i="169" s="1"/>
  <c r="H26" i="169"/>
  <c r="D19" i="169"/>
  <c r="M43" i="171"/>
  <c r="O44" i="171"/>
  <c r="J51" i="158"/>
  <c r="J53" i="158" s="1"/>
  <c r="K62" i="158"/>
  <c r="AV14" i="154"/>
  <c r="I34" i="170" l="1"/>
  <c r="I94" i="170"/>
  <c r="D95" i="170" s="1"/>
  <c r="I52" i="169"/>
  <c r="G54" i="169"/>
  <c r="H62" i="169"/>
  <c r="H55" i="169"/>
  <c r="O50" i="171"/>
  <c r="O52" i="171"/>
  <c r="N43" i="171"/>
  <c r="M44" i="171"/>
  <c r="M50" i="171" s="1"/>
  <c r="J54" i="158"/>
  <c r="J61" i="158"/>
  <c r="N44" i="171" l="1"/>
  <c r="P43" i="171"/>
  <c r="J94" i="170"/>
  <c r="E95" i="170" s="1"/>
  <c r="J62" i="158"/>
  <c r="G62" i="169"/>
  <c r="I54" i="169"/>
  <c r="G55" i="169"/>
  <c r="I55" i="169" s="1"/>
  <c r="M52" i="171"/>
  <c r="N52" i="171" s="1"/>
  <c r="P52" i="171" s="1"/>
  <c r="M54" i="171"/>
  <c r="N50" i="171" l="1"/>
  <c r="P44" i="171"/>
  <c r="H63" i="169"/>
  <c r="H65" i="169" s="1"/>
  <c r="D23" i="169"/>
  <c r="D45" i="169"/>
  <c r="D44" i="169" s="1"/>
  <c r="C22" i="169"/>
  <c r="C26" i="169" s="1"/>
  <c r="O54" i="171" l="1"/>
  <c r="P50" i="171"/>
  <c r="N54" i="171"/>
  <c r="C60" i="169"/>
  <c r="D22" i="169"/>
  <c r="D26" i="169" s="1"/>
  <c r="D61" i="169"/>
  <c r="D47" i="169"/>
  <c r="C44" i="169"/>
  <c r="D60" i="169" l="1"/>
  <c r="D59" i="169" s="1"/>
  <c r="D62" i="169" s="1"/>
  <c r="D63" i="169" s="1"/>
  <c r="C61" i="169"/>
  <c r="C59" i="169" s="1"/>
  <c r="C62" i="169" s="1"/>
  <c r="C47" i="169"/>
  <c r="D64" i="169" l="1"/>
  <c r="C63" i="169"/>
  <c r="E96" i="170" l="1"/>
  <c r="J95" i="170" s="1"/>
  <c r="D67" i="169"/>
  <c r="M46" i="150"/>
  <c r="M45" i="150" s="1"/>
  <c r="Q45" i="150" s="1"/>
  <c r="Q47" i="150"/>
  <c r="Q46" i="150" s="1"/>
  <c r="M77" i="149" l="1"/>
  <c r="M76" i="149" s="1"/>
  <c r="Q76" i="149" s="1"/>
  <c r="Q75" i="149" s="1"/>
  <c r="Q51" i="150"/>
  <c r="M91" i="149" l="1"/>
  <c r="M92" i="149" s="1"/>
  <c r="Q92" i="149" s="1"/>
  <c r="AD17" i="153" s="1"/>
  <c r="AD18" i="153" s="1"/>
  <c r="Q77" i="149"/>
  <c r="M75" i="149"/>
  <c r="Q91" i="149" l="1"/>
  <c r="R92" i="149" s="1"/>
</calcChain>
</file>

<file path=xl/sharedStrings.xml><?xml version="1.0" encoding="utf-8"?>
<sst xmlns="http://schemas.openxmlformats.org/spreadsheetml/2006/main" count="2397" uniqueCount="1102">
  <si>
    <t>Füred Dixiland Band támogatása</t>
  </si>
  <si>
    <t>4. Működési bevételek áfa visszatérülés (felhalm.)</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</si>
  <si>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</si>
  <si>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</si>
  <si>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</si>
  <si>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</si>
  <si>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</si>
  <si>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</si>
  <si>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</si>
  <si>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</si>
  <si>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</si>
  <si>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</si>
  <si>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</si>
  <si>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</si>
  <si>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</si>
  <si>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</si>
  <si>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</si>
  <si>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</si>
  <si>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</si>
  <si>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</si>
  <si>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</si>
  <si>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</si>
  <si>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</si>
  <si>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</si>
  <si>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</si>
  <si>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</si>
  <si>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</si>
  <si>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</si>
  <si>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</si>
  <si>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</si>
  <si>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</si>
  <si>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</si>
  <si>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</si>
  <si>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</si>
  <si>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</si>
  <si>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</si>
  <si>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</si>
  <si>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</si>
  <si>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</si>
  <si>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</si>
  <si>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</si>
  <si>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</si>
  <si>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</si>
  <si>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</si>
  <si>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</si>
  <si>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</si>
  <si>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</si>
  <si>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</si>
  <si>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</si>
  <si>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</si>
  <si>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</si>
  <si>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</si>
  <si>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</si>
  <si>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</si>
  <si>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</si>
  <si>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</si>
  <si>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</si>
  <si>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</si>
  <si>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</si>
  <si>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</si>
  <si>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</si>
  <si>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</si>
  <si>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</si>
  <si>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</si>
  <si>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</si>
  <si>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</si>
  <si>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</si>
  <si>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</si>
  <si>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</si>
  <si>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</si>
  <si>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</si>
  <si>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</si>
  <si>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</si>
  <si>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</si>
  <si>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</si>
  <si>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</si>
  <si>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</si>
  <si>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</si>
  <si>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</si>
  <si>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</si>
  <si>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</si>
  <si>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</si>
  <si>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</si>
  <si>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</si>
  <si>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</si>
  <si>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</si>
  <si>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</si>
  <si>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</si>
  <si>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</si>
  <si>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</si>
  <si>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</si>
  <si>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</si>
  <si>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</si>
  <si>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</si>
  <si>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</si>
  <si>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</si>
  <si>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</si>
  <si>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</si>
  <si>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</si>
  <si>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</si>
  <si>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</si>
  <si>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</si>
  <si>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</si>
  <si>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</si>
  <si>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</si>
  <si>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</si>
  <si>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</si>
  <si>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</si>
  <si>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</si>
  <si>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</si>
  <si>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</si>
  <si>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</si>
  <si>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</si>
  <si>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</si>
  <si>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</si>
  <si>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</si>
  <si>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</si>
  <si>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</si>
  <si>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</si>
  <si>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</si>
  <si>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</si>
  <si>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</si>
  <si>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</si>
  <si>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</si>
  <si>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</si>
  <si>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</si>
  <si>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</si>
  <si>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</si>
  <si>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</si>
  <si>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</si>
  <si>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</si>
  <si>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</si>
  <si>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</si>
  <si>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</si>
  <si>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</si>
  <si>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</si>
  <si>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</si>
  <si>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</si>
  <si>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</si>
  <si>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</si>
  <si>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</si>
  <si>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</si>
  <si>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</si>
  <si>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</si>
  <si>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</si>
  <si>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</si>
  <si>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</si>
  <si>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</si>
  <si>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</si>
  <si>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</si>
  <si>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</si>
  <si>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</si>
  <si>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</si>
  <si>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</si>
  <si>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</si>
  <si>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</si>
  <si>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</si>
  <si>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</si>
  <si>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</si>
  <si>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</si>
  <si>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</si>
  <si>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</si>
  <si>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</si>
  <si>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</si>
  <si>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</si>
  <si>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</si>
  <si>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</si>
  <si>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</si>
  <si>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</si>
  <si>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</si>
  <si>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</si>
  <si>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</si>
  <si>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</si>
  <si>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</si>
  <si>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</si>
  <si>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</si>
  <si>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</si>
  <si>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</si>
  <si>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</si>
  <si>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</si>
  <si>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</si>
  <si>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</si>
  <si>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</si>
  <si>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</si>
  <si>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</si>
  <si>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</si>
  <si>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</si>
  <si>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</si>
  <si>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</si>
  <si>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</si>
  <si>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</si>
  <si>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</si>
  <si>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</si>
  <si>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</si>
  <si>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</si>
  <si>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</si>
  <si>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</si>
  <si>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</si>
  <si>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</si>
  <si>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</si>
  <si>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</si>
  <si>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</si>
  <si>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</si>
  <si>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</si>
  <si>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</si>
  <si>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</si>
  <si>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</si>
  <si>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</si>
  <si>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</si>
  <si>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</si>
  <si>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</si>
  <si>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</si>
  <si>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</si>
  <si>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</si>
  <si>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</si>
  <si>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</si>
  <si>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</si>
  <si>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</si>
  <si>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</si>
  <si>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</si>
  <si>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</si>
  <si>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</si>
  <si>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</si>
  <si>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</si>
  <si>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</si>
  <si>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</si>
  <si>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</si>
  <si>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</si>
  <si>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</si>
  <si>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</si>
  <si>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</si>
  <si>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</si>
  <si>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</si>
  <si>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</si>
  <si>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</si>
  <si>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</si>
  <si>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</si>
  <si>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</si>
  <si>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</si>
  <si>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</si>
  <si>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</si>
  <si>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</si>
  <si>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</si>
  <si>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</si>
  <si>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</si>
  <si>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</si>
  <si>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</si>
  <si>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</si>
  <si>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</si>
  <si>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</si>
  <si>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</si>
  <si>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</si>
  <si>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</si>
  <si>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</si>
  <si>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</si>
  <si>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</si>
  <si>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</si>
  <si>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</si>
  <si>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</si>
  <si>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</si>
  <si>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</si>
  <si>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</si>
  <si>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</si>
  <si>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</si>
  <si>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</si>
  <si>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</si>
  <si>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</si>
  <si>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</si>
  <si>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</si>
  <si>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</si>
  <si>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</si>
  <si>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</si>
  <si>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</si>
  <si>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</si>
  <si>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</si>
  <si>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</si>
  <si>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</si>
  <si>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</si>
  <si>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</si>
  <si>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</si>
  <si>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</si>
  <si>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</si>
  <si>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</si>
  <si>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</si>
  <si>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</si>
  <si>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</si>
  <si>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</si>
  <si>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</si>
  <si>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</si>
  <si>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</si>
  <si>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</si>
  <si>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</si>
  <si>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</si>
  <si>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</si>
  <si>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</si>
  <si>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</si>
  <si>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</si>
  <si>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</si>
  <si>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</si>
  <si>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</si>
  <si>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</si>
  <si>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</si>
  <si>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</si>
  <si>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</si>
  <si>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</si>
  <si>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</si>
  <si>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</si>
  <si>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</si>
  <si>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</si>
  <si>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</si>
  <si>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</si>
  <si>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</si>
  <si>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</si>
  <si>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</si>
  <si>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</si>
  <si>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</si>
  <si>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</si>
  <si>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</si>
  <si>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</si>
  <si>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</si>
  <si>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</si>
  <si>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</si>
  <si>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</si>
  <si>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</si>
  <si>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</si>
  <si>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</si>
  <si>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</si>
  <si>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</si>
  <si>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</si>
  <si>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</si>
  <si>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</si>
  <si>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</si>
  <si>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</si>
  <si>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</si>
  <si>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</si>
  <si>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</si>
  <si>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</si>
  <si>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</si>
  <si>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</si>
  <si>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</si>
  <si>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</si>
  <si>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</si>
  <si>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</si>
  <si>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</si>
  <si>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</si>
  <si>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</si>
  <si>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</si>
  <si>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</si>
  <si>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</si>
  <si>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</si>
  <si>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</si>
  <si>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</si>
  <si>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</si>
  <si>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</si>
  <si>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</si>
  <si>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</si>
  <si>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</si>
  <si>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</si>
  <si>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</si>
  <si>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</si>
  <si>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</si>
  <si>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</si>
  <si>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</si>
  <si>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</si>
  <si>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</si>
  <si>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</si>
  <si>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</si>
  <si>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</si>
  <si>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</si>
  <si>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</si>
  <si>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</si>
  <si>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</si>
  <si>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</si>
  <si>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</si>
  <si>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</si>
  <si>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</si>
  <si>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</si>
  <si>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</si>
  <si>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</si>
  <si>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</si>
  <si>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</si>
  <si>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</si>
  <si>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</si>
  <si>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</si>
  <si>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</si>
  <si>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</si>
  <si>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</si>
  <si>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</si>
  <si>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</si>
  <si>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</si>
  <si>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</si>
  <si>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</si>
  <si>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</si>
  <si>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</si>
  <si>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</si>
  <si>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</si>
  <si>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</si>
  <si>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</si>
  <si>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</si>
  <si>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</si>
  <si>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</si>
  <si>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</si>
  <si>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</si>
  <si>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</si>
  <si>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</si>
  <si>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</si>
  <si>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</si>
  <si>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</si>
  <si>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</si>
  <si>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</si>
  <si>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</si>
  <si>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</si>
  <si>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</si>
  <si>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</si>
  <si>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</si>
  <si>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</si>
  <si>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</si>
  <si>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</si>
  <si>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</si>
  <si>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</si>
  <si>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</si>
  <si>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</si>
  <si>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</si>
  <si>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</si>
  <si>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</si>
  <si>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</si>
  <si>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</si>
  <si>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</si>
  <si>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</si>
  <si>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</si>
  <si>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</si>
  <si>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</si>
  <si>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</si>
  <si>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</si>
  <si>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</si>
  <si>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</si>
  <si>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</si>
  <si>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</si>
  <si>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</si>
  <si>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</si>
  <si>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</si>
  <si>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</si>
  <si>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</si>
  <si>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</si>
  <si>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</si>
  <si>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</si>
  <si>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</si>
  <si>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</si>
  <si>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</si>
  <si>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</si>
  <si>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</si>
  <si>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</si>
  <si>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</si>
  <si>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</si>
  <si>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</si>
  <si>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</si>
  <si>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</si>
  <si>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</si>
  <si>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</si>
  <si>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</si>
  <si>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</si>
  <si>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</si>
  <si>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</si>
  <si>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</si>
  <si>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</si>
  <si>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</si>
  <si>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</si>
  <si>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</si>
  <si>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</si>
  <si>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</si>
  <si>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</si>
  <si>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</si>
  <si>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</si>
  <si>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</si>
  <si>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</si>
  <si>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</si>
  <si>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</si>
  <si>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</si>
  <si>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</si>
  <si>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</si>
  <si>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</si>
  <si>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</si>
  <si>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</si>
  <si>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</si>
  <si>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</si>
  <si>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</si>
  <si>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</si>
  <si>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</si>
  <si>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</si>
  <si>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</si>
  <si>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</si>
  <si>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</si>
  <si>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</si>
  <si>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</si>
  <si>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</si>
  <si>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</si>
  <si>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</si>
  <si>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</si>
  <si>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</si>
  <si>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</si>
  <si>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</si>
  <si>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</si>
  <si>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</si>
  <si>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</si>
  <si>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</si>
  <si>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</si>
  <si>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</si>
  <si>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</si>
  <si>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</si>
  <si>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</si>
  <si>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</si>
  <si>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</si>
  <si>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</si>
  <si>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</si>
  <si>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</si>
  <si>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</si>
  <si>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</si>
  <si>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</si>
  <si>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</si>
  <si>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</si>
  <si>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</si>
  <si>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</si>
  <si>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</si>
  <si>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</si>
  <si>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</si>
  <si>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</si>
  <si>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</si>
  <si>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</si>
  <si>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</si>
  <si>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</si>
  <si>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</si>
  <si>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</si>
  <si>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</si>
  <si>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</si>
  <si>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</si>
  <si>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</si>
  <si>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</si>
  <si>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</si>
  <si>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</si>
  <si>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</si>
  <si>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</si>
  <si>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</si>
  <si>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</si>
  <si>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</si>
  <si>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</si>
  <si>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</si>
  <si>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</si>
  <si>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</si>
  <si>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</si>
  <si>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</si>
  <si>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</si>
  <si>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</si>
  <si>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</si>
  <si>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</si>
  <si>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</si>
  <si>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</si>
  <si>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</si>
  <si>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</si>
  <si>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</si>
  <si>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</si>
  <si>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</si>
  <si>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</si>
  <si>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</si>
  <si>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</si>
  <si>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</si>
  <si>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</si>
  <si>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</si>
  <si>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</si>
  <si>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</si>
  <si>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</si>
  <si>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</si>
  <si>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</si>
  <si>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</si>
  <si>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</si>
  <si>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</si>
  <si>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</si>
  <si>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</si>
  <si>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</si>
  <si>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</si>
  <si>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</si>
  <si>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</si>
  <si>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</si>
  <si>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</si>
  <si>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</si>
  <si>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</si>
  <si>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</si>
  <si>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</si>
  <si>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</si>
  <si>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</si>
  <si>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</si>
  <si>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</si>
  <si>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</si>
  <si>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</si>
  <si>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</si>
  <si>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</si>
  <si>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</si>
  <si>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</si>
  <si>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</si>
  <si>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</si>
  <si>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</si>
  <si>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</si>
  <si>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</si>
  <si>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</si>
  <si>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</si>
  <si>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</si>
  <si>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</si>
  <si>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</si>
  <si>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</si>
  <si>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</si>
  <si>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</si>
  <si>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</si>
  <si>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</si>
  <si>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</si>
  <si>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Savanyúvizes kutak védterület kijelölése (340/2007 sz. hat.) hidrogeológiai geodéziai anyag készítése</t>
  </si>
  <si>
    <t>Tájház pályázati önerő Lóczy u. 101.103. (203/2019.(VII.19.))</t>
  </si>
  <si>
    <t>TOP-1.1.2-15 Balatonfüred és Balatonalmádi közös helyi foglalkoztatási együttműködés</t>
  </si>
  <si>
    <t xml:space="preserve">           TOP-1.1.2-15 Balatonfüred és Balatonalmádi közös helyi foglalkoztatási együttműködés</t>
  </si>
  <si>
    <t>GINOP Négy évszakos kulturális és rendezvényhelyszín mélygarázs koncepció terve</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</si>
  <si>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</si>
  <si>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</si>
  <si>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</si>
  <si>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</si>
  <si>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</si>
  <si>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</si>
  <si>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</si>
  <si>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</si>
  <si>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</si>
  <si>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</si>
  <si>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</si>
  <si>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</si>
  <si>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</si>
  <si>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</si>
  <si>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</si>
  <si>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</si>
  <si>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</si>
  <si>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</si>
  <si>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</si>
  <si>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</si>
  <si>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</si>
  <si>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</si>
  <si>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</si>
  <si>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</si>
  <si>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</si>
  <si>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</si>
  <si>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</si>
  <si>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</si>
  <si>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</si>
  <si>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</si>
  <si>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</si>
  <si>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</si>
  <si>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</si>
  <si>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</si>
  <si>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</si>
  <si>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</si>
  <si>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</si>
  <si>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</si>
  <si>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</si>
  <si>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</si>
  <si>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</si>
  <si>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</si>
  <si>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</si>
  <si>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</si>
  <si>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</si>
  <si>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</si>
  <si>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</si>
  <si>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</si>
  <si>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</si>
  <si>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</si>
  <si>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</si>
  <si>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</si>
  <si>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</si>
  <si>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</si>
  <si>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</si>
  <si>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</si>
  <si>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</si>
  <si>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</si>
  <si>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</si>
  <si>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</si>
  <si>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</si>
  <si>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</si>
  <si>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</si>
  <si>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</si>
  <si>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</si>
  <si>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</si>
  <si>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</si>
  <si>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</si>
  <si>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</si>
  <si>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</si>
  <si>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</si>
  <si>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</si>
  <si>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</si>
  <si>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</si>
  <si>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</si>
  <si>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</si>
  <si>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</si>
  <si>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</si>
  <si>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</si>
  <si>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</si>
  <si>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</si>
  <si>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</si>
  <si>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</si>
  <si>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</si>
  <si>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</si>
  <si>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</si>
  <si>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</si>
  <si>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</si>
  <si>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</si>
  <si>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</si>
  <si>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</si>
  <si>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</si>
  <si>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</si>
  <si>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</si>
  <si>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</si>
  <si>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</si>
  <si>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</si>
  <si>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</si>
  <si>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</si>
  <si>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</si>
  <si>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</si>
  <si>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</si>
  <si>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</si>
  <si>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</si>
  <si>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</si>
  <si>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</si>
  <si>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</si>
  <si>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</si>
  <si>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</si>
  <si>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</si>
  <si>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</si>
  <si>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</si>
  <si>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</si>
  <si>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</si>
  <si>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</si>
  <si>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4. Tündérkert Óvoda</t>
  </si>
  <si>
    <t>Füvesítés folytatása következő szakasz</t>
  </si>
  <si>
    <t>Udvari játékok</t>
  </si>
  <si>
    <t>Udvari ivókút</t>
  </si>
  <si>
    <t>5. Városi Bölcsőde</t>
  </si>
  <si>
    <t>6. Óvárosi Óvoda</t>
  </si>
  <si>
    <t>Ereszcsatorna felújítása</t>
  </si>
  <si>
    <t>7. Mogyoró u. Óvoda</t>
  </si>
  <si>
    <t xml:space="preserve">8. Eötvös Loránd Általános Iskola </t>
  </si>
  <si>
    <t xml:space="preserve">9. Református Általános Iskola </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</si>
  <si>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</si>
  <si>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</si>
  <si>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</si>
  <si>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</si>
  <si>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</si>
  <si>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</si>
  <si>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</si>
  <si>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</si>
  <si>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</si>
  <si>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</si>
  <si>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</si>
  <si>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</si>
  <si>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23. Arácsi Népház, Posta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</si>
  <si>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</si>
  <si>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</si>
  <si>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</si>
  <si>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</si>
  <si>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</si>
  <si>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</si>
  <si>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</si>
  <si>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</si>
  <si>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</si>
  <si>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</si>
  <si>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</si>
  <si>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</si>
  <si>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</si>
  <si>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</si>
  <si>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</si>
  <si>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</si>
  <si>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</si>
  <si>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</si>
  <si>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</si>
  <si>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</si>
  <si>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</si>
  <si>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</si>
  <si>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</si>
  <si>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</si>
  <si>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</si>
  <si>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</si>
  <si>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</si>
  <si>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</si>
  <si>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</si>
  <si>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</si>
  <si>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</si>
  <si>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</si>
  <si>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</si>
  <si>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</si>
  <si>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</si>
  <si>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</si>
  <si>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</si>
  <si>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</si>
  <si>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</si>
  <si>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</si>
  <si>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</si>
  <si>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</si>
  <si>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</si>
  <si>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</si>
  <si>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</si>
  <si>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</si>
  <si>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</si>
  <si>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</si>
  <si>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</si>
  <si>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</si>
  <si>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</si>
  <si>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</si>
  <si>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</si>
  <si>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</si>
  <si>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</si>
  <si>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</si>
  <si>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</si>
  <si>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</si>
  <si>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</si>
  <si>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</si>
  <si>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</si>
  <si>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</si>
  <si>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</si>
  <si>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</si>
  <si>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</si>
  <si>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</si>
  <si>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</si>
  <si>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</si>
  <si>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</si>
  <si>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</si>
  <si>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</si>
  <si>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</si>
  <si>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</si>
  <si>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</si>
  <si>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</si>
  <si>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</si>
  <si>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</si>
  <si>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</si>
  <si>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</si>
  <si>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</si>
  <si>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</si>
  <si>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</si>
  <si>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</si>
  <si>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</si>
  <si>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</si>
  <si>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</si>
  <si>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</si>
  <si>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</si>
  <si>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</si>
  <si>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</si>
  <si>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</si>
  <si>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</si>
  <si>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</si>
  <si>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</si>
  <si>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</si>
  <si>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</si>
  <si>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</si>
  <si>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</si>
  <si>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</si>
  <si>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</si>
  <si>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</si>
  <si>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</si>
  <si>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</si>
  <si>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</si>
  <si>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</si>
  <si>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</si>
  <si>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</si>
  <si>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</si>
  <si>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</si>
  <si>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</si>
  <si>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</si>
  <si>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</si>
  <si>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</si>
  <si>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</si>
  <si>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</si>
  <si>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</si>
  <si>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</si>
  <si>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</si>
  <si>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</si>
  <si>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</si>
  <si>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</si>
  <si>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</si>
  <si>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</si>
  <si>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</si>
  <si>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</si>
  <si>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</si>
  <si>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</si>
  <si>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</si>
  <si>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</si>
  <si>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</si>
  <si>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</si>
  <si>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</si>
  <si>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</si>
  <si>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</si>
  <si>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</si>
  <si>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</si>
  <si>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</si>
  <si>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</si>
  <si>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</si>
  <si>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</si>
  <si>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</si>
  <si>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</si>
  <si>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</si>
  <si>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</si>
  <si>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</si>
  <si>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</si>
  <si>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</si>
  <si>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</si>
  <si>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</si>
  <si>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</si>
  <si>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</si>
  <si>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</si>
  <si>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</si>
  <si>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</si>
  <si>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</si>
  <si>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</si>
  <si>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</si>
  <si>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</si>
  <si>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</si>
  <si>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</si>
  <si>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</si>
  <si>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</si>
  <si>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</si>
  <si>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</si>
  <si>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</si>
  <si>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</si>
  <si>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</si>
  <si>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</si>
  <si>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</si>
  <si>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</si>
  <si>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</si>
  <si>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</si>
  <si>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</si>
  <si>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</si>
  <si>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</si>
  <si>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</si>
  <si>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</si>
  <si>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</si>
  <si>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</si>
  <si>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</si>
  <si>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</si>
  <si>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</si>
  <si>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</si>
  <si>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</si>
  <si>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</si>
  <si>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</si>
  <si>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</si>
  <si>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</si>
  <si>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</si>
  <si>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</si>
  <si>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</si>
  <si>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</si>
  <si>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</si>
  <si>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</si>
  <si>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</si>
  <si>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</si>
  <si>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</si>
  <si>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</si>
  <si>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</si>
  <si>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</si>
  <si>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</si>
  <si>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</si>
  <si>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</si>
  <si>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</si>
  <si>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</si>
  <si>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</si>
  <si>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</si>
  <si>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</si>
  <si>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</si>
  <si>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</si>
  <si>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</si>
  <si>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</si>
  <si>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</si>
  <si>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</si>
  <si>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</si>
  <si>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</si>
  <si>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</si>
  <si>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</si>
  <si>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</si>
  <si>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</si>
  <si>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</si>
  <si>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</si>
  <si>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</si>
  <si>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</si>
  <si>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</si>
  <si>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</si>
  <si>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</si>
  <si>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Eltérés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</si>
  <si>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</si>
  <si>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</si>
  <si>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</si>
  <si>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</si>
  <si>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</si>
  <si>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</si>
  <si>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</si>
  <si>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</si>
  <si>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</si>
  <si>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</si>
  <si>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</si>
  <si>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</si>
  <si>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</si>
  <si>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</si>
  <si>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</si>
  <si>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</si>
  <si>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</si>
  <si>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</si>
  <si>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</si>
  <si>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</si>
  <si>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</si>
  <si>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</si>
  <si>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</si>
  <si>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</si>
  <si>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</si>
  <si>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</si>
  <si>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</si>
  <si>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</si>
  <si>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</si>
  <si>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</si>
  <si>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</si>
  <si>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</si>
  <si>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</si>
  <si>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II. módosítás</t>
  </si>
  <si>
    <t>Módosított ei. II.</t>
  </si>
  <si>
    <t>Kiegészítő támogatás</t>
  </si>
  <si>
    <t xml:space="preserve"> család- és gyermekjóléti szolgálat és központ kieg.támogatása</t>
  </si>
  <si>
    <t>Szoc. És gyeermekjóléti feladatok kieg. támogatás</t>
  </si>
  <si>
    <t>Nyilvános könyvtári és közművelődési feladatok kiegészítő támogatása</t>
  </si>
  <si>
    <t>Bölcsőde kiegészítő támogatása - bértámogatás</t>
  </si>
  <si>
    <t>Idegenforgalmi adóhoz kapcsolódó kiegészítő támogatás</t>
  </si>
  <si>
    <t>Kiegészítő támogatás bölcsődei pótlékra</t>
  </si>
  <si>
    <t xml:space="preserve">Kiegészítő támogatás </t>
  </si>
  <si>
    <t>Kiegészítő támogatás intézményi gyermekétkeztetés</t>
  </si>
  <si>
    <t xml:space="preserve">     Papsoka IV. ütem nem támogatott</t>
  </si>
  <si>
    <t>Információs táblák</t>
  </si>
  <si>
    <t>Hulladékgyűjtők</t>
  </si>
  <si>
    <t>Kéki utcai társasházak körüli környezetrendezés</t>
  </si>
  <si>
    <t>Fűkasza  és egyéb kisértékű eszköz beszerzés</t>
  </si>
  <si>
    <t>MLSZ Országos pályaépítési program önrész</t>
  </si>
  <si>
    <t>Tamáshegyi új utca kialakítása- víziközmű ellátás tervezése</t>
  </si>
  <si>
    <t xml:space="preserve">Gábor Dénes emlékfa ültetés </t>
  </si>
  <si>
    <t xml:space="preserve"> - Vasút utca 1. Társasház visszatérítendő támogatás</t>
  </si>
  <si>
    <t xml:space="preserve"> - Balatonfüred Kézilabda Sportjáért Közhasznú Alapítvány visszatérítendő támogatás</t>
  </si>
  <si>
    <t xml:space="preserve">  - GINOP-7.1.9-17-2018-00008 Turisztikailag frekventált térségek integrált termék- és szolgáltatás fejlesztése</t>
  </si>
  <si>
    <t>TOP-2.1.2.-16 VE1 Ófalu településrész fejlesztése tanulmányterv</t>
  </si>
  <si>
    <t xml:space="preserve">  - TOP-2.1.2-16-VE1-2017-00009 Balatonfüred Ófalu fejlesztése és új közösségi tér kialakítása</t>
  </si>
  <si>
    <t>2020. évi módosított ei. III.</t>
  </si>
  <si>
    <t>III. módosítás</t>
  </si>
  <si>
    <t>Módosított ei. III.</t>
  </si>
  <si>
    <t>Óvodaműködtetési támogatás</t>
  </si>
  <si>
    <t>Belterületi utak, járdák, hidak felújítása</t>
  </si>
  <si>
    <t>Muzeális intézmények szakmai támogatása (Kubinyi Ágoston Program)</t>
  </si>
  <si>
    <t>vizsgáló ágy</t>
  </si>
  <si>
    <t xml:space="preserve"> ebből:    TOP-1.2.1-16-VE1-2019-00017 Balatonfüred Brázay szabadstrand turisztikai attrakció fejlesztése</t>
  </si>
  <si>
    <t xml:space="preserve">                KEHOP 1.2.1-18-2018-2018-00143 Balatonfüred lakossági klímatudatosság fejlesztése - alkalmazkodása klímaváltozáshoz</t>
  </si>
  <si>
    <t xml:space="preserve">      Fejlesztési célú támogatás Passuth u. útfelújítás</t>
  </si>
  <si>
    <t>Pályázat visszamondás miatt előleg visszafizetés</t>
  </si>
  <si>
    <t>TOP-2.1.2-16-VE1-2020-00010</t>
  </si>
  <si>
    <t>2020. év előtti teljesítés</t>
  </si>
  <si>
    <t>2021-2022. évek</t>
  </si>
  <si>
    <t>Vitorlástér homokkő burkolat cseréje</t>
  </si>
  <si>
    <t>Belterületi utak, járdák felújítása pályázat (Arad u.)</t>
  </si>
  <si>
    <t>Völgy u. ingatlanok kisajátítás, területszerzés</t>
  </si>
  <si>
    <t>1780/99 hrsz-ú ingatlanból területrész vásárlása</t>
  </si>
  <si>
    <t>Kiserdő felújítás 2020. év</t>
  </si>
  <si>
    <t>KFE-00201-8/2020 Balatonfüred új kulturális negyedének kialakítása II. ütem (Huray mélygarázs)</t>
  </si>
  <si>
    <t>Lóczy Lajos Gimnázium betonfal bontása és korlát építése</t>
  </si>
  <si>
    <t>Elővásárlási jog gyakorlása a 3465 hrsz-ú ingatlan Itató u. 10.</t>
  </si>
  <si>
    <t>Tematikus szabadidőpark tervek</t>
  </si>
  <si>
    <t>Lóczy Lajos emlékfa ültetés</t>
  </si>
  <si>
    <t>Törvénykezési hely és Járási Hivatal kialakításának tervezése</t>
  </si>
  <si>
    <t>Balatonfüred Kemping Turisztikai fejlesztése I. ütem 2020. év</t>
  </si>
  <si>
    <t>Kéki utcai lakások konyhabútor, lámpák, függöny beszerzés (5 db lakás)</t>
  </si>
  <si>
    <t xml:space="preserve">Lóczy Gimnázium konyha mosogató alatti asztal </t>
  </si>
  <si>
    <t>Faludy György emléktábla</t>
  </si>
  <si>
    <t xml:space="preserve">  - Balatonfüred Gyógytér 3. helyi védett épület felújítására támogatás 175/2020. (IX.24.) </t>
  </si>
  <si>
    <t xml:space="preserve"> -Balatonfüred-Dörgicse Evangélikus Egyházközség fejlesztési támogatás</t>
  </si>
  <si>
    <t xml:space="preserve"> - Arácsért Alapítvány fejlesztési támogatás</t>
  </si>
  <si>
    <t xml:space="preserve"> - Fejlesztési célok támogatása képviselői és alpolgármesteri keretből</t>
  </si>
  <si>
    <t xml:space="preserve"> - Római Katolikus Plébánia épületének felújítás támogatása </t>
  </si>
  <si>
    <t>Fürdőszoba átalakítása</t>
  </si>
  <si>
    <t>Siske u. 7. felújítás</t>
  </si>
  <si>
    <t>Balatonfüred Polgárőr Egyesület formaruha</t>
  </si>
  <si>
    <t>Balatonfüredi Nyugdíjas Pedagógus Egyesület</t>
  </si>
  <si>
    <t>TOP-2.1.2-16-VE1-2020-00010 Balatonfüred Ófalu fejlesztése és új közösségi tér kialakítása</t>
  </si>
  <si>
    <t xml:space="preserve">      TOP-2.1.2-16-VE1-2020-00010  Balatonfüred Ófalu fejlesztése és új közösségi tér kialakítása</t>
  </si>
  <si>
    <t xml:space="preserve">     TOP-1.2.1-16-VE1 Társadalmi és környezeti szempontból fenntartható turizmusfejlesztés elnevezésű projekt keretében Balatonfüred, Brázay szabad strand turisztikai attrakció fejlesztése”</t>
  </si>
  <si>
    <t xml:space="preserve">     TOP-1.2.1-16-VE1 Társadalmi és környezeti szempontból fenntartható turizmusfejlesztés előkészítő tanulmány</t>
  </si>
  <si>
    <t xml:space="preserve">     KFE-00201--8/2020 Balatonfüred új kulturális negyedének kialakítása II. ütem (Huray mélygarázs)</t>
  </si>
  <si>
    <t xml:space="preserve">     Tematikus szabadidőpark projekt előkészítő </t>
  </si>
  <si>
    <t xml:space="preserve">      Balatonfüred Kemping Turisztikai fejlesztése I. ütem</t>
  </si>
  <si>
    <t xml:space="preserve">      2.3.2. Korábbi évek megszűnt adóiból befolyt bevétel</t>
  </si>
  <si>
    <t xml:space="preserve"> Bérkompenzáció támogatása</t>
  </si>
  <si>
    <t>2020. évi módosított ei. IV.</t>
  </si>
  <si>
    <t>Ebmenhely létesítése tervezés</t>
  </si>
  <si>
    <t xml:space="preserve">Zákonyi tereplépcső </t>
  </si>
  <si>
    <t>Szabadság u. csapadékcsatorna eng.terv</t>
  </si>
  <si>
    <t>Balatonfüredi Kiserdei Óvoda új udvari játék</t>
  </si>
  <si>
    <t>Balatonfüredi Városi Bölcsőde új udvari játék</t>
  </si>
  <si>
    <t xml:space="preserve">  - 271/2020.(XII.21.) Óvoda u. 10/A helyi védelem alatt álló területen álló ingatlan</t>
  </si>
  <si>
    <t xml:space="preserve">  - 272/2020.(XII.21.)Béke u. 15.  helyi egyedi védelem alatt álló épület </t>
  </si>
  <si>
    <t>Balatonvin Borlovagrend Balatonfüred-Csopak Egyesület</t>
  </si>
  <si>
    <t>IV. módosítás</t>
  </si>
  <si>
    <t>Módosított ei. IV.</t>
  </si>
  <si>
    <t xml:space="preserve">                TOP-2.1.2-16-VE1-2020-00010 azonosítószámú, Balatonfüred Ófalu fejlesztése és új közösségi tér kialakítása</t>
  </si>
  <si>
    <t xml:space="preserve">   </t>
  </si>
  <si>
    <t xml:space="preserve">      Állami támogatás megelőlegezés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</si>
</sst>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F_t_-;\-* #,##0.00\ _F_t_-;_-* &quot;-&quot;??\ _F_t_-;_-@_-"/>
    <numFmt numFmtId="164" formatCode="mmm\ d/"/>
    <numFmt numFmtId="165" formatCode="#,##0.0"/>
    <numFmt numFmtId="166" formatCode="0.0"/>
    <numFmt numFmtId="167" formatCode="#,##0;[Red]#,##0"/>
  </numFmts>
  <fonts count="52"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sz val="12"/>
      <color rgb="FF000000"/>
      <name val="Arial"/>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s>
  <borders count="1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right style="medium">
        <color indexed="64"/>
      </right>
      <top style="medium">
        <color indexed="64"/>
      </top>
      <bottom style="thin">
        <color indexed="64"/>
      </bottom>
      <diagonal/>
    </border>
    <border>
      <left style="thin">
        <color indexed="8"/>
      </left>
      <right style="thin">
        <color indexed="64"/>
      </right>
      <top style="thin">
        <color indexed="64"/>
      </top>
      <bottom style="thin">
        <color indexed="8"/>
      </bottom>
      <diagonal/>
    </border>
  </borders>
  <cellStyleXfs count="144">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cellStyleXfs>
  <cellXfs count="1734">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3" fontId="28" fillId="29" borderId="72" xfId="113" applyNumberFormat="1" applyFont="1" applyFill="1" applyBorder="1" applyAlignment="1">
      <alignment horizontal="right" wrapText="1"/>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1" fillId="0" borderId="52" xfId="113" applyNumberFormat="1" applyFont="1" applyBorder="1" applyAlignment="1">
      <alignment horizontal="right"/>
    </xf>
    <xf numFmtId="3" fontId="21" fillId="0" borderId="64" xfId="113" applyNumberFormat="1" applyFont="1" applyBorder="1" applyAlignment="1">
      <alignment horizontal="right"/>
    </xf>
    <xf numFmtId="3" fontId="20" fillId="0" borderId="2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0" fillId="31" borderId="17" xfId="0" applyFont="1" applyFill="1" applyBorder="1" applyAlignment="1">
      <alignment wrapText="1"/>
    </xf>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3" fontId="0" fillId="0" borderId="22" xfId="0" applyNumberFormat="1" applyBorder="1"/>
    <xf numFmtId="0" fontId="0" fillId="0" borderId="22" xfId="0" applyBorder="1"/>
    <xf numFmtId="0" fontId="22"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0" fontId="21" fillId="0" borderId="0" xfId="113" applyFont="1" applyBorder="1" applyAlignment="1">
      <alignment horizontal="center"/>
    </xf>
    <xf numFmtId="0" fontId="25" fillId="0" borderId="0" xfId="110" applyFont="1" applyFill="1" applyBorder="1" applyAlignment="1">
      <alignment horizontal="center" wrapText="1"/>
    </xf>
    <xf numFmtId="0" fontId="21" fillId="0" borderId="38" xfId="113" applyFont="1" applyBorder="1" applyAlignment="1">
      <alignment horizontal="center" vertical="center" wrapText="1"/>
    </xf>
    <xf numFmtId="3" fontId="26" fillId="0" borderId="23" xfId="113" applyNumberFormat="1" applyFont="1" applyBorder="1"/>
    <xf numFmtId="0" fontId="26" fillId="0" borderId="23" xfId="113" applyFont="1" applyBorder="1"/>
    <xf numFmtId="3" fontId="0" fillId="0" borderId="23" xfId="0" applyNumberFormat="1" applyBorder="1"/>
    <xf numFmtId="0" fontId="0" fillId="0" borderId="23" xfId="0" applyBorder="1"/>
    <xf numFmtId="0" fontId="22" fillId="0" borderId="23" xfId="0" applyFont="1" applyBorder="1"/>
    <xf numFmtId="3" fontId="0" fillId="0" borderId="17" xfId="0" applyNumberFormat="1" applyBorder="1"/>
    <xf numFmtId="3" fontId="20" fillId="0" borderId="17" xfId="0" applyNumberFormat="1" applyFont="1" applyBorder="1" applyAlignment="1">
      <alignment horizontal="right"/>
    </xf>
    <xf numFmtId="3" fontId="20" fillId="29" borderId="17" xfId="107" applyNumberFormat="1" applyFont="1" applyFill="1" applyBorder="1" applyAlignment="1">
      <alignment horizontal="right"/>
    </xf>
    <xf numFmtId="3" fontId="20" fillId="0" borderId="17" xfId="0" applyNumberFormat="1" applyFont="1" applyBorder="1"/>
    <xf numFmtId="3" fontId="21" fillId="29" borderId="17" xfId="107" applyNumberFormat="1" applyFont="1" applyFill="1" applyBorder="1" applyAlignment="1">
      <alignment horizontal="right"/>
    </xf>
    <xf numFmtId="3" fontId="21" fillId="0" borderId="17" xfId="0" applyNumberFormat="1" applyFont="1" applyBorder="1" applyAlignment="1">
      <alignment horizontal="right"/>
    </xf>
    <xf numFmtId="3" fontId="20" fillId="0" borderId="17" xfId="107" applyNumberFormat="1" applyFont="1" applyBorder="1"/>
    <xf numFmtId="3" fontId="21" fillId="29" borderId="17" xfId="107" applyNumberFormat="1" applyFont="1" applyFill="1" applyBorder="1"/>
    <xf numFmtId="3" fontId="21" fillId="0" borderId="17" xfId="107" applyNumberFormat="1" applyFont="1" applyBorder="1"/>
    <xf numFmtId="3" fontId="24" fillId="0" borderId="23" xfId="107" applyNumberFormat="1" applyFont="1" applyFill="1" applyBorder="1"/>
    <xf numFmtId="3" fontId="0" fillId="0" borderId="23" xfId="0" applyNumberFormat="1" applyFont="1" applyBorder="1" applyAlignment="1">
      <alignment wrapText="1"/>
    </xf>
    <xf numFmtId="3" fontId="22" fillId="0" borderId="23" xfId="0" applyNumberFormat="1" applyFont="1" applyBorder="1" applyAlignment="1">
      <alignment wrapText="1"/>
    </xf>
    <xf numFmtId="3" fontId="21" fillId="0" borderId="23" xfId="107" applyNumberFormat="1" applyFont="1" applyFill="1" applyBorder="1" applyAlignment="1">
      <alignment vertical="center"/>
    </xf>
    <xf numFmtId="3" fontId="0" fillId="0" borderId="17" xfId="0" applyNumberFormat="1" applyFill="1" applyBorder="1"/>
    <xf numFmtId="3" fontId="22" fillId="0" borderId="22" xfId="0" applyNumberFormat="1" applyFont="1" applyBorder="1" applyAlignment="1">
      <alignment vertical="center" wrapText="1"/>
    </xf>
    <xf numFmtId="3" fontId="0" fillId="0" borderId="43" xfId="0" applyNumberFormat="1" applyFont="1" applyBorder="1" applyAlignment="1">
      <alignment wrapText="1"/>
    </xf>
    <xf numFmtId="3" fontId="21" fillId="0" borderId="24" xfId="107" applyNumberFormat="1" applyFont="1" applyFill="1" applyBorder="1"/>
    <xf numFmtId="3" fontId="20" fillId="0" borderId="64" xfId="113" applyNumberFormat="1" applyFont="1" applyBorder="1" applyAlignment="1">
      <alignment horizontal="right" vertical="center"/>
    </xf>
    <xf numFmtId="3" fontId="21" fillId="0" borderId="43" xfId="113" applyNumberFormat="1" applyFont="1" applyBorder="1" applyAlignment="1">
      <alignment horizontal="right" vertical="center"/>
    </xf>
    <xf numFmtId="3" fontId="21" fillId="0" borderId="64" xfId="113" applyNumberFormat="1" applyFont="1" applyBorder="1" applyAlignment="1">
      <alignment horizontal="right" vertical="center"/>
    </xf>
    <xf numFmtId="3" fontId="21" fillId="0" borderId="22" xfId="113" applyNumberFormat="1" applyFont="1" applyBorder="1" applyAlignment="1">
      <alignment horizontal="right" vertical="center"/>
    </xf>
    <xf numFmtId="3" fontId="21" fillId="0" borderId="23" xfId="113" applyNumberFormat="1" applyFont="1" applyBorder="1" applyAlignment="1">
      <alignment horizontal="right" vertical="center"/>
    </xf>
    <xf numFmtId="3" fontId="21" fillId="29" borderId="23" xfId="113" applyNumberFormat="1" applyFont="1" applyFill="1" applyBorder="1" applyAlignment="1">
      <alignment vertical="center"/>
    </xf>
    <xf numFmtId="3" fontId="21" fillId="29" borderId="43" xfId="113" applyNumberFormat="1" applyFont="1" applyFill="1" applyBorder="1" applyAlignment="1">
      <alignment vertical="center"/>
    </xf>
    <xf numFmtId="3" fontId="20" fillId="29" borderId="64" xfId="113" applyNumberFormat="1" applyFont="1" applyFill="1" applyBorder="1" applyAlignment="1">
      <alignment vertical="center"/>
    </xf>
    <xf numFmtId="3" fontId="21" fillId="29" borderId="64" xfId="113" applyNumberFormat="1" applyFont="1" applyFill="1" applyBorder="1" applyAlignment="1">
      <alignment vertical="center"/>
    </xf>
    <xf numFmtId="3" fontId="21" fillId="0" borderId="40" xfId="113" applyNumberFormat="1" applyFont="1" applyBorder="1" applyAlignment="1">
      <alignment horizontal="right" vertical="center"/>
    </xf>
    <xf numFmtId="3" fontId="21" fillId="0" borderId="34" xfId="113" applyNumberFormat="1" applyFont="1" applyBorder="1" applyAlignment="1">
      <alignment horizontal="right" vertical="center"/>
    </xf>
    <xf numFmtId="3" fontId="22" fillId="0" borderId="0" xfId="106" applyNumberFormat="1" applyFont="1" applyAlignment="1">
      <alignment vertical="center"/>
    </xf>
    <xf numFmtId="3" fontId="20" fillId="0" borderId="64" xfId="113" applyNumberFormat="1" applyFont="1" applyBorder="1" applyAlignment="1">
      <alignment vertical="center"/>
    </xf>
    <xf numFmtId="3" fontId="21" fillId="0" borderId="64" xfId="113" applyNumberFormat="1" applyFont="1" applyBorder="1" applyAlignment="1">
      <alignment vertical="center"/>
    </xf>
    <xf numFmtId="0" fontId="20" fillId="0" borderId="72" xfId="113" applyFont="1" applyBorder="1" applyAlignment="1">
      <alignment wrapText="1"/>
    </xf>
    <xf numFmtId="0" fontId="20" fillId="0" borderId="72" xfId="113" applyFont="1" applyFill="1" applyBorder="1" applyAlignment="1">
      <alignment wrapText="1"/>
    </xf>
    <xf numFmtId="0" fontId="21" fillId="0" borderId="72" xfId="113" applyFont="1" applyBorder="1" applyAlignment="1">
      <alignment wrapText="1"/>
    </xf>
    <xf numFmtId="3" fontId="20" fillId="0" borderId="72" xfId="113" applyNumberFormat="1" applyFont="1" applyFill="1" applyBorder="1" applyAlignment="1">
      <alignment wrapText="1"/>
    </xf>
    <xf numFmtId="0" fontId="21" fillId="0" borderId="93" xfId="113" applyFont="1" applyBorder="1" applyAlignment="1">
      <alignment wrapText="1"/>
    </xf>
    <xf numFmtId="0" fontId="20" fillId="0" borderId="80" xfId="113" applyFont="1" applyBorder="1" applyAlignment="1">
      <alignment wrapText="1"/>
    </xf>
    <xf numFmtId="0" fontId="21" fillId="0" borderId="80" xfId="113" applyFont="1" applyBorder="1"/>
    <xf numFmtId="0" fontId="20" fillId="29" borderId="129" xfId="113" applyFont="1" applyFill="1" applyBorder="1" applyAlignment="1">
      <alignment wrapText="1"/>
    </xf>
    <xf numFmtId="0" fontId="20" fillId="0" borderId="64" xfId="113" applyFont="1" applyFill="1" applyBorder="1"/>
    <xf numFmtId="3" fontId="21" fillId="0" borderId="23" xfId="113" applyNumberFormat="1" applyFont="1" applyBorder="1" applyAlignment="1">
      <alignment horizontal="right"/>
    </xf>
    <xf numFmtId="3" fontId="21" fillId="0" borderId="22" xfId="113" applyNumberFormat="1" applyFont="1" applyBorder="1" applyAlignment="1">
      <alignment horizontal="right"/>
    </xf>
    <xf numFmtId="0" fontId="21" fillId="0" borderId="23" xfId="113" applyFont="1" applyFill="1" applyBorder="1"/>
    <xf numFmtId="3" fontId="21" fillId="0" borderId="43" xfId="113" applyNumberFormat="1" applyFont="1" applyBorder="1" applyAlignment="1">
      <alignment horizontal="right"/>
    </xf>
    <xf numFmtId="0" fontId="21" fillId="0" borderId="43" xfId="113" applyFont="1" applyFill="1" applyBorder="1"/>
    <xf numFmtId="0" fontId="21" fillId="0" borderId="64" xfId="113" applyFont="1" applyFill="1" applyBorder="1"/>
    <xf numFmtId="3" fontId="22" fillId="0" borderId="34" xfId="113" applyNumberFormat="1" applyFont="1" applyBorder="1"/>
    <xf numFmtId="3" fontId="25" fillId="0" borderId="22" xfId="106" applyNumberFormat="1" applyFont="1" applyBorder="1"/>
    <xf numFmtId="0" fontId="26" fillId="0" borderId="43" xfId="110" applyFont="1" applyFill="1" applyBorder="1" applyAlignment="1">
      <alignment horizontal="right" vertical="center" wrapText="1"/>
    </xf>
    <xf numFmtId="3" fontId="25" fillId="0" borderId="43" xfId="110" applyNumberFormat="1" applyFont="1" applyFill="1" applyBorder="1" applyAlignment="1">
      <alignment horizontal="right" vertical="center" wrapText="1"/>
    </xf>
    <xf numFmtId="3" fontId="21" fillId="0" borderId="42" xfId="106" applyNumberFormat="1" applyFont="1" applyBorder="1" applyAlignment="1">
      <alignment horizontal="right"/>
    </xf>
    <xf numFmtId="3" fontId="21" fillId="0" borderId="64" xfId="106" applyNumberFormat="1" applyFont="1" applyBorder="1" applyAlignment="1">
      <alignment horizontal="right"/>
    </xf>
    <xf numFmtId="3" fontId="22" fillId="0" borderId="23" xfId="0" applyNumberFormat="1" applyFont="1" applyBorder="1"/>
    <xf numFmtId="3" fontId="0" fillId="0" borderId="17" xfId="0" applyNumberFormat="1" applyFont="1" applyBorder="1"/>
    <xf numFmtId="3" fontId="0" fillId="0" borderId="22" xfId="0" applyNumberFormat="1" applyFont="1" applyBorder="1"/>
    <xf numFmtId="3" fontId="22" fillId="0" borderId="17" xfId="0" applyNumberFormat="1" applyFont="1" applyBorder="1"/>
    <xf numFmtId="3" fontId="22" fillId="0" borderId="22" xfId="0" applyNumberFormat="1" applyFont="1" applyBorder="1"/>
    <xf numFmtId="3" fontId="21" fillId="0" borderId="17" xfId="0" applyNumberFormat="1" applyFont="1" applyBorder="1"/>
    <xf numFmtId="3" fontId="21" fillId="0" borderId="22" xfId="0" applyNumberFormat="1" applyFont="1" applyBorder="1"/>
    <xf numFmtId="3" fontId="0" fillId="0" borderId="24" xfId="0" applyNumberForma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0" fontId="20" fillId="0" borderId="21" xfId="107" applyNumberFormat="1" applyFont="1" applyFill="1" applyBorder="1" applyAlignment="1">
      <alignment horizontal="center"/>
    </xf>
    <xf numFmtId="2" fontId="20" fillId="0" borderId="23" xfId="107" applyNumberFormat="1" applyFont="1" applyFill="1" applyBorder="1"/>
    <xf numFmtId="3" fontId="36" fillId="0" borderId="0" xfId="143" applyNumberFormat="1" applyFont="1" applyFill="1" applyAlignment="1">
      <alignment wrapText="1"/>
    </xf>
    <xf numFmtId="3" fontId="21" fillId="29" borderId="50" xfId="107" applyNumberFormat="1" applyFont="1" applyFill="1" applyBorder="1"/>
    <xf numFmtId="3" fontId="21" fillId="0" borderId="51" xfId="107" applyNumberFormat="1" applyFont="1" applyBorder="1"/>
    <xf numFmtId="3" fontId="21" fillId="0" borderId="43" xfId="107" applyNumberFormat="1" applyFont="1" applyBorder="1"/>
    <xf numFmtId="4" fontId="20" fillId="29" borderId="43" xfId="113" applyNumberFormat="1" applyFont="1" applyFill="1" applyBorder="1" applyAlignment="1">
      <alignment horizontal="right" wrapText="1"/>
    </xf>
    <xf numFmtId="3" fontId="36" fillId="0" borderId="0" xfId="0" applyNumberFormat="1" applyFont="1"/>
    <xf numFmtId="3" fontId="26" fillId="0" borderId="43" xfId="113" applyNumberFormat="1" applyFont="1" applyFill="1" applyBorder="1" applyAlignment="1">
      <alignment horizontal="right" wrapText="1"/>
    </xf>
    <xf numFmtId="0" fontId="20" fillId="0" borderId="0" xfId="113" applyFont="1" applyAlignment="1">
      <alignment horizontal="center"/>
    </xf>
    <xf numFmtId="3" fontId="25" fillId="0" borderId="43" xfId="104" applyNumberFormat="1" applyFont="1" applyFill="1" applyBorder="1"/>
    <xf numFmtId="3" fontId="36" fillId="0" borderId="130" xfId="143" applyNumberFormat="1" applyFont="1" applyFill="1" applyBorder="1"/>
    <xf numFmtId="0" fontId="20" fillId="0" borderId="22" xfId="0" applyFont="1" applyBorder="1"/>
    <xf numFmtId="0" fontId="21" fillId="0" borderId="22" xfId="0" applyFont="1" applyBorder="1"/>
    <xf numFmtId="3" fontId="0" fillId="0" borderId="50" xfId="0" applyNumberFormat="1" applyFill="1" applyBorder="1"/>
    <xf numFmtId="3" fontId="0" fillId="0" borderId="50" xfId="0" applyNumberFormat="1" applyFont="1" applyBorder="1"/>
    <xf numFmtId="3" fontId="21" fillId="0" borderId="50" xfId="107" applyNumberFormat="1" applyFont="1" applyFill="1" applyBorder="1"/>
    <xf numFmtId="3" fontId="21" fillId="29" borderId="40" xfId="107" applyNumberFormat="1" applyFont="1" applyFill="1" applyBorder="1"/>
    <xf numFmtId="3" fontId="21" fillId="29" borderId="27" xfId="107" applyNumberFormat="1" applyFont="1" applyFill="1" applyBorder="1" applyAlignment="1">
      <alignment horizontal="right"/>
    </xf>
    <xf numFmtId="3" fontId="21" fillId="29" borderId="40" xfId="107" applyNumberFormat="1" applyFont="1" applyFill="1" applyBorder="1" applyAlignment="1">
      <alignment horizontal="right"/>
    </xf>
    <xf numFmtId="3" fontId="0" fillId="0" borderId="27" xfId="0" applyNumberFormat="1" applyBorder="1"/>
    <xf numFmtId="3" fontId="21" fillId="0" borderId="52" xfId="0" applyNumberFormat="1" applyFont="1" applyBorder="1"/>
    <xf numFmtId="3" fontId="20" fillId="0" borderId="60" xfId="0" applyNumberFormat="1" applyFont="1" applyBorder="1"/>
    <xf numFmtId="0" fontId="20" fillId="0" borderId="52" xfId="107" applyFont="1" applyFill="1" applyBorder="1" applyAlignment="1">
      <alignment horizontal="center"/>
    </xf>
    <xf numFmtId="0" fontId="20" fillId="0" borderId="37" xfId="107" applyNumberFormat="1" applyFont="1" applyFill="1" applyBorder="1" applyAlignment="1">
      <alignment horizontal="center"/>
    </xf>
    <xf numFmtId="3" fontId="20" fillId="0" borderId="27" xfId="107" applyNumberFormat="1" applyFont="1" applyFill="1" applyBorder="1" applyAlignment="1">
      <alignment vertical="center"/>
    </xf>
    <xf numFmtId="2" fontId="20" fillId="0" borderId="40" xfId="107" applyNumberFormat="1" applyFont="1" applyFill="1" applyBorder="1" applyAlignment="1">
      <alignment vertical="center"/>
    </xf>
    <xf numFmtId="3" fontId="0" fillId="0" borderId="40" xfId="0" applyNumberFormat="1" applyFont="1" applyBorder="1" applyAlignment="1">
      <alignment wrapText="1"/>
    </xf>
    <xf numFmtId="3" fontId="0" fillId="0" borderId="27" xfId="0" applyNumberFormat="1" applyFont="1" applyBorder="1" applyAlignment="1">
      <alignment wrapText="1"/>
    </xf>
    <xf numFmtId="3" fontId="0" fillId="0" borderId="37" xfId="0" applyNumberFormat="1" applyFill="1" applyBorder="1"/>
    <xf numFmtId="3" fontId="0" fillId="0" borderId="60" xfId="0" applyNumberFormat="1" applyFont="1" applyBorder="1" applyAlignment="1">
      <alignment wrapText="1"/>
    </xf>
    <xf numFmtId="0" fontId="21" fillId="0" borderId="41" xfId="107" applyFont="1" applyFill="1" applyBorder="1" applyAlignment="1">
      <alignment horizontal="center" wrapText="1"/>
    </xf>
    <xf numFmtId="0" fontId="21" fillId="0" borderId="33" xfId="107" applyNumberFormat="1" applyFont="1" applyFill="1" applyBorder="1" applyAlignment="1">
      <alignment horizontal="center" wrapText="1"/>
    </xf>
    <xf numFmtId="0" fontId="21" fillId="0" borderId="34" xfId="107" applyFont="1" applyFill="1" applyBorder="1" applyAlignment="1">
      <alignment horizontal="center" wrapText="1"/>
    </xf>
    <xf numFmtId="2" fontId="21" fillId="0" borderId="34" xfId="107" applyNumberFormat="1" applyFont="1" applyFill="1" applyBorder="1" applyAlignment="1">
      <alignment vertical="center" wrapText="1"/>
    </xf>
    <xf numFmtId="0" fontId="21" fillId="0" borderId="34" xfId="107" applyFont="1" applyFill="1" applyBorder="1" applyAlignment="1">
      <alignment vertical="center"/>
    </xf>
    <xf numFmtId="0" fontId="21" fillId="29" borderId="34" xfId="107" applyFont="1" applyFill="1" applyBorder="1" applyAlignment="1">
      <alignment vertical="center"/>
    </xf>
    <xf numFmtId="0" fontId="21" fillId="0" borderId="68" xfId="107" applyFont="1" applyFill="1" applyBorder="1" applyAlignment="1">
      <alignment horizontal="center" vertical="center"/>
    </xf>
    <xf numFmtId="2" fontId="21" fillId="0" borderId="34" xfId="107" applyNumberFormat="1" applyFont="1" applyFill="1" applyBorder="1" applyAlignment="1">
      <alignment horizontal="center" vertical="center"/>
    </xf>
    <xf numFmtId="3" fontId="22" fillId="0" borderId="34" xfId="0" applyNumberFormat="1" applyFont="1" applyBorder="1" applyAlignment="1">
      <alignment wrapText="1"/>
    </xf>
    <xf numFmtId="3" fontId="22" fillId="0" borderId="68" xfId="0" applyNumberFormat="1" applyFont="1" applyBorder="1" applyAlignment="1">
      <alignment wrapText="1"/>
    </xf>
    <xf numFmtId="3" fontId="22" fillId="0" borderId="33" xfId="0" applyNumberFormat="1" applyFont="1" applyBorder="1" applyAlignment="1">
      <alignment wrapText="1"/>
    </xf>
    <xf numFmtId="3" fontId="22" fillId="0" borderId="64" xfId="0" applyNumberFormat="1" applyFont="1" applyBorder="1" applyAlignment="1">
      <alignment wrapText="1"/>
    </xf>
    <xf numFmtId="3" fontId="22" fillId="0" borderId="37" xfId="0" applyNumberFormat="1" applyFont="1" applyBorder="1" applyAlignment="1">
      <alignment vertical="center" wrapText="1"/>
    </xf>
    <xf numFmtId="0" fontId="22" fillId="0" borderId="60" xfId="0" applyFont="1" applyBorder="1" applyAlignment="1">
      <alignment vertical="center" wrapText="1"/>
    </xf>
    <xf numFmtId="0" fontId="20" fillId="0" borderId="52" xfId="107" applyNumberFormat="1" applyFont="1" applyFill="1" applyBorder="1" applyAlignment="1">
      <alignment horizontal="center"/>
    </xf>
    <xf numFmtId="0" fontId="20" fillId="0" borderId="40" xfId="107" applyFont="1" applyFill="1" applyBorder="1" applyAlignment="1">
      <alignment wrapText="1"/>
    </xf>
    <xf numFmtId="3" fontId="20" fillId="0" borderId="40" xfId="107" applyNumberFormat="1" applyFont="1" applyFill="1" applyBorder="1"/>
    <xf numFmtId="3" fontId="20" fillId="0" borderId="27" xfId="107" applyNumberFormat="1" applyFont="1" applyFill="1" applyBorder="1"/>
    <xf numFmtId="2" fontId="21" fillId="0" borderId="34" xfId="107" applyNumberFormat="1" applyFont="1" applyFill="1" applyBorder="1" applyAlignment="1">
      <alignment horizontal="center" wrapText="1"/>
    </xf>
    <xf numFmtId="0" fontId="21" fillId="0" borderId="34" xfId="107" applyFont="1" applyFill="1" applyBorder="1" applyAlignment="1">
      <alignment horizontal="center" vertical="center"/>
    </xf>
    <xf numFmtId="0" fontId="21" fillId="29" borderId="34" xfId="107" applyFont="1" applyFill="1" applyBorder="1" applyAlignment="1">
      <alignment horizontal="center" vertical="center"/>
    </xf>
    <xf numFmtId="3" fontId="22" fillId="0" borderId="34" xfId="0" applyNumberFormat="1" applyFont="1" applyBorder="1" applyAlignment="1">
      <alignment vertical="center" wrapText="1"/>
    </xf>
    <xf numFmtId="3" fontId="22" fillId="0" borderId="68" xfId="0" applyNumberFormat="1" applyFont="1" applyBorder="1" applyAlignment="1">
      <alignment vertical="center" wrapText="1"/>
    </xf>
    <xf numFmtId="3" fontId="22" fillId="0" borderId="33" xfId="0" applyNumberFormat="1" applyFont="1" applyBorder="1" applyAlignment="1">
      <alignment vertical="center" wrapText="1"/>
    </xf>
    <xf numFmtId="3" fontId="22" fillId="0" borderId="64" xfId="0" applyNumberFormat="1" applyFont="1" applyBorder="1" applyAlignment="1">
      <alignment vertical="center" wrapText="1"/>
    </xf>
    <xf numFmtId="0" fontId="22" fillId="0" borderId="64" xfId="0" applyFont="1" applyBorder="1" applyAlignment="1">
      <alignment vertical="center" wrapText="1"/>
    </xf>
    <xf numFmtId="0" fontId="21" fillId="0" borderId="52" xfId="107" applyFont="1" applyFill="1" applyBorder="1" applyAlignment="1">
      <alignment horizontal="center"/>
    </xf>
    <xf numFmtId="0" fontId="21" fillId="0" borderId="40" xfId="107" applyFont="1" applyFill="1" applyBorder="1" applyAlignment="1">
      <alignment wrapText="1"/>
    </xf>
    <xf numFmtId="3" fontId="21" fillId="0" borderId="60" xfId="107" applyNumberFormat="1" applyFont="1" applyFill="1" applyBorder="1"/>
    <xf numFmtId="3" fontId="21" fillId="29" borderId="61" xfId="113" applyNumberFormat="1" applyFont="1" applyFill="1" applyBorder="1" applyAlignment="1">
      <alignment horizontal="right" wrapText="1"/>
    </xf>
    <xf numFmtId="3" fontId="21" fillId="29" borderId="57" xfId="113" applyNumberFormat="1" applyFont="1" applyFill="1" applyBorder="1" applyAlignment="1">
      <alignment horizontal="right" wrapText="1"/>
    </xf>
    <xf numFmtId="3" fontId="25" fillId="0" borderId="26" xfId="106" applyNumberFormat="1" applyFont="1" applyBorder="1"/>
    <xf numFmtId="3" fontId="20" fillId="0" borderId="30" xfId="113" applyNumberFormat="1" applyFont="1" applyBorder="1" applyAlignment="1">
      <alignment horizontal="right" vertical="center"/>
    </xf>
    <xf numFmtId="0" fontId="25" fillId="0" borderId="0" xfId="113" applyFont="1" applyBorder="1" applyAlignment="1">
      <alignment wrapText="1"/>
    </xf>
    <xf numFmtId="3" fontId="28" fillId="0" borderId="62" xfId="0" applyNumberFormat="1" applyFont="1" applyBorder="1"/>
    <xf numFmtId="0" fontId="21" fillId="0" borderId="65" xfId="113" applyFont="1" applyBorder="1" applyAlignment="1">
      <alignment horizontal="center" vertical="center" wrapText="1"/>
    </xf>
    <xf numFmtId="0" fontId="26" fillId="0" borderId="28" xfId="106" applyFont="1" applyFill="1" applyBorder="1" applyAlignment="1">
      <alignment horizontal="left" vertical="center" wrapText="1"/>
    </xf>
    <xf numFmtId="0" fontId="26" fillId="0" borderId="55" xfId="106" applyFont="1" applyFill="1" applyBorder="1" applyAlignment="1">
      <alignment horizontal="left" vertical="center" wrapText="1"/>
    </xf>
    <xf numFmtId="0" fontId="21" fillId="0" borderId="61" xfId="113" applyFont="1" applyBorder="1" applyAlignment="1">
      <alignment horizontal="center" vertical="center" wrapText="1"/>
    </xf>
    <xf numFmtId="3" fontId="26" fillId="0" borderId="26" xfId="104" applyNumberFormat="1" applyFont="1" applyFill="1" applyBorder="1" applyAlignment="1">
      <alignment horizontal="right"/>
    </xf>
    <xf numFmtId="0" fontId="26" fillId="0" borderId="50" xfId="106" applyFont="1" applyFill="1" applyBorder="1" applyAlignment="1">
      <alignment horizontal="left" vertical="center" wrapText="1"/>
    </xf>
    <xf numFmtId="0" fontId="21" fillId="0" borderId="23" xfId="113" applyFont="1" applyBorder="1" applyAlignment="1">
      <alignment horizontal="center" vertical="center" wrapText="1"/>
    </xf>
    <xf numFmtId="3" fontId="26" fillId="31" borderId="50" xfId="106" applyNumberFormat="1" applyFont="1" applyFill="1" applyBorder="1" applyAlignment="1">
      <alignment horizontal="left" wrapText="1"/>
    </xf>
    <xf numFmtId="0" fontId="51" fillId="31" borderId="17" xfId="0" applyFont="1" applyFill="1" applyBorder="1" applyAlignment="1">
      <alignment wrapText="1"/>
    </xf>
    <xf numFmtId="0" fontId="0" fillId="29" borderId="50" xfId="112" applyFont="1" applyFill="1" applyBorder="1" applyAlignment="1">
      <alignment wrapText="1"/>
    </xf>
    <xf numFmtId="3" fontId="26" fillId="31" borderId="5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3" fontId="20" fillId="0" borderId="66" xfId="107" applyNumberFormat="1" applyFont="1" applyBorder="1"/>
    <xf numFmtId="0" fontId="22" fillId="0" borderId="62" xfId="0" applyFont="1" applyBorder="1"/>
    <xf numFmtId="0" fontId="22" fillId="0" borderId="66" xfId="0" applyFont="1" applyBorder="1"/>
    <xf numFmtId="3" fontId="22" fillId="0" borderId="56" xfId="0" applyNumberFormat="1" applyFont="1" applyBorder="1"/>
    <xf numFmtId="0" fontId="22" fillId="0" borderId="73" xfId="0" applyFont="1" applyBorder="1"/>
    <xf numFmtId="3" fontId="20" fillId="0" borderId="56" xfId="0" applyNumberFormat="1" applyFont="1" applyBorder="1"/>
    <xf numFmtId="3" fontId="20" fillId="0" borderId="27" xfId="0" applyNumberFormat="1" applyFont="1" applyBorder="1"/>
    <xf numFmtId="0" fontId="20" fillId="0" borderId="23" xfId="0" applyFont="1" applyBorder="1"/>
    <xf numFmtId="0" fontId="21" fillId="0" borderId="23" xfId="0" applyFont="1" applyBorder="1"/>
    <xf numFmtId="3" fontId="20" fillId="0" borderId="66" xfId="0" applyNumberFormat="1" applyFont="1" applyBorder="1"/>
    <xf numFmtId="3" fontId="20" fillId="0" borderId="16" xfId="0" applyNumberFormat="1" applyFont="1" applyBorder="1" applyAlignment="1">
      <alignment horizontal="right"/>
    </xf>
    <xf numFmtId="3" fontId="21" fillId="0" borderId="16" xfId="0" applyNumberFormat="1" applyFont="1" applyBorder="1"/>
    <xf numFmtId="0" fontId="20" fillId="0" borderId="45" xfId="0" applyFont="1" applyBorder="1"/>
    <xf numFmtId="3" fontId="20" fillId="0" borderId="40" xfId="0" applyNumberFormat="1" applyFont="1" applyBorder="1"/>
    <xf numFmtId="0" fontId="0" fillId="0" borderId="16" xfId="0" applyFont="1" applyBorder="1"/>
    <xf numFmtId="0" fontId="21" fillId="0" borderId="38" xfId="113" applyFont="1" applyBorder="1" applyAlignment="1">
      <alignment horizontal="center" vertical="center" wrapText="1"/>
    </xf>
    <xf numFmtId="3" fontId="28" fillId="0" borderId="0" xfId="0" applyNumberFormat="1" applyFont="1" applyAlignment="1">
      <alignment vertical="center"/>
    </xf>
    <xf numFmtId="0" fontId="0" fillId="0" borderId="50" xfId="113" applyFont="1" applyBorder="1" applyAlignment="1">
      <alignment wrapText="1"/>
    </xf>
    <xf numFmtId="0" fontId="26" fillId="0" borderId="19" xfId="113" applyFont="1" applyBorder="1"/>
    <xf numFmtId="3" fontId="26" fillId="0" borderId="44" xfId="113" applyNumberFormat="1" applyFont="1" applyBorder="1"/>
    <xf numFmtId="0" fontId="26" fillId="0" borderId="24" xfId="113" applyFont="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3" fontId="21" fillId="0" borderId="25" xfId="0" applyNumberFormat="1" applyFont="1" applyBorder="1" applyAlignment="1">
      <alignment horizontal="center" vertical="center" wrapText="1"/>
    </xf>
    <xf numFmtId="3" fontId="21" fillId="0" borderId="24" xfId="0" applyNumberFormat="1" applyFont="1" applyBorder="1" applyAlignment="1">
      <alignment horizontal="center" vertical="center" wrapText="1"/>
    </xf>
    <xf numFmtId="0" fontId="21" fillId="0" borderId="44" xfId="0" applyFont="1" applyBorder="1" applyAlignment="1">
      <alignment horizontal="center" vertical="center" wrapText="1"/>
    </xf>
    <xf numFmtId="0" fontId="21" fillId="0" borderId="43" xfId="0" applyFont="1" applyBorder="1" applyAlignment="1">
      <alignment horizontal="center" vertic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24" xfId="107" applyFont="1" applyFill="1" applyBorder="1" applyAlignment="1">
      <alignment horizontal="center" vertical="center"/>
    </xf>
    <xf numFmtId="0" fontId="21" fillId="0" borderId="26" xfId="107" applyFont="1" applyBorder="1" applyAlignment="1">
      <alignment horizontal="center" vertical="center"/>
    </xf>
    <xf numFmtId="0" fontId="21" fillId="0" borderId="19"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9"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9"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57" xfId="107" applyNumberFormat="1" applyFont="1" applyFill="1" applyBorder="1" applyAlignment="1">
      <alignment horizontal="center" vertical="center"/>
    </xf>
    <xf numFmtId="3" fontId="22" fillId="0" borderId="25" xfId="0" applyNumberFormat="1" applyFont="1" applyBorder="1" applyAlignment="1">
      <alignment horizontal="center" vertical="center" wrapText="1"/>
    </xf>
    <xf numFmtId="3" fontId="22" fillId="0" borderId="24"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78" xfId="0" applyFont="1" applyBorder="1" applyAlignment="1">
      <alignment horizontal="center" vertical="center" wrapText="1"/>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36" fillId="0" borderId="0" xfId="143" applyNumberFormat="1" applyFont="1" applyFill="1" applyBorder="1" applyAlignment="1">
      <alignment horizontal="left" wrapText="1"/>
    </xf>
    <xf numFmtId="3" fontId="36" fillId="0" borderId="0" xfId="143" applyNumberFormat="1" applyFont="1" applyFill="1" applyAlignment="1">
      <alignment horizontal="left" wrapText="1"/>
    </xf>
    <xf numFmtId="3" fontId="36" fillId="0" borderId="0" xfId="143" applyNumberFormat="1" applyFont="1" applyFill="1" applyAlignment="1">
      <alignmen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0" fontId="26" fillId="31" borderId="0" xfId="0" applyFont="1" applyFill="1" applyBorder="1" applyAlignment="1">
      <alignment horizontal="right"/>
    </xf>
    <xf numFmtId="0" fontId="25" fillId="0" borderId="0" xfId="0" applyFont="1" applyFill="1" applyBorder="1" applyAlignment="1">
      <alignment horizontal="center"/>
    </xf>
  </cellXfs>
  <cellStyles count="144">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V. módosítás" xfId="138"/>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4. évi kv. 6. tábla_kitöltve_szűkített II.fordulóhoz 2" xfId="13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42"/>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row r="30">
          <cell r="D30">
            <v>126348942</v>
          </cell>
        </row>
      </sheetData>
      <sheetData sheetId="1">
        <row r="7">
          <cell r="D7">
            <v>1306754814.3333333</v>
          </cell>
        </row>
      </sheetData>
      <sheetData sheetId="2">
        <row r="12">
          <cell r="M12">
            <v>125192474</v>
          </cell>
        </row>
      </sheetData>
      <sheetData sheetId="3">
        <row r="5">
          <cell r="E5">
            <v>522094841</v>
          </cell>
        </row>
      </sheetData>
      <sheetData sheetId="4"/>
      <sheetData sheetId="5">
        <row r="12">
          <cell r="D12">
            <v>62689922.796516955</v>
          </cell>
        </row>
      </sheetData>
      <sheetData sheetId="6">
        <row r="9">
          <cell r="D9">
            <v>193972164</v>
          </cell>
        </row>
      </sheetData>
      <sheetData sheetId="7"/>
      <sheetData sheetId="8">
        <row r="7">
          <cell r="D7">
            <v>317071498</v>
          </cell>
        </row>
      </sheetData>
      <sheetData sheetId="9"/>
      <sheetData sheetId="10">
        <row r="131">
          <cell r="D131">
            <v>86073257</v>
          </cell>
        </row>
      </sheetData>
      <sheetData sheetId="11">
        <row r="162">
          <cell r="D162">
            <v>7902103500</v>
          </cell>
        </row>
        <row r="246">
          <cell r="D246">
            <v>74242424</v>
          </cell>
        </row>
      </sheetData>
      <sheetData sheetId="12">
        <row r="7">
          <cell r="H7">
            <v>672020854</v>
          </cell>
        </row>
      </sheetData>
      <sheetData sheetId="13">
        <row r="39">
          <cell r="H39">
            <v>37768349</v>
          </cell>
        </row>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5"/>
  <sheetViews>
    <sheetView tabSelected="1" view="pageLayout" topLeftCell="B17" zoomScaleNormal="75" zoomScaleSheetLayoutView="89" workbookViewId="0">
      <selection activeCell="G36" sqref="G36"/>
    </sheetView>
  </sheetViews>
  <sheetFormatPr defaultColWidth="9.140625" defaultRowHeight="15" x14ac:dyDescent="0.2"/>
  <cols>
    <col min="1" max="1" width="40.28515625" style="17" customWidth="1"/>
    <col min="2" max="2" width="18.85546875" style="233" customWidth="1"/>
    <col min="3" max="4" width="18.7109375" style="233" customWidth="1"/>
    <col min="5" max="5" width="18.140625" style="233" customWidth="1"/>
    <col min="6" max="6" width="9.140625" style="10"/>
    <col min="7" max="7" width="20" style="10" customWidth="1"/>
    <col min="8" max="8" width="10.140625" style="10" bestFit="1" customWidth="1"/>
    <col min="9" max="16384" width="9.140625" style="10"/>
  </cols>
  <sheetData>
    <row r="1" spans="1:5" ht="15" hidden="1" customHeight="1" x14ac:dyDescent="0.2">
      <c r="A1" s="1622" t="s">
        <v>719</v>
      </c>
      <c r="B1" s="1622"/>
      <c r="C1" s="1622"/>
      <c r="D1" s="1622"/>
      <c r="E1" s="1622"/>
    </row>
    <row r="2" spans="1:5" ht="15.75" hidden="1" customHeight="1" x14ac:dyDescent="0.2">
      <c r="A2" s="1622"/>
      <c r="B2" s="1622"/>
      <c r="C2" s="1622"/>
      <c r="D2" s="1622"/>
      <c r="E2" s="1622"/>
    </row>
    <row r="3" spans="1:5" ht="31.7" customHeight="1" x14ac:dyDescent="0.2">
      <c r="A3" s="1622"/>
      <c r="B3" s="1622"/>
      <c r="C3" s="1622"/>
      <c r="D3" s="1622"/>
      <c r="E3" s="1622"/>
    </row>
    <row r="4" spans="1:5" ht="16.5" customHeight="1" thickBot="1" x14ac:dyDescent="0.3">
      <c r="A4" s="1586"/>
      <c r="B4" s="1586"/>
      <c r="C4" s="1586"/>
      <c r="D4" s="1586"/>
      <c r="E4" s="1586"/>
    </row>
    <row r="5" spans="1:5" s="11" customFormat="1" ht="56.25" customHeight="1" thickBot="1" x14ac:dyDescent="0.25">
      <c r="A5" s="1201" t="s">
        <v>301</v>
      </c>
      <c r="B5" s="1616" t="s">
        <v>657</v>
      </c>
      <c r="C5" s="390" t="s">
        <v>1041</v>
      </c>
      <c r="D5" s="390" t="s">
        <v>1088</v>
      </c>
      <c r="E5" s="391" t="s">
        <v>983</v>
      </c>
    </row>
    <row r="6" spans="1:5" ht="30" x14ac:dyDescent="0.2">
      <c r="A6" s="1202" t="s">
        <v>373</v>
      </c>
      <c r="B6" s="1212">
        <f>'2.sz.tábla   (2)'!N7</f>
        <v>1518232816</v>
      </c>
      <c r="C6" s="486">
        <f>'2.sz.tábla   (2)'!O7</f>
        <v>1644002138</v>
      </c>
      <c r="D6" s="486">
        <f>'2.sz.tábla   (2)'!P7</f>
        <v>1644002138</v>
      </c>
      <c r="E6" s="1620">
        <f>D6-C6</f>
        <v>0</v>
      </c>
    </row>
    <row r="7" spans="1:5" ht="30" x14ac:dyDescent="0.2">
      <c r="A7" s="1203" t="s">
        <v>374</v>
      </c>
      <c r="B7" s="1213">
        <f>'2.sz.tábla   (2)'!N22</f>
        <v>4751248431</v>
      </c>
      <c r="C7" s="139">
        <f>'2.sz.tábla   (2)'!O22</f>
        <v>6286599318</v>
      </c>
      <c r="D7" s="139">
        <f>'2.sz.tábla   (2)'!P22</f>
        <v>6286599318</v>
      </c>
      <c r="E7" s="323">
        <f t="shared" ref="E7:E40" si="0">D7-C7</f>
        <v>0</v>
      </c>
    </row>
    <row r="8" spans="1:5" ht="21.75" customHeight="1" x14ac:dyDescent="0.2">
      <c r="A8" s="1203" t="s">
        <v>375</v>
      </c>
      <c r="B8" s="1213">
        <f>'2.sz.tábla   (2)'!N30</f>
        <v>2058240000</v>
      </c>
      <c r="C8" s="139">
        <f>'2.sz.tábla   (2)'!O30</f>
        <v>1627117610</v>
      </c>
      <c r="D8" s="139">
        <f>'2.sz.tábla   (2)'!P30</f>
        <v>1627117610</v>
      </c>
      <c r="E8" s="323">
        <f t="shared" si="0"/>
        <v>0</v>
      </c>
    </row>
    <row r="9" spans="1:5" ht="30.2" customHeight="1" x14ac:dyDescent="0.2">
      <c r="A9" s="1203" t="s">
        <v>376</v>
      </c>
      <c r="B9" s="1213">
        <f>'2.sz.tábla   (2)'!N43</f>
        <v>849595329</v>
      </c>
      <c r="C9" s="139">
        <f>'2.sz.tábla   (2)'!O43</f>
        <v>897670682</v>
      </c>
      <c r="D9" s="139">
        <f>'2.sz.tábla   (2)'!P43</f>
        <v>897598135</v>
      </c>
      <c r="E9" s="323">
        <f t="shared" si="0"/>
        <v>-72547</v>
      </c>
    </row>
    <row r="10" spans="1:5" ht="30.75" customHeight="1" x14ac:dyDescent="0.2">
      <c r="A10" s="1203" t="s">
        <v>377</v>
      </c>
      <c r="B10" s="1213">
        <f>'2.sz.tábla   (2)'!N58</f>
        <v>270196741</v>
      </c>
      <c r="C10" s="139">
        <f>'2.sz.tábla   (2)'!O58</f>
        <v>270523434</v>
      </c>
      <c r="D10" s="139">
        <f>'2.sz.tábla   (2)'!P58</f>
        <v>270523434</v>
      </c>
      <c r="E10" s="323">
        <f t="shared" si="0"/>
        <v>0</v>
      </c>
    </row>
    <row r="11" spans="1:5" ht="27" customHeight="1" x14ac:dyDescent="0.2">
      <c r="A11" s="1204" t="s">
        <v>378</v>
      </c>
      <c r="B11" s="1213">
        <f>'2.sz.tábla   (2)'!N66</f>
        <v>3000000</v>
      </c>
      <c r="C11" s="139">
        <f>'2.sz.tábla   (2)'!O66</f>
        <v>19720754</v>
      </c>
      <c r="D11" s="139">
        <f>'2.sz.tábla   (2)'!P66</f>
        <v>19720754</v>
      </c>
      <c r="E11" s="323">
        <f>D11-C11</f>
        <v>0</v>
      </c>
    </row>
    <row r="12" spans="1:5" ht="35.450000000000003" customHeight="1" x14ac:dyDescent="0.2">
      <c r="A12" s="1204" t="s">
        <v>379</v>
      </c>
      <c r="B12" s="1213">
        <f>'2.sz.tábla   (2)'!N70</f>
        <v>227000542</v>
      </c>
      <c r="C12" s="139">
        <f>'2.sz.tábla   (2)'!O70</f>
        <v>223000542</v>
      </c>
      <c r="D12" s="139">
        <f>'2.sz.tábla   (2)'!P70</f>
        <v>223000542</v>
      </c>
      <c r="E12" s="323">
        <f t="shared" si="0"/>
        <v>0</v>
      </c>
    </row>
    <row r="13" spans="1:5" s="13" customFormat="1" ht="24" customHeight="1" x14ac:dyDescent="0.25">
      <c r="A13" s="1205" t="s">
        <v>380</v>
      </c>
      <c r="B13" s="1214">
        <f>SUM(B6:B12)</f>
        <v>9677513859</v>
      </c>
      <c r="C13" s="140">
        <f>SUM(C6:C12)</f>
        <v>10968634478</v>
      </c>
      <c r="D13" s="140">
        <f>SUM(D6:D12)</f>
        <v>10968561931</v>
      </c>
      <c r="E13" s="698">
        <f t="shared" si="0"/>
        <v>-72547</v>
      </c>
    </row>
    <row r="14" spans="1:5" s="13" customFormat="1" ht="24" customHeight="1" x14ac:dyDescent="0.25">
      <c r="A14" s="1206" t="s">
        <v>381</v>
      </c>
      <c r="B14" s="1215"/>
      <c r="C14" s="577"/>
      <c r="D14" s="577"/>
      <c r="E14" s="323">
        <f t="shared" si="0"/>
        <v>0</v>
      </c>
    </row>
    <row r="15" spans="1:5" ht="48.75" customHeight="1" x14ac:dyDescent="0.2">
      <c r="A15" s="1203" t="s">
        <v>313</v>
      </c>
      <c r="B15" s="1213">
        <f>'2.sz.tábla   (2)'!N76</f>
        <v>2874497034</v>
      </c>
      <c r="C15" s="139">
        <f>'2.sz.tábla   (2)'!O76</f>
        <v>3119095564</v>
      </c>
      <c r="D15" s="139">
        <f>'2.sz.tábla   (2)'!P76</f>
        <v>3112368559</v>
      </c>
      <c r="E15" s="323">
        <f t="shared" si="0"/>
        <v>-6727005</v>
      </c>
    </row>
    <row r="16" spans="1:5" ht="57.75" customHeight="1" x14ac:dyDescent="0.2">
      <c r="A16" s="1203" t="s">
        <v>382</v>
      </c>
      <c r="B16" s="1213">
        <f>'2.sz.tábla   (2)'!N79</f>
        <v>438387185</v>
      </c>
      <c r="C16" s="139">
        <f>'2.sz.tábla   (2)'!O79</f>
        <v>2302112000</v>
      </c>
      <c r="D16" s="139">
        <f>'2.sz.tábla   (2)'!P79</f>
        <v>2337532853</v>
      </c>
      <c r="E16" s="323">
        <f t="shared" si="0"/>
        <v>35420853</v>
      </c>
    </row>
    <row r="17" spans="1:11" s="13" customFormat="1" ht="33" customHeight="1" x14ac:dyDescent="0.25">
      <c r="A17" s="1205" t="s">
        <v>383</v>
      </c>
      <c r="B17" s="1216">
        <f>SUM(B15:B16)</f>
        <v>3312884219</v>
      </c>
      <c r="C17" s="141">
        <f>SUM(C15:C16)</f>
        <v>5421207564</v>
      </c>
      <c r="D17" s="141">
        <f>SUM(D15:D16)</f>
        <v>5449901412</v>
      </c>
      <c r="E17" s="698">
        <f t="shared" si="0"/>
        <v>28693848</v>
      </c>
    </row>
    <row r="18" spans="1:11" s="13" customFormat="1" ht="18" customHeight="1" x14ac:dyDescent="0.25">
      <c r="A18" s="1207" t="s">
        <v>384</v>
      </c>
      <c r="B18" s="1217">
        <f>B13+B17</f>
        <v>12990398078</v>
      </c>
      <c r="C18" s="142">
        <f>C13+C17</f>
        <v>16389842042</v>
      </c>
      <c r="D18" s="142">
        <f>D13+D17</f>
        <v>16418463343</v>
      </c>
      <c r="E18" s="698">
        <f t="shared" si="0"/>
        <v>28621301</v>
      </c>
      <c r="G18" s="394"/>
      <c r="H18" s="394"/>
    </row>
    <row r="19" spans="1:11" s="13" customFormat="1" ht="14.25" customHeight="1" x14ac:dyDescent="0.25">
      <c r="A19" s="1207"/>
      <c r="B19" s="1213"/>
      <c r="C19" s="139"/>
      <c r="D19" s="1454"/>
      <c r="E19" s="698"/>
      <c r="F19" s="12"/>
      <c r="G19" s="12"/>
      <c r="H19" s="39"/>
      <c r="I19" s="12"/>
      <c r="J19" s="12"/>
      <c r="K19" s="12"/>
    </row>
    <row r="20" spans="1:11" s="15" customFormat="1" ht="20.100000000000001" customHeight="1" x14ac:dyDescent="0.25">
      <c r="A20" s="1205" t="s">
        <v>385</v>
      </c>
      <c r="B20" s="1214">
        <f>SUM(B21:B23)</f>
        <v>3507700980</v>
      </c>
      <c r="C20" s="140">
        <f>SUM(C21:C23)</f>
        <v>3402347445</v>
      </c>
      <c r="D20" s="140">
        <f>SUM(D21:D23)</f>
        <v>3395988262</v>
      </c>
      <c r="E20" s="698">
        <f t="shared" si="0"/>
        <v>-6359183</v>
      </c>
      <c r="F20" s="14"/>
      <c r="G20" s="14"/>
      <c r="H20" s="303"/>
      <c r="I20" s="14"/>
      <c r="J20" s="14"/>
      <c r="K20" s="14"/>
    </row>
    <row r="21" spans="1:11" s="15" customFormat="1" ht="20.100000000000001" customHeight="1" x14ac:dyDescent="0.2">
      <c r="A21" s="1203" t="s">
        <v>386</v>
      </c>
      <c r="B21" s="1213">
        <f>'5.tábla (2)'!B148</f>
        <v>2646223479</v>
      </c>
      <c r="C21" s="139">
        <f>'5.tábla (2)'!C148</f>
        <v>2517832654</v>
      </c>
      <c r="D21" s="139">
        <f>'5.tábla (2)'!D148</f>
        <v>2511393206</v>
      </c>
      <c r="E21" s="323">
        <f t="shared" si="0"/>
        <v>-6439448</v>
      </c>
      <c r="F21" s="14"/>
      <c r="G21" s="303"/>
      <c r="H21" s="14"/>
      <c r="I21" s="14"/>
      <c r="J21" s="14"/>
      <c r="K21" s="14"/>
    </row>
    <row r="22" spans="1:11" s="15" customFormat="1" ht="20.100000000000001" customHeight="1" x14ac:dyDescent="0.2">
      <c r="A22" s="1203" t="s">
        <v>387</v>
      </c>
      <c r="B22" s="1213">
        <f>'5.tábla (2)'!B38</f>
        <v>470004034</v>
      </c>
      <c r="C22" s="139">
        <f>'5.tábla (2)'!C38</f>
        <v>470439171</v>
      </c>
      <c r="D22" s="139">
        <f>'5.tábla (2)'!D38</f>
        <v>470707342</v>
      </c>
      <c r="E22" s="323">
        <f t="shared" si="0"/>
        <v>268171</v>
      </c>
      <c r="F22" s="14"/>
      <c r="G22" s="303"/>
      <c r="H22" s="14"/>
      <c r="I22" s="14"/>
      <c r="J22" s="14"/>
      <c r="K22" s="14"/>
    </row>
    <row r="23" spans="1:11" s="13" customFormat="1" ht="20.100000000000001" customHeight="1" x14ac:dyDescent="0.2">
      <c r="A23" s="1203" t="s">
        <v>388</v>
      </c>
      <c r="B23" s="1213">
        <f>'4.sz.tábla '!AS9-'4.sz.tábla '!W9</f>
        <v>391473467</v>
      </c>
      <c r="C23" s="139">
        <f>'4.sz.tábla '!AT9-'4.sz.tábla '!X9</f>
        <v>414075620</v>
      </c>
      <c r="D23" s="139">
        <f>'4.sz.tábla '!AU9-'4.sz.tábla '!Y9</f>
        <v>413887714</v>
      </c>
      <c r="E23" s="323">
        <f t="shared" si="0"/>
        <v>-187906</v>
      </c>
      <c r="F23" s="16"/>
      <c r="G23" s="39"/>
      <c r="H23" s="12"/>
      <c r="I23" s="12"/>
      <c r="J23" s="12"/>
      <c r="K23" s="12"/>
    </row>
    <row r="24" spans="1:11" ht="13.7" customHeight="1" x14ac:dyDescent="0.2">
      <c r="A24" s="1203"/>
      <c r="B24" s="1213"/>
      <c r="C24" s="139"/>
      <c r="D24" s="1454"/>
      <c r="E24" s="323">
        <f t="shared" si="0"/>
        <v>0</v>
      </c>
      <c r="G24" s="691"/>
    </row>
    <row r="25" spans="1:11" s="13" customFormat="1" ht="20.100000000000001" customHeight="1" x14ac:dyDescent="0.25">
      <c r="A25" s="1205" t="s">
        <v>389</v>
      </c>
      <c r="B25" s="1216">
        <f>SUM(B26:B28)</f>
        <v>9114060198</v>
      </c>
      <c r="C25" s="141">
        <f>SUM(C26:C28)</f>
        <v>11724754523</v>
      </c>
      <c r="D25" s="141">
        <f>SUM(D26:D28)</f>
        <v>11735891948</v>
      </c>
      <c r="E25" s="698">
        <f t="shared" si="0"/>
        <v>11137425</v>
      </c>
    </row>
    <row r="26" spans="1:11" ht="20.100000000000001" customHeight="1" x14ac:dyDescent="0.2">
      <c r="A26" s="1203" t="s">
        <v>390</v>
      </c>
      <c r="B26" s="1213">
        <f>'7. sz. tábla 1'!B238</f>
        <v>8975675571</v>
      </c>
      <c r="C26" s="139">
        <f>'7. sz. tábla 1'!C238</f>
        <v>11570288004</v>
      </c>
      <c r="D26" s="139">
        <f>'7. sz. tábla 1'!D238</f>
        <v>11586425429</v>
      </c>
      <c r="E26" s="323">
        <f t="shared" si="0"/>
        <v>16137425</v>
      </c>
    </row>
    <row r="27" spans="1:11" s="13" customFormat="1" ht="20.100000000000001" customHeight="1" x14ac:dyDescent="0.2">
      <c r="A27" s="1203" t="s">
        <v>391</v>
      </c>
      <c r="B27" s="1213">
        <f>'4.sz.tábla '!W11</f>
        <v>30976000</v>
      </c>
      <c r="C27" s="139">
        <f>'4.sz.tábla '!X11</f>
        <v>42465272</v>
      </c>
      <c r="D27" s="139">
        <f>'4.sz.tábla '!Y11</f>
        <v>42465272</v>
      </c>
      <c r="E27" s="323">
        <f t="shared" si="0"/>
        <v>0</v>
      </c>
    </row>
    <row r="28" spans="1:11" ht="20.100000000000001" customHeight="1" x14ac:dyDescent="0.2">
      <c r="A28" s="1203" t="s">
        <v>392</v>
      </c>
      <c r="B28" s="1213">
        <f>'7. sz. tábla 1'!B250</f>
        <v>107408627</v>
      </c>
      <c r="C28" s="139">
        <f>'7. sz. tábla 1'!C250</f>
        <v>112001247</v>
      </c>
      <c r="D28" s="139">
        <f>'7. sz. tábla 1'!D250</f>
        <v>107001247</v>
      </c>
      <c r="E28" s="323">
        <f t="shared" si="0"/>
        <v>-5000000</v>
      </c>
    </row>
    <row r="29" spans="1:11" ht="12.75" customHeight="1" x14ac:dyDescent="0.25">
      <c r="A29" s="1205"/>
      <c r="B29" s="1218"/>
      <c r="C29" s="485"/>
      <c r="D29" s="1455"/>
      <c r="E29" s="323">
        <f t="shared" si="0"/>
        <v>0</v>
      </c>
    </row>
    <row r="30" spans="1:11" s="13" customFormat="1" ht="20.100000000000001" customHeight="1" x14ac:dyDescent="0.25">
      <c r="A30" s="1205" t="s">
        <v>393</v>
      </c>
      <c r="B30" s="1216">
        <f>SUM(B31:B32)</f>
        <v>241005271</v>
      </c>
      <c r="C30" s="141">
        <f>SUM(C31:C32)</f>
        <v>335108445</v>
      </c>
      <c r="D30" s="141">
        <f>SUM(D31:D32)</f>
        <v>358951504</v>
      </c>
      <c r="E30" s="698">
        <f t="shared" si="0"/>
        <v>23843059</v>
      </c>
    </row>
    <row r="31" spans="1:11" s="13" customFormat="1" ht="20.100000000000001" customHeight="1" x14ac:dyDescent="0.2">
      <c r="A31" s="1203" t="s">
        <v>394</v>
      </c>
      <c r="B31" s="1213">
        <v>33014814</v>
      </c>
      <c r="C31" s="139">
        <v>124613417</v>
      </c>
      <c r="D31" s="139">
        <f>124613417-6538579</f>
        <v>118074838</v>
      </c>
      <c r="E31" s="323">
        <f t="shared" si="0"/>
        <v>-6538579</v>
      </c>
    </row>
    <row r="32" spans="1:11" s="13" customFormat="1" ht="20.100000000000001" customHeight="1" x14ac:dyDescent="0.2">
      <c r="A32" s="1203" t="s">
        <v>395</v>
      </c>
      <c r="B32" s="1213">
        <f>B40</f>
        <v>207990457</v>
      </c>
      <c r="C32" s="139">
        <f>C40</f>
        <v>210495028</v>
      </c>
      <c r="D32" s="139">
        <f>D40</f>
        <v>240876666</v>
      </c>
      <c r="E32" s="323">
        <f t="shared" si="0"/>
        <v>30381638</v>
      </c>
    </row>
    <row r="33" spans="1:8" s="13" customFormat="1" ht="23.25" customHeight="1" x14ac:dyDescent="0.25">
      <c r="A33" s="1205" t="s">
        <v>396</v>
      </c>
      <c r="B33" s="1216">
        <f>SUM(B30,B25,B20)</f>
        <v>12862766449</v>
      </c>
      <c r="C33" s="141">
        <f>SUM(C30,C25,C20)</f>
        <v>15462210413</v>
      </c>
      <c r="D33" s="141">
        <f>SUM(D30,D25,D20)</f>
        <v>15490831714</v>
      </c>
      <c r="E33" s="698">
        <f t="shared" si="0"/>
        <v>28621301</v>
      </c>
    </row>
    <row r="34" spans="1:8" ht="20.100000000000001" customHeight="1" x14ac:dyDescent="0.2">
      <c r="A34" s="1203" t="s">
        <v>397</v>
      </c>
      <c r="B34" s="1213">
        <f>'7. sz. tábla 1'!B241</f>
        <v>74242424</v>
      </c>
      <c r="C34" s="139">
        <f>'7. sz. tábla 1'!C241</f>
        <v>74242424</v>
      </c>
      <c r="D34" s="139">
        <f>'7. sz. tábla 1'!D241</f>
        <v>74242424</v>
      </c>
      <c r="E34" s="323">
        <f t="shared" si="0"/>
        <v>0</v>
      </c>
    </row>
    <row r="35" spans="1:8" ht="20.100000000000001" customHeight="1" x14ac:dyDescent="0.2">
      <c r="A35" s="1203" t="s">
        <v>992</v>
      </c>
      <c r="B35" s="1213"/>
      <c r="C35" s="139">
        <f>'7. sz. tábla 1'!C242</f>
        <v>800000000</v>
      </c>
      <c r="D35" s="139">
        <f>'7. sz. tábla 1'!D242</f>
        <v>800000000</v>
      </c>
      <c r="E35" s="323">
        <f t="shared" si="0"/>
        <v>0</v>
      </c>
    </row>
    <row r="36" spans="1:8" ht="28.5" customHeight="1" x14ac:dyDescent="0.2">
      <c r="A36" s="1203" t="s">
        <v>457</v>
      </c>
      <c r="B36" s="1213">
        <f>'7. sz. tábla 1'!B244</f>
        <v>53389205</v>
      </c>
      <c r="C36" s="139">
        <f>'7. sz. tábla 1'!C244</f>
        <v>53389205</v>
      </c>
      <c r="D36" s="139">
        <f>'7. sz. tábla 1'!D244</f>
        <v>53389205</v>
      </c>
      <c r="E36" s="323">
        <f t="shared" si="0"/>
        <v>0</v>
      </c>
    </row>
    <row r="37" spans="1:8" ht="22.7" customHeight="1" x14ac:dyDescent="0.2">
      <c r="A37" s="1203" t="s">
        <v>337</v>
      </c>
      <c r="B37" s="1213">
        <f>'7. sz. tábla 1'!B243</f>
        <v>0</v>
      </c>
      <c r="C37" s="139">
        <f>'7. sz. tábla 1'!C243</f>
        <v>0</v>
      </c>
      <c r="D37" s="139">
        <f>'7. sz. tábla 1'!D243</f>
        <v>0</v>
      </c>
      <c r="E37" s="323">
        <f t="shared" si="0"/>
        <v>0</v>
      </c>
    </row>
    <row r="38" spans="1:8" s="13" customFormat="1" ht="21.75" customHeight="1" x14ac:dyDescent="0.25">
      <c r="A38" s="1205" t="s">
        <v>398</v>
      </c>
      <c r="B38" s="1216">
        <f>SUM(B34:B37)</f>
        <v>127631629</v>
      </c>
      <c r="C38" s="141">
        <f>SUM(C34:C37)</f>
        <v>927631629</v>
      </c>
      <c r="D38" s="141">
        <f>SUM(D34:D37)</f>
        <v>927631629</v>
      </c>
      <c r="E38" s="698">
        <f t="shared" si="0"/>
        <v>0</v>
      </c>
    </row>
    <row r="39" spans="1:8" s="13" customFormat="1" ht="20.100000000000001" customHeight="1" x14ac:dyDescent="0.25">
      <c r="A39" s="1207" t="s">
        <v>399</v>
      </c>
      <c r="B39" s="1217">
        <f>SUM(B33,B38)</f>
        <v>12990398078</v>
      </c>
      <c r="C39" s="142">
        <f>SUM(C33,C38)</f>
        <v>16389842042</v>
      </c>
      <c r="D39" s="142">
        <f>SUM(D33,D38)</f>
        <v>16418463343</v>
      </c>
      <c r="E39" s="698">
        <f>D39-C39</f>
        <v>28621301</v>
      </c>
      <c r="G39" s="394"/>
      <c r="H39" s="394"/>
    </row>
    <row r="40" spans="1:8" s="15" customFormat="1" ht="20.100000000000001" customHeight="1" x14ac:dyDescent="0.25">
      <c r="A40" s="1208" t="s">
        <v>400</v>
      </c>
      <c r="B40" s="1219">
        <f>SUM(B41:B54)</f>
        <v>207990457</v>
      </c>
      <c r="C40" s="143">
        <f>SUM(C41:C54)</f>
        <v>210495028</v>
      </c>
      <c r="D40" s="143">
        <f>SUM(D41:D55)</f>
        <v>240876666</v>
      </c>
      <c r="E40" s="698">
        <f t="shared" si="0"/>
        <v>30381638</v>
      </c>
      <c r="G40" s="1397">
        <f>E39-E18</f>
        <v>0</v>
      </c>
    </row>
    <row r="41" spans="1:8" s="15" customFormat="1" ht="17.45" customHeight="1" x14ac:dyDescent="0.2">
      <c r="A41" s="1209" t="s">
        <v>401</v>
      </c>
      <c r="B41" s="1396">
        <v>560000</v>
      </c>
      <c r="C41" s="139">
        <v>560000</v>
      </c>
      <c r="D41" s="139">
        <v>560000</v>
      </c>
      <c r="E41" s="323">
        <f>D41-C41</f>
        <v>0</v>
      </c>
      <c r="G41" s="1397"/>
    </row>
    <row r="42" spans="1:8" s="15" customFormat="1" ht="15" customHeight="1" x14ac:dyDescent="0.2">
      <c r="A42" s="1209" t="s">
        <v>402</v>
      </c>
      <c r="B42" s="1396">
        <v>0</v>
      </c>
      <c r="C42" s="139">
        <v>0</v>
      </c>
      <c r="D42" s="139">
        <v>0</v>
      </c>
      <c r="E42" s="323">
        <f t="shared" ref="E42:E55" si="1">D42-C42</f>
        <v>0</v>
      </c>
      <c r="G42" s="1397"/>
    </row>
    <row r="43" spans="1:8" s="15" customFormat="1" ht="17.45" customHeight="1" x14ac:dyDescent="0.2">
      <c r="A43" s="1209" t="s">
        <v>403</v>
      </c>
      <c r="B43" s="1396">
        <v>5000000</v>
      </c>
      <c r="C43" s="139">
        <v>2632514</v>
      </c>
      <c r="D43" s="139">
        <v>2632514</v>
      </c>
      <c r="E43" s="323">
        <f>D43-C43</f>
        <v>0</v>
      </c>
    </row>
    <row r="44" spans="1:8" x14ac:dyDescent="0.2">
      <c r="A44" s="1209" t="s">
        <v>404</v>
      </c>
      <c r="B44" s="1396">
        <f>25597170-8600000</f>
        <v>16997170</v>
      </c>
      <c r="C44" s="139">
        <f>25597170-8600000</f>
        <v>16997170</v>
      </c>
      <c r="D44" s="139">
        <f>25597170-8600000</f>
        <v>16997170</v>
      </c>
      <c r="E44" s="323">
        <f t="shared" si="1"/>
        <v>0</v>
      </c>
    </row>
    <row r="45" spans="1:8" x14ac:dyDescent="0.2">
      <c r="A45" s="1209" t="s">
        <v>405</v>
      </c>
      <c r="B45" s="1396">
        <v>3000000</v>
      </c>
      <c r="C45" s="139">
        <v>1100000</v>
      </c>
      <c r="D45" s="139">
        <v>0</v>
      </c>
      <c r="E45" s="323">
        <f>D45-C45</f>
        <v>-1100000</v>
      </c>
    </row>
    <row r="46" spans="1:8" x14ac:dyDescent="0.2">
      <c r="A46" s="1209" t="s">
        <v>406</v>
      </c>
      <c r="B46" s="1396"/>
      <c r="C46" s="139"/>
      <c r="D46" s="139"/>
      <c r="E46" s="323">
        <f t="shared" si="1"/>
        <v>0</v>
      </c>
    </row>
    <row r="47" spans="1:8" x14ac:dyDescent="0.2">
      <c r="A47" s="1209" t="s">
        <v>516</v>
      </c>
      <c r="B47" s="1396">
        <v>15886278</v>
      </c>
      <c r="C47" s="139">
        <v>15886278</v>
      </c>
      <c r="D47" s="139">
        <v>15886278</v>
      </c>
      <c r="E47" s="323">
        <f t="shared" si="1"/>
        <v>0</v>
      </c>
    </row>
    <row r="48" spans="1:8" ht="28.5" x14ac:dyDescent="0.2">
      <c r="A48" s="1209" t="s">
        <v>614</v>
      </c>
      <c r="B48" s="1396">
        <v>12437009</v>
      </c>
      <c r="C48" s="139">
        <v>5000000</v>
      </c>
      <c r="D48" s="139">
        <v>1060785</v>
      </c>
      <c r="E48" s="323">
        <f t="shared" si="1"/>
        <v>-3939215</v>
      </c>
    </row>
    <row r="49" spans="1:5" ht="28.5" x14ac:dyDescent="0.2">
      <c r="A49" s="1209" t="s">
        <v>596</v>
      </c>
      <c r="B49" s="1396">
        <v>500000</v>
      </c>
      <c r="C49" s="139">
        <v>500000</v>
      </c>
      <c r="D49" s="139">
        <v>500000</v>
      </c>
      <c r="E49" s="323">
        <f t="shared" si="1"/>
        <v>0</v>
      </c>
    </row>
    <row r="50" spans="1:5" ht="19.5" customHeight="1" x14ac:dyDescent="0.2">
      <c r="A50" s="1209" t="s">
        <v>169</v>
      </c>
      <c r="B50" s="1396">
        <v>0</v>
      </c>
      <c r="C50" s="139">
        <v>2400502</v>
      </c>
      <c r="D50" s="139">
        <v>2400502</v>
      </c>
      <c r="E50" s="323">
        <f t="shared" si="1"/>
        <v>0</v>
      </c>
    </row>
    <row r="51" spans="1:5" ht="28.5" x14ac:dyDescent="0.2">
      <c r="A51" s="443" t="s">
        <v>517</v>
      </c>
      <c r="B51" s="1396">
        <v>610000</v>
      </c>
      <c r="C51" s="139">
        <f>610000-191436</f>
        <v>418564</v>
      </c>
      <c r="D51" s="139">
        <f>610000-191436</f>
        <v>418564</v>
      </c>
      <c r="E51" s="323">
        <f t="shared" si="1"/>
        <v>0</v>
      </c>
    </row>
    <row r="52" spans="1:5" x14ac:dyDescent="0.2">
      <c r="A52" s="1210" t="s">
        <v>664</v>
      </c>
      <c r="B52" s="1396">
        <v>100000000</v>
      </c>
      <c r="C52" s="139">
        <v>100000000</v>
      </c>
      <c r="D52" s="139">
        <v>100000000</v>
      </c>
      <c r="E52" s="323">
        <f t="shared" si="1"/>
        <v>0</v>
      </c>
    </row>
    <row r="53" spans="1:5" x14ac:dyDescent="0.2">
      <c r="A53" s="1210" t="s">
        <v>665</v>
      </c>
      <c r="B53" s="1396">
        <v>53000000</v>
      </c>
      <c r="C53" s="139">
        <v>53000000</v>
      </c>
      <c r="D53" s="139">
        <v>53000000</v>
      </c>
      <c r="E53" s="323">
        <f t="shared" si="1"/>
        <v>0</v>
      </c>
    </row>
    <row r="54" spans="1:5" ht="25.5" x14ac:dyDescent="0.2">
      <c r="A54" s="1618" t="s">
        <v>1050</v>
      </c>
      <c r="B54" s="1213"/>
      <c r="C54" s="1455">
        <v>12000000</v>
      </c>
      <c r="D54" s="1455">
        <v>12000000</v>
      </c>
      <c r="E54" s="323">
        <f t="shared" si="1"/>
        <v>0</v>
      </c>
    </row>
    <row r="55" spans="1:5" ht="15.75" thickBot="1" x14ac:dyDescent="0.25">
      <c r="A55" s="1211" t="s">
        <v>1101</v>
      </c>
      <c r="B55" s="1621" t="s">
        <v>1100</v>
      </c>
      <c r="C55" s="1619"/>
      <c r="D55" s="1619">
        <v>35420853</v>
      </c>
      <c r="E55" s="324">
        <f t="shared" si="1"/>
        <v>35420853</v>
      </c>
    </row>
  </sheetData>
  <sheetProtection selectLockedCells="1" selectUnlockedCells="1"/>
  <mergeCells count="1">
    <mergeCell ref="A1:E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 6/2021. (III.05.) önkormányzati rendelethez
 az önkormányzat 2020. évi költségvetéséről szóló 6/2020. (III.06.) önkormányzati rendelet 
1. mellékletének helyébe a következő 1. melléklet lép: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1"/>
  <sheetViews>
    <sheetView view="pageLayout" topLeftCell="E3" zoomScale="91" zoomScaleNormal="91" zoomScaleSheetLayoutView="89" zoomScalePageLayoutView="91" workbookViewId="0">
      <selection activeCell="E91" sqref="E91"/>
    </sheetView>
  </sheetViews>
  <sheetFormatPr defaultColWidth="9.140625" defaultRowHeight="12.75" x14ac:dyDescent="0.2"/>
  <cols>
    <col min="1" max="1" width="25.7109375" style="16" customWidth="1"/>
    <col min="2" max="4" width="15" style="16" customWidth="1"/>
    <col min="5" max="5" width="16.140625" style="16" customWidth="1"/>
    <col min="6" max="6" width="14.140625" style="16" customWidth="1"/>
    <col min="7" max="9" width="13.28515625" style="16" customWidth="1"/>
    <col min="10" max="10" width="12.85546875" style="16" customWidth="1"/>
    <col min="11" max="12" width="14.140625" style="16" customWidth="1"/>
    <col min="13" max="13" width="12.85546875" style="16" customWidth="1"/>
    <col min="14" max="14" width="14.42578125" style="16" customWidth="1"/>
    <col min="15" max="17" width="15.28515625" style="16" customWidth="1"/>
    <col min="18" max="18" width="16.140625" style="16" customWidth="1"/>
    <col min="19" max="19" width="9.140625" style="18"/>
    <col min="20" max="20" width="9.28515625" style="18" bestFit="1" customWidth="1"/>
    <col min="21" max="21" width="0.28515625" style="18" customWidth="1"/>
    <col min="22" max="16384" width="9.140625" style="18"/>
  </cols>
  <sheetData>
    <row r="1" spans="1:18" hidden="1" x14ac:dyDescent="0.2">
      <c r="A1" s="69"/>
      <c r="B1" s="68"/>
      <c r="C1" s="68"/>
      <c r="D1" s="68"/>
      <c r="E1" s="68"/>
      <c r="F1" s="68"/>
      <c r="G1" s="68"/>
      <c r="H1" s="68"/>
      <c r="I1" s="68"/>
      <c r="J1" s="68"/>
      <c r="K1" s="68"/>
      <c r="L1" s="68"/>
      <c r="M1" s="68"/>
      <c r="N1" s="68"/>
      <c r="O1" s="68"/>
      <c r="P1" s="68"/>
      <c r="Q1" s="68"/>
    </row>
    <row r="2" spans="1:18" hidden="1" x14ac:dyDescent="0.2">
      <c r="A2" s="70"/>
    </row>
    <row r="3" spans="1:18" ht="15.75" x14ac:dyDescent="0.25">
      <c r="A3" s="1630" t="s">
        <v>663</v>
      </c>
      <c r="B3" s="1630"/>
      <c r="C3" s="1630"/>
      <c r="D3" s="1630"/>
      <c r="E3" s="1630"/>
      <c r="F3" s="1630"/>
      <c r="G3" s="1630"/>
      <c r="H3" s="1630"/>
      <c r="I3" s="1630"/>
      <c r="J3" s="1630"/>
      <c r="K3" s="1630"/>
      <c r="L3" s="1630"/>
      <c r="M3" s="1630"/>
      <c r="N3" s="1630"/>
      <c r="O3" s="1630"/>
      <c r="P3" s="1630"/>
      <c r="Q3" s="1630"/>
    </row>
    <row r="4" spans="1:18" ht="13.5" thickBot="1" x14ac:dyDescent="0.25">
      <c r="A4" s="404"/>
      <c r="B4" s="404"/>
      <c r="C4" s="404"/>
      <c r="D4" s="404"/>
      <c r="E4" s="404"/>
      <c r="F4" s="404"/>
      <c r="G4" s="404"/>
      <c r="H4" s="404"/>
      <c r="I4" s="404"/>
      <c r="J4" s="404"/>
      <c r="K4" s="404"/>
      <c r="L4" s="404"/>
      <c r="M4" s="404"/>
      <c r="N4" s="404"/>
      <c r="O4" s="404"/>
      <c r="P4" s="404"/>
      <c r="Q4" s="404"/>
    </row>
    <row r="5" spans="1:18" s="19" customFormat="1" ht="27.75" customHeight="1" thickBot="1" x14ac:dyDescent="0.25">
      <c r="A5" s="174" t="s">
        <v>301</v>
      </c>
      <c r="B5" s="1631" t="s">
        <v>407</v>
      </c>
      <c r="C5" s="1632"/>
      <c r="D5" s="1632"/>
      <c r="E5" s="1633"/>
      <c r="F5" s="1632" t="s">
        <v>199</v>
      </c>
      <c r="G5" s="1632"/>
      <c r="H5" s="1632"/>
      <c r="I5" s="1632"/>
      <c r="J5" s="1634" t="s">
        <v>408</v>
      </c>
      <c r="K5" s="1634"/>
      <c r="L5" s="1634"/>
      <c r="M5" s="1634"/>
      <c r="N5" s="1634" t="s">
        <v>409</v>
      </c>
      <c r="O5" s="1634"/>
      <c r="P5" s="1634"/>
      <c r="Q5" s="1634"/>
      <c r="R5" s="34"/>
    </row>
    <row r="6" spans="1:18" s="20" customFormat="1" ht="53.45" customHeight="1" thickBot="1" x14ac:dyDescent="0.25">
      <c r="A6" s="174"/>
      <c r="B6" s="556" t="s">
        <v>657</v>
      </c>
      <c r="C6" s="390" t="s">
        <v>1041</v>
      </c>
      <c r="D6" s="390" t="s">
        <v>1088</v>
      </c>
      <c r="E6" s="391" t="s">
        <v>983</v>
      </c>
      <c r="F6" s="556" t="s">
        <v>657</v>
      </c>
      <c r="G6" s="390" t="s">
        <v>1041</v>
      </c>
      <c r="H6" s="390" t="s">
        <v>1088</v>
      </c>
      <c r="I6" s="391" t="s">
        <v>983</v>
      </c>
      <c r="J6" s="556" t="s">
        <v>657</v>
      </c>
      <c r="K6" s="390" t="s">
        <v>1041</v>
      </c>
      <c r="L6" s="390" t="s">
        <v>1088</v>
      </c>
      <c r="M6" s="391" t="s">
        <v>983</v>
      </c>
      <c r="N6" s="556" t="s">
        <v>657</v>
      </c>
      <c r="O6" s="390" t="s">
        <v>1041</v>
      </c>
      <c r="P6" s="390" t="s">
        <v>1088</v>
      </c>
      <c r="Q6" s="391" t="s">
        <v>983</v>
      </c>
      <c r="R6" s="14"/>
    </row>
    <row r="7" spans="1:18" s="20" customFormat="1" ht="38.25" x14ac:dyDescent="0.2">
      <c r="A7" s="608" t="s">
        <v>373</v>
      </c>
      <c r="B7" s="211">
        <f t="shared" ref="B7" si="0">B8+B16+B17+B18+B19+B20</f>
        <v>1348157274</v>
      </c>
      <c r="C7" s="186">
        <f>C8+C16+C17+C18+C19+C20</f>
        <v>1450338821</v>
      </c>
      <c r="D7" s="186">
        <f>D8+D16+D17+D18+D19+D20</f>
        <v>1450338821</v>
      </c>
      <c r="E7" s="348">
        <f>E8+E16+E17+E18+E19+E20</f>
        <v>0</v>
      </c>
      <c r="F7" s="211">
        <f>F8+F16+F17+F18+F19+F20</f>
        <v>30078809</v>
      </c>
      <c r="G7" s="186">
        <f t="shared" ref="G7" si="1">G8+G16+G17+G18+G19+G20</f>
        <v>23886635</v>
      </c>
      <c r="H7" s="186">
        <f t="shared" ref="H7" si="2">H8+H16+H17+H18+H19+H20</f>
        <v>23886635</v>
      </c>
      <c r="I7" s="348">
        <f t="shared" ref="I7:Q7" si="3">I8+I16+I17+I18+I19+I20</f>
        <v>0</v>
      </c>
      <c r="J7" s="706">
        <f t="shared" ref="J7:L7" si="4">J8+J16+J17+J18+J19+J20</f>
        <v>139996733</v>
      </c>
      <c r="K7" s="186">
        <f t="shared" ref="K7" si="5">K8+K16+K17+K18+K19+K20</f>
        <v>169776682</v>
      </c>
      <c r="L7" s="186">
        <f t="shared" si="4"/>
        <v>169776682</v>
      </c>
      <c r="M7" s="186">
        <f t="shared" si="3"/>
        <v>0</v>
      </c>
      <c r="N7" s="406">
        <f t="shared" si="3"/>
        <v>1518232816</v>
      </c>
      <c r="O7" s="186">
        <f t="shared" ref="O7" si="6">O8+O16+O17+O18+O19+O20</f>
        <v>1644002138</v>
      </c>
      <c r="P7" s="186">
        <f t="shared" si="3"/>
        <v>1644002138</v>
      </c>
      <c r="Q7" s="348">
        <f t="shared" si="3"/>
        <v>0</v>
      </c>
      <c r="R7" s="14"/>
    </row>
    <row r="8" spans="1:18" s="21" customFormat="1" ht="25.5" x14ac:dyDescent="0.2">
      <c r="A8" s="610" t="s">
        <v>410</v>
      </c>
      <c r="B8" s="490">
        <f>SUM(B9:B15)</f>
        <v>1014730134</v>
      </c>
      <c r="C8" s="155">
        <f>SUM(C9:C15)</f>
        <v>1141487230</v>
      </c>
      <c r="D8" s="155">
        <f>SUM(D9:D15)</f>
        <v>1141487230</v>
      </c>
      <c r="E8" s="341">
        <f>SUM(E9:E15)</f>
        <v>0</v>
      </c>
      <c r="F8" s="490"/>
      <c r="G8" s="155">
        <f>SUM(G9:G15)</f>
        <v>0</v>
      </c>
      <c r="H8" s="155">
        <f>SUM(H9:H15)</f>
        <v>0</v>
      </c>
      <c r="I8" s="341">
        <f>SUM(I9:I15)</f>
        <v>0</v>
      </c>
      <c r="J8" s="707">
        <f t="shared" ref="J8:L8" si="7">SUM(J9:J15)</f>
        <v>0</v>
      </c>
      <c r="K8" s="155">
        <f t="shared" ref="K8" si="8">SUM(K9:K15)</f>
        <v>0</v>
      </c>
      <c r="L8" s="155">
        <f t="shared" si="7"/>
        <v>0</v>
      </c>
      <c r="M8" s="155">
        <f t="shared" ref="M8:Q8" si="9">SUM(M9:M15)</f>
        <v>0</v>
      </c>
      <c r="N8" s="407">
        <f>SUM(N9:N15)</f>
        <v>1014730134</v>
      </c>
      <c r="O8" s="155">
        <f t="shared" ref="O8" si="10">SUM(O9:O15)</f>
        <v>1141487230</v>
      </c>
      <c r="P8" s="155">
        <f t="shared" si="9"/>
        <v>1141487230</v>
      </c>
      <c r="Q8" s="341">
        <f t="shared" si="9"/>
        <v>0</v>
      </c>
      <c r="R8" s="301"/>
    </row>
    <row r="9" spans="1:18" s="21" customFormat="1" ht="38.25" x14ac:dyDescent="0.2">
      <c r="A9" s="699" t="s">
        <v>411</v>
      </c>
      <c r="B9" s="411">
        <f>'2b. tábla 2020. (2)'!E5</f>
        <v>508615472</v>
      </c>
      <c r="C9" s="411">
        <f>'2b. tábla 2020. (2)'!K5</f>
        <v>330712990</v>
      </c>
      <c r="D9" s="411">
        <f>'2b. tábla 2020. (2)'!M5</f>
        <v>332960611</v>
      </c>
      <c r="E9" s="341">
        <f>D9-C9</f>
        <v>2247621</v>
      </c>
      <c r="F9" s="491"/>
      <c r="G9" s="248"/>
      <c r="H9" s="248"/>
      <c r="I9" s="339"/>
      <c r="J9" s="708"/>
      <c r="K9" s="248"/>
      <c r="L9" s="248"/>
      <c r="M9" s="248"/>
      <c r="N9" s="349">
        <f>SUM(B9+F9+J9)</f>
        <v>508615472</v>
      </c>
      <c r="O9" s="79">
        <f>SUM(C9+G9+K9)</f>
        <v>330712990</v>
      </c>
      <c r="P9" s="79">
        <f>SUM(D9+H9+L9)</f>
        <v>332960611</v>
      </c>
      <c r="Q9" s="339">
        <f>SUM(E9+I9+M9)</f>
        <v>2247621</v>
      </c>
      <c r="R9" s="301"/>
    </row>
    <row r="10" spans="1:18" s="21" customFormat="1" ht="38.25" x14ac:dyDescent="0.2">
      <c r="A10" s="699" t="s">
        <v>412</v>
      </c>
      <c r="B10" s="411">
        <f>'2b. tábla 2020. (2)'!E32</f>
        <v>258054470</v>
      </c>
      <c r="C10" s="411">
        <f>'2b. tábla 2020. (2)'!K32</f>
        <v>268389980</v>
      </c>
      <c r="D10" s="411">
        <f>'2b. tábla 2020. (2)'!M32</f>
        <v>268389980</v>
      </c>
      <c r="E10" s="341">
        <f t="shared" ref="E10:E13" si="11">D10-C10</f>
        <v>0</v>
      </c>
      <c r="F10" s="491"/>
      <c r="G10" s="248"/>
      <c r="H10" s="248"/>
      <c r="I10" s="339"/>
      <c r="J10" s="708"/>
      <c r="K10" s="248"/>
      <c r="L10" s="248"/>
      <c r="M10" s="248"/>
      <c r="N10" s="349">
        <f t="shared" ref="N10:P13" si="12">SUM(B10+F10+J10)</f>
        <v>258054470</v>
      </c>
      <c r="O10" s="79">
        <f t="shared" si="12"/>
        <v>268389980</v>
      </c>
      <c r="P10" s="79">
        <f t="shared" si="12"/>
        <v>268389980</v>
      </c>
      <c r="Q10" s="339">
        <f t="shared" ref="Q10:Q13" si="13">SUM(E10+I10+M10)</f>
        <v>0</v>
      </c>
      <c r="R10" s="301"/>
    </row>
    <row r="11" spans="1:18" s="21" customFormat="1" ht="38.25" x14ac:dyDescent="0.2">
      <c r="A11" s="609" t="s">
        <v>413</v>
      </c>
      <c r="B11" s="411">
        <f>'2b. tábla 2020. (2)'!E40</f>
        <v>231000305</v>
      </c>
      <c r="C11" s="411">
        <f>'2b. tábla 2020. (2)'!K40</f>
        <v>212951179</v>
      </c>
      <c r="D11" s="411">
        <f>'2b. tábla 2020. (2)'!M40</f>
        <v>245832002</v>
      </c>
      <c r="E11" s="341">
        <f t="shared" si="11"/>
        <v>32880823</v>
      </c>
      <c r="F11" s="491"/>
      <c r="G11" s="248"/>
      <c r="H11" s="248"/>
      <c r="I11" s="339"/>
      <c r="J11" s="708"/>
      <c r="K11" s="248"/>
      <c r="L11" s="248"/>
      <c r="M11" s="248"/>
      <c r="N11" s="349">
        <f t="shared" si="12"/>
        <v>231000305</v>
      </c>
      <c r="O11" s="79">
        <f t="shared" si="12"/>
        <v>212951179</v>
      </c>
      <c r="P11" s="79">
        <f t="shared" si="12"/>
        <v>245832002</v>
      </c>
      <c r="Q11" s="339">
        <f t="shared" si="13"/>
        <v>32880823</v>
      </c>
      <c r="R11" s="301"/>
    </row>
    <row r="12" spans="1:18" s="21" customFormat="1" ht="25.5" x14ac:dyDescent="0.2">
      <c r="A12" s="609" t="s">
        <v>414</v>
      </c>
      <c r="B12" s="411">
        <f>'2b. tábla 2020. (2)'!E70</f>
        <v>17059887</v>
      </c>
      <c r="C12" s="155">
        <f>'2b. tábla 2020. (2)'!K70</f>
        <v>22923797</v>
      </c>
      <c r="D12" s="155">
        <f>'2b. tábla 2020. (2)'!M70</f>
        <v>27709067</v>
      </c>
      <c r="E12" s="341">
        <f t="shared" si="11"/>
        <v>4785270</v>
      </c>
      <c r="F12" s="491"/>
      <c r="G12" s="248"/>
      <c r="H12" s="248"/>
      <c r="I12" s="339"/>
      <c r="J12" s="708"/>
      <c r="K12" s="248"/>
      <c r="L12" s="248"/>
      <c r="M12" s="248"/>
      <c r="N12" s="349">
        <f t="shared" si="12"/>
        <v>17059887</v>
      </c>
      <c r="O12" s="79">
        <f t="shared" si="12"/>
        <v>22923797</v>
      </c>
      <c r="P12" s="79">
        <f t="shared" si="12"/>
        <v>27709067</v>
      </c>
      <c r="Q12" s="339">
        <f t="shared" si="13"/>
        <v>4785270</v>
      </c>
      <c r="R12" s="301"/>
    </row>
    <row r="13" spans="1:18" s="20" customFormat="1" ht="38.25" x14ac:dyDescent="0.2">
      <c r="A13" s="609" t="s">
        <v>356</v>
      </c>
      <c r="B13" s="490">
        <v>0</v>
      </c>
      <c r="C13" s="155">
        <f>'2b. tábla 2020. (2)'!K76</f>
        <v>306509284</v>
      </c>
      <c r="D13" s="155">
        <f>'2b. tábla 2020. (2)'!M76</f>
        <v>266595570</v>
      </c>
      <c r="E13" s="341">
        <f t="shared" si="11"/>
        <v>-39913714</v>
      </c>
      <c r="F13" s="492"/>
      <c r="G13" s="248"/>
      <c r="H13" s="248"/>
      <c r="I13" s="339"/>
      <c r="J13" s="709"/>
      <c r="K13" s="248"/>
      <c r="L13" s="248"/>
      <c r="M13" s="248"/>
      <c r="N13" s="349">
        <f t="shared" si="12"/>
        <v>0</v>
      </c>
      <c r="O13" s="79">
        <f t="shared" si="12"/>
        <v>306509284</v>
      </c>
      <c r="P13" s="79">
        <f t="shared" si="12"/>
        <v>266595570</v>
      </c>
      <c r="Q13" s="339">
        <f t="shared" si="13"/>
        <v>-39913714</v>
      </c>
      <c r="R13" s="14"/>
    </row>
    <row r="14" spans="1:18" s="20" customFormat="1" ht="25.5" x14ac:dyDescent="0.2">
      <c r="A14" s="609" t="s">
        <v>365</v>
      </c>
      <c r="B14" s="408"/>
      <c r="C14" s="410"/>
      <c r="D14" s="410"/>
      <c r="E14" s="700"/>
      <c r="F14" s="492"/>
      <c r="G14" s="248"/>
      <c r="H14" s="248"/>
      <c r="I14" s="339"/>
      <c r="J14" s="709"/>
      <c r="K14" s="248"/>
      <c r="L14" s="248"/>
      <c r="M14" s="248"/>
      <c r="N14" s="349">
        <f>SUM(B14+F14+J14)</f>
        <v>0</v>
      </c>
      <c r="O14" s="248"/>
      <c r="P14" s="248"/>
      <c r="Q14" s="339"/>
      <c r="R14" s="14"/>
    </row>
    <row r="15" spans="1:18" s="20" customFormat="1" x14ac:dyDescent="0.2">
      <c r="A15" s="609" t="s">
        <v>451</v>
      </c>
      <c r="B15" s="408"/>
      <c r="C15" s="410"/>
      <c r="D15" s="410"/>
      <c r="E15" s="700"/>
      <c r="F15" s="492"/>
      <c r="G15" s="248"/>
      <c r="H15" s="248"/>
      <c r="I15" s="339"/>
      <c r="J15" s="709"/>
      <c r="K15" s="248"/>
      <c r="L15" s="248"/>
      <c r="M15" s="248"/>
      <c r="N15" s="84"/>
      <c r="O15" s="248"/>
      <c r="P15" s="248"/>
      <c r="Q15" s="339"/>
      <c r="R15" s="14"/>
    </row>
    <row r="16" spans="1:18" s="20" customFormat="1" x14ac:dyDescent="0.2">
      <c r="A16" s="609" t="s">
        <v>319</v>
      </c>
      <c r="B16" s="408"/>
      <c r="C16" s="410"/>
      <c r="D16" s="410"/>
      <c r="E16" s="700"/>
      <c r="F16" s="492"/>
      <c r="G16" s="248"/>
      <c r="H16" s="248"/>
      <c r="I16" s="339"/>
      <c r="J16" s="709"/>
      <c r="K16" s="248"/>
      <c r="L16" s="248"/>
      <c r="M16" s="248"/>
      <c r="N16" s="84"/>
      <c r="O16" s="248"/>
      <c r="P16" s="248"/>
      <c r="Q16" s="339"/>
      <c r="R16" s="14"/>
    </row>
    <row r="17" spans="1:18" s="22" customFormat="1" ht="51" x14ac:dyDescent="0.2">
      <c r="A17" s="609" t="s">
        <v>415</v>
      </c>
      <c r="B17" s="408"/>
      <c r="C17" s="410"/>
      <c r="D17" s="410"/>
      <c r="E17" s="700"/>
      <c r="F17" s="493"/>
      <c r="G17" s="411"/>
      <c r="H17" s="411"/>
      <c r="I17" s="341"/>
      <c r="J17" s="710"/>
      <c r="K17" s="411"/>
      <c r="L17" s="411"/>
      <c r="M17" s="411"/>
      <c r="N17" s="84"/>
      <c r="O17" s="248"/>
      <c r="P17" s="248"/>
      <c r="Q17" s="339"/>
      <c r="R17" s="302"/>
    </row>
    <row r="18" spans="1:18" s="22" customFormat="1" ht="51" x14ac:dyDescent="0.2">
      <c r="A18" s="609" t="s">
        <v>416</v>
      </c>
      <c r="B18" s="408"/>
      <c r="C18" s="410"/>
      <c r="D18" s="410"/>
      <c r="E18" s="700"/>
      <c r="F18" s="493"/>
      <c r="G18" s="411"/>
      <c r="H18" s="411"/>
      <c r="I18" s="341"/>
      <c r="J18" s="710"/>
      <c r="K18" s="411"/>
      <c r="L18" s="411"/>
      <c r="M18" s="411"/>
      <c r="N18" s="84"/>
      <c r="O18" s="248"/>
      <c r="P18" s="248"/>
      <c r="Q18" s="339"/>
      <c r="R18" s="302"/>
    </row>
    <row r="19" spans="1:18" s="22" customFormat="1" ht="51" x14ac:dyDescent="0.2">
      <c r="A19" s="609" t="s">
        <v>417</v>
      </c>
      <c r="B19" s="408"/>
      <c r="C19" s="410"/>
      <c r="D19" s="410"/>
      <c r="E19" s="700"/>
      <c r="F19" s="493"/>
      <c r="G19" s="411"/>
      <c r="H19" s="411"/>
      <c r="I19" s="341"/>
      <c r="J19" s="710"/>
      <c r="K19" s="411"/>
      <c r="L19" s="411"/>
      <c r="M19" s="411"/>
      <c r="N19" s="84"/>
      <c r="O19" s="248"/>
      <c r="P19" s="248"/>
      <c r="Q19" s="339"/>
      <c r="R19" s="302"/>
    </row>
    <row r="20" spans="1:18" s="20" customFormat="1" ht="38.25" x14ac:dyDescent="0.2">
      <c r="A20" s="609" t="s">
        <v>418</v>
      </c>
      <c r="B20" s="490">
        <v>333427140</v>
      </c>
      <c r="C20" s="411">
        <v>308851591</v>
      </c>
      <c r="D20" s="411">
        <v>308851591</v>
      </c>
      <c r="E20" s="341">
        <f>D20-C20</f>
        <v>0</v>
      </c>
      <c r="F20" s="1220">
        <f>'2.a tábla ÚJ '!S13</f>
        <v>30078809</v>
      </c>
      <c r="G20" s="409">
        <f>'2.a tábla ÚJ '!T13</f>
        <v>23886635</v>
      </c>
      <c r="H20" s="409">
        <f>'2.a tábla ÚJ '!U13</f>
        <v>23886635</v>
      </c>
      <c r="I20" s="700">
        <f>H20-G20</f>
        <v>0</v>
      </c>
      <c r="J20" s="711">
        <f>'2.a tábla ÚJ '!N13</f>
        <v>139996733</v>
      </c>
      <c r="K20" s="410">
        <f>'2.a tábla ÚJ '!O13</f>
        <v>169776682</v>
      </c>
      <c r="L20" s="410">
        <f>'2.a tábla ÚJ '!P13</f>
        <v>169776682</v>
      </c>
      <c r="M20" s="410">
        <f>'2.a tábla ÚJ '!Q13</f>
        <v>0</v>
      </c>
      <c r="N20" s="349">
        <f t="shared" ref="N20:N27" si="14">SUM(B20+F20+J20)</f>
        <v>503502682</v>
      </c>
      <c r="O20" s="79">
        <f t="shared" ref="O20:Q21" si="15">C20+G20+K20</f>
        <v>502514908</v>
      </c>
      <c r="P20" s="79">
        <f t="shared" si="15"/>
        <v>502514908</v>
      </c>
      <c r="Q20" s="339">
        <f t="shared" si="15"/>
        <v>0</v>
      </c>
      <c r="R20" s="14"/>
    </row>
    <row r="21" spans="1:18" s="20" customFormat="1" ht="49.7" customHeight="1" x14ac:dyDescent="0.2">
      <c r="A21" s="609" t="s">
        <v>419</v>
      </c>
      <c r="B21" s="408"/>
      <c r="C21" s="410"/>
      <c r="D21" s="410"/>
      <c r="E21" s="700"/>
      <c r="F21" s="492"/>
      <c r="G21" s="248"/>
      <c r="H21" s="248"/>
      <c r="I21" s="339"/>
      <c r="J21" s="711">
        <f>'2.a tábla ÚJ '!N14</f>
        <v>135000000</v>
      </c>
      <c r="K21" s="410">
        <f>'2.a tábla ÚJ '!O14</f>
        <v>154779949</v>
      </c>
      <c r="L21" s="410">
        <f>'2.a tábla ÚJ '!P14</f>
        <v>154779949</v>
      </c>
      <c r="M21" s="410">
        <f>'2.a tábla ÚJ '!Q14</f>
        <v>0</v>
      </c>
      <c r="N21" s="349">
        <f t="shared" si="14"/>
        <v>135000000</v>
      </c>
      <c r="O21" s="79">
        <f t="shared" si="15"/>
        <v>154779949</v>
      </c>
      <c r="P21" s="79">
        <f t="shared" si="15"/>
        <v>154779949</v>
      </c>
      <c r="Q21" s="339">
        <f t="shared" si="15"/>
        <v>0</v>
      </c>
      <c r="R21" s="14"/>
    </row>
    <row r="22" spans="1:18" s="20" customFormat="1" ht="38.25" x14ac:dyDescent="0.2">
      <c r="A22" s="611" t="s">
        <v>374</v>
      </c>
      <c r="B22" s="83">
        <f>B23+B24+B25+B26+B27</f>
        <v>4747780431</v>
      </c>
      <c r="C22" s="78">
        <f>C23+C24+C25+C26+C27</f>
        <v>6283131318</v>
      </c>
      <c r="D22" s="78">
        <f>D23+D24+D25+D26+D27</f>
        <v>6283131318</v>
      </c>
      <c r="E22" s="338">
        <f>E23+E24+E25+E26+E27</f>
        <v>0</v>
      </c>
      <c r="F22" s="83">
        <f>F23+F24+F25+F26+F27</f>
        <v>0</v>
      </c>
      <c r="G22" s="78">
        <f t="shared" ref="G22" si="16">G23+G24+G25+G26+G27</f>
        <v>0</v>
      </c>
      <c r="H22" s="78">
        <f t="shared" ref="H22" si="17">H23+H24+H25+H26+H27</f>
        <v>0</v>
      </c>
      <c r="I22" s="338">
        <f t="shared" ref="I22:P22" si="18">I23+I24+I25+I26+I27</f>
        <v>0</v>
      </c>
      <c r="J22" s="584">
        <f t="shared" ref="J22:L22" si="19">J23+J24+J25+J26+J27</f>
        <v>3468000</v>
      </c>
      <c r="K22" s="78">
        <f t="shared" ref="K22" si="20">K23+K24+K25+K26+K27</f>
        <v>3468000</v>
      </c>
      <c r="L22" s="78">
        <f t="shared" si="19"/>
        <v>3468000</v>
      </c>
      <c r="M22" s="78">
        <f t="shared" si="18"/>
        <v>0</v>
      </c>
      <c r="N22" s="412">
        <f t="shared" si="14"/>
        <v>4751248431</v>
      </c>
      <c r="O22" s="78">
        <f t="shared" ref="O22" si="21">O23+O24+O25+O26+O27</f>
        <v>6286599318</v>
      </c>
      <c r="P22" s="78">
        <f t="shared" si="18"/>
        <v>6286599318</v>
      </c>
      <c r="Q22" s="338">
        <f>Q23+Q24+Q25+Q26+Q27</f>
        <v>0</v>
      </c>
      <c r="R22" s="14"/>
    </row>
    <row r="23" spans="1:18" s="20" customFormat="1" ht="25.5" x14ac:dyDescent="0.2">
      <c r="A23" s="609" t="s">
        <v>420</v>
      </c>
      <c r="B23" s="408"/>
      <c r="C23" s="410">
        <f>'2b. tábla 2020. (2)'!K88</f>
        <v>43215050</v>
      </c>
      <c r="D23" s="410">
        <f>'2b. tábla 2020. (2)'!M88</f>
        <v>43215050</v>
      </c>
      <c r="E23" s="700">
        <f>D23-C23</f>
        <v>0</v>
      </c>
      <c r="F23" s="492"/>
      <c r="G23" s="248"/>
      <c r="H23" s="248"/>
      <c r="I23" s="339"/>
      <c r="J23" s="709"/>
      <c r="K23" s="248"/>
      <c r="L23" s="248"/>
      <c r="M23" s="248"/>
      <c r="N23" s="349">
        <f t="shared" si="14"/>
        <v>0</v>
      </c>
      <c r="O23" s="79">
        <f>SUM(C23+G23+K23)</f>
        <v>43215050</v>
      </c>
      <c r="P23" s="79">
        <f>SUM(D23+H23+L23)</f>
        <v>43215050</v>
      </c>
      <c r="Q23" s="646">
        <f>SUM(E23+I23+M23)</f>
        <v>0</v>
      </c>
      <c r="R23" s="14"/>
    </row>
    <row r="24" spans="1:18" s="20" customFormat="1" ht="63.75" x14ac:dyDescent="0.2">
      <c r="A24" s="609" t="s">
        <v>421</v>
      </c>
      <c r="B24" s="408"/>
      <c r="C24" s="410"/>
      <c r="D24" s="410"/>
      <c r="E24" s="700"/>
      <c r="F24" s="492"/>
      <c r="G24" s="248"/>
      <c r="H24" s="248"/>
      <c r="I24" s="339"/>
      <c r="J24" s="709"/>
      <c r="K24" s="248"/>
      <c r="L24" s="248"/>
      <c r="M24" s="248"/>
      <c r="N24" s="349">
        <f t="shared" si="14"/>
        <v>0</v>
      </c>
      <c r="O24" s="248"/>
      <c r="P24" s="248"/>
      <c r="Q24" s="339"/>
      <c r="R24" s="14"/>
    </row>
    <row r="25" spans="1:18" s="20" customFormat="1" ht="51" x14ac:dyDescent="0.2">
      <c r="A25" s="609" t="s">
        <v>422</v>
      </c>
      <c r="B25" s="408"/>
      <c r="C25" s="410"/>
      <c r="D25" s="410"/>
      <c r="E25" s="700"/>
      <c r="F25" s="492"/>
      <c r="G25" s="248"/>
      <c r="H25" s="248"/>
      <c r="I25" s="339"/>
      <c r="J25" s="709"/>
      <c r="K25" s="248"/>
      <c r="L25" s="248"/>
      <c r="M25" s="248"/>
      <c r="N25" s="349">
        <f t="shared" si="14"/>
        <v>0</v>
      </c>
      <c r="O25" s="248"/>
      <c r="P25" s="248"/>
      <c r="Q25" s="339"/>
      <c r="R25" s="14"/>
    </row>
    <row r="26" spans="1:18" s="20" customFormat="1" ht="51" x14ac:dyDescent="0.2">
      <c r="A26" s="609" t="s">
        <v>423</v>
      </c>
      <c r="B26" s="408"/>
      <c r="C26" s="410"/>
      <c r="D26" s="410"/>
      <c r="E26" s="700"/>
      <c r="F26" s="492"/>
      <c r="G26" s="248"/>
      <c r="H26" s="248"/>
      <c r="I26" s="339"/>
      <c r="J26" s="709"/>
      <c r="K26" s="248"/>
      <c r="L26" s="248"/>
      <c r="M26" s="248"/>
      <c r="N26" s="349">
        <f t="shared" si="14"/>
        <v>0</v>
      </c>
      <c r="O26" s="248"/>
      <c r="P26" s="248"/>
      <c r="Q26" s="339"/>
      <c r="R26" s="14"/>
    </row>
    <row r="27" spans="1:18" s="20" customFormat="1" ht="39" thickBot="1" x14ac:dyDescent="0.25">
      <c r="A27" s="614" t="s">
        <v>320</v>
      </c>
      <c r="B27" s="701">
        <v>4747780431</v>
      </c>
      <c r="C27" s="489">
        <v>6239916268</v>
      </c>
      <c r="D27" s="489">
        <v>6239916268</v>
      </c>
      <c r="E27" s="702">
        <f>D27-C27</f>
        <v>0</v>
      </c>
      <c r="F27" s="494"/>
      <c r="G27" s="413"/>
      <c r="H27" s="413"/>
      <c r="I27" s="340"/>
      <c r="J27" s="615">
        <f>'2.a tábla ÚJ '!N16</f>
        <v>3468000</v>
      </c>
      <c r="K27" s="300">
        <f>'2.a tábla ÚJ '!O16</f>
        <v>3468000</v>
      </c>
      <c r="L27" s="300">
        <f>'2.a tábla ÚJ '!P16</f>
        <v>3468000</v>
      </c>
      <c r="M27" s="300">
        <f>'2.a tábla ÚJ '!Q16</f>
        <v>0</v>
      </c>
      <c r="N27" s="414">
        <f t="shared" si="14"/>
        <v>4751248431</v>
      </c>
      <c r="O27" s="300">
        <f>C27+G27+K27</f>
        <v>6243384268</v>
      </c>
      <c r="P27" s="300">
        <f>D27+H27+L27</f>
        <v>6243384268</v>
      </c>
      <c r="Q27" s="340">
        <f>E27+I27+M27</f>
        <v>0</v>
      </c>
      <c r="R27" s="14"/>
    </row>
    <row r="28" spans="1:18" s="20" customFormat="1" ht="27" customHeight="1" thickBot="1" x14ac:dyDescent="0.25">
      <c r="A28" s="488" t="s">
        <v>301</v>
      </c>
      <c r="B28" s="1623" t="s">
        <v>407</v>
      </c>
      <c r="C28" s="1624"/>
      <c r="D28" s="1624"/>
      <c r="E28" s="1625"/>
      <c r="F28" s="1623" t="s">
        <v>199</v>
      </c>
      <c r="G28" s="1624"/>
      <c r="H28" s="1624"/>
      <c r="I28" s="1625"/>
      <c r="J28" s="1635" t="s">
        <v>408</v>
      </c>
      <c r="K28" s="1636"/>
      <c r="L28" s="1636"/>
      <c r="M28" s="1636"/>
      <c r="N28" s="1637" t="s">
        <v>409</v>
      </c>
      <c r="O28" s="1636"/>
      <c r="P28" s="1636"/>
      <c r="Q28" s="1638"/>
      <c r="R28" s="14"/>
    </row>
    <row r="29" spans="1:18" s="20" customFormat="1" ht="54" customHeight="1" thickBot="1" x14ac:dyDescent="0.25">
      <c r="A29" s="174"/>
      <c r="B29" s="1200" t="s">
        <v>657</v>
      </c>
      <c r="C29" s="390" t="s">
        <v>1041</v>
      </c>
      <c r="D29" s="390" t="s">
        <v>1088</v>
      </c>
      <c r="E29" s="391" t="s">
        <v>983</v>
      </c>
      <c r="F29" s="556" t="s">
        <v>657</v>
      </c>
      <c r="G29" s="390" t="s">
        <v>1041</v>
      </c>
      <c r="H29" s="390" t="s">
        <v>1088</v>
      </c>
      <c r="I29" s="391" t="s">
        <v>983</v>
      </c>
      <c r="J29" s="556" t="s">
        <v>657</v>
      </c>
      <c r="K29" s="390" t="s">
        <v>1041</v>
      </c>
      <c r="L29" s="390" t="s">
        <v>1088</v>
      </c>
      <c r="M29" s="391" t="s">
        <v>983</v>
      </c>
      <c r="N29" s="556" t="s">
        <v>657</v>
      </c>
      <c r="O29" s="390" t="s">
        <v>1041</v>
      </c>
      <c r="P29" s="390" t="s">
        <v>1088</v>
      </c>
      <c r="Q29" s="391" t="s">
        <v>983</v>
      </c>
      <c r="R29" s="14"/>
    </row>
    <row r="30" spans="1:18" s="20" customFormat="1" ht="25.5" customHeight="1" x14ac:dyDescent="0.2">
      <c r="A30" s="608" t="s">
        <v>375</v>
      </c>
      <c r="B30" s="211">
        <f t="shared" ref="B30:D30" si="22">B31+B34+B42</f>
        <v>2058240000</v>
      </c>
      <c r="C30" s="186">
        <f t="shared" ref="C30" si="23">C31+C34+C42</f>
        <v>1627117610</v>
      </c>
      <c r="D30" s="186">
        <f t="shared" si="22"/>
        <v>1627117610</v>
      </c>
      <c r="E30" s="348">
        <f t="shared" ref="E30" si="24">E31+E34+E42</f>
        <v>0</v>
      </c>
      <c r="F30" s="211">
        <f t="shared" ref="F30:H30" si="25">F31+F34+F42</f>
        <v>0</v>
      </c>
      <c r="G30" s="186">
        <f t="shared" ref="G30" si="26">G31+G34+G42</f>
        <v>0</v>
      </c>
      <c r="H30" s="186">
        <f t="shared" si="25"/>
        <v>0</v>
      </c>
      <c r="I30" s="348">
        <f t="shared" ref="I30:M30" si="27">I31+I34+I42</f>
        <v>0</v>
      </c>
      <c r="J30" s="706"/>
      <c r="K30" s="186">
        <f t="shared" ref="K30" si="28">K31+K34+K42</f>
        <v>0</v>
      </c>
      <c r="L30" s="186">
        <f t="shared" ref="L30" si="29">L31+L34+L42</f>
        <v>0</v>
      </c>
      <c r="M30" s="186">
        <f t="shared" si="27"/>
        <v>0</v>
      </c>
      <c r="N30" s="406">
        <f t="shared" ref="N30:N57" si="30">SUM(B30+F30+J30)</f>
        <v>2058240000</v>
      </c>
      <c r="O30" s="186">
        <f t="shared" ref="O30:P57" si="31">SUM(C30+G30+K30)</f>
        <v>1627117610</v>
      </c>
      <c r="P30" s="186">
        <f t="shared" si="31"/>
        <v>1627117610</v>
      </c>
      <c r="Q30" s="348">
        <f t="shared" ref="Q30:Q57" si="32">SUM(E30+I30+M30)</f>
        <v>0</v>
      </c>
      <c r="R30" s="303">
        <f>E30-E37-E42</f>
        <v>0</v>
      </c>
    </row>
    <row r="31" spans="1:18" s="20" customFormat="1" x14ac:dyDescent="0.2">
      <c r="A31" s="609" t="s">
        <v>425</v>
      </c>
      <c r="B31" s="84">
        <f t="shared" ref="B31:D31" si="33">SUM(B32:B33)</f>
        <v>475000000</v>
      </c>
      <c r="C31" s="79">
        <f t="shared" ref="C31" si="34">SUM(C32:C33)</f>
        <v>495000000</v>
      </c>
      <c r="D31" s="79">
        <f t="shared" si="33"/>
        <v>495000000</v>
      </c>
      <c r="E31" s="339">
        <f t="shared" ref="E31" si="35">SUM(E32:E33)</f>
        <v>0</v>
      </c>
      <c r="F31" s="84">
        <f t="shared" ref="F31" si="36">SUM(F32:F33)</f>
        <v>0</v>
      </c>
      <c r="G31" s="248"/>
      <c r="H31" s="248"/>
      <c r="I31" s="339"/>
      <c r="J31" s="583"/>
      <c r="K31" s="248"/>
      <c r="L31" s="248"/>
      <c r="M31" s="248"/>
      <c r="N31" s="349">
        <f t="shared" si="30"/>
        <v>475000000</v>
      </c>
      <c r="O31" s="79">
        <f t="shared" si="31"/>
        <v>495000000</v>
      </c>
      <c r="P31" s="79">
        <f t="shared" si="31"/>
        <v>495000000</v>
      </c>
      <c r="Q31" s="339">
        <f t="shared" si="32"/>
        <v>0</v>
      </c>
      <c r="R31" s="14"/>
    </row>
    <row r="32" spans="1:18" s="20" customFormat="1" x14ac:dyDescent="0.2">
      <c r="A32" s="610" t="s">
        <v>426</v>
      </c>
      <c r="B32" s="84">
        <v>450000000</v>
      </c>
      <c r="C32" s="248">
        <v>479000000</v>
      </c>
      <c r="D32" s="248">
        <v>479000000</v>
      </c>
      <c r="E32" s="339">
        <f>D32-C32</f>
        <v>0</v>
      </c>
      <c r="F32" s="84"/>
      <c r="G32" s="415"/>
      <c r="H32" s="415"/>
      <c r="I32" s="703"/>
      <c r="J32" s="583"/>
      <c r="K32" s="415"/>
      <c r="L32" s="415"/>
      <c r="M32" s="415"/>
      <c r="N32" s="349">
        <f t="shared" si="30"/>
        <v>450000000</v>
      </c>
      <c r="O32" s="79">
        <f t="shared" si="31"/>
        <v>479000000</v>
      </c>
      <c r="P32" s="79">
        <f t="shared" si="31"/>
        <v>479000000</v>
      </c>
      <c r="Q32" s="339">
        <f t="shared" si="32"/>
        <v>0</v>
      </c>
      <c r="R32" s="14"/>
    </row>
    <row r="33" spans="1:18" s="20" customFormat="1" x14ac:dyDescent="0.2">
      <c r="A33" s="610" t="s">
        <v>427</v>
      </c>
      <c r="B33" s="84">
        <v>25000000</v>
      </c>
      <c r="C33" s="248">
        <v>16000000</v>
      </c>
      <c r="D33" s="248">
        <v>16000000</v>
      </c>
      <c r="E33" s="339">
        <f>D33-C33</f>
        <v>0</v>
      </c>
      <c r="F33" s="84"/>
      <c r="G33" s="415"/>
      <c r="H33" s="415"/>
      <c r="I33" s="703"/>
      <c r="J33" s="583"/>
      <c r="K33" s="415"/>
      <c r="L33" s="415"/>
      <c r="M33" s="415"/>
      <c r="N33" s="349">
        <f t="shared" si="30"/>
        <v>25000000</v>
      </c>
      <c r="O33" s="79">
        <f t="shared" si="31"/>
        <v>16000000</v>
      </c>
      <c r="P33" s="79">
        <f t="shared" si="31"/>
        <v>16000000</v>
      </c>
      <c r="Q33" s="339">
        <f t="shared" si="32"/>
        <v>0</v>
      </c>
      <c r="R33" s="14"/>
    </row>
    <row r="34" spans="1:18" s="20" customFormat="1" ht="27" customHeight="1" x14ac:dyDescent="0.2">
      <c r="A34" s="609" t="s">
        <v>428</v>
      </c>
      <c r="B34" s="84">
        <f>B35+B37+B38</f>
        <v>1573840000</v>
      </c>
      <c r="C34" s="79">
        <f>C35+C37+C38</f>
        <v>1112717610</v>
      </c>
      <c r="D34" s="79">
        <f>D35+D37+D38</f>
        <v>1112717610</v>
      </c>
      <c r="E34" s="339">
        <f>E35+E37+E38</f>
        <v>0</v>
      </c>
      <c r="F34" s="84"/>
      <c r="G34" s="248"/>
      <c r="H34" s="248"/>
      <c r="I34" s="339"/>
      <c r="J34" s="583"/>
      <c r="K34" s="248"/>
      <c r="L34" s="248"/>
      <c r="M34" s="248"/>
      <c r="N34" s="349">
        <f t="shared" si="30"/>
        <v>1573840000</v>
      </c>
      <c r="O34" s="79">
        <f t="shared" si="31"/>
        <v>1112717610</v>
      </c>
      <c r="P34" s="79">
        <f t="shared" si="31"/>
        <v>1112717610</v>
      </c>
      <c r="Q34" s="339">
        <f t="shared" si="32"/>
        <v>0</v>
      </c>
      <c r="R34" s="14"/>
    </row>
    <row r="35" spans="1:18" s="20" customFormat="1" ht="25.5" customHeight="1" x14ac:dyDescent="0.2">
      <c r="A35" s="609" t="s">
        <v>429</v>
      </c>
      <c r="B35" s="84">
        <f>SUM(B36)</f>
        <v>1100000000</v>
      </c>
      <c r="C35" s="79">
        <f>SUM(C36)</f>
        <v>1064000000</v>
      </c>
      <c r="D35" s="79">
        <f>SUM(D36)</f>
        <v>1064000000</v>
      </c>
      <c r="E35" s="339">
        <f>SUM(E36)</f>
        <v>0</v>
      </c>
      <c r="F35" s="84"/>
      <c r="G35" s="415"/>
      <c r="H35" s="415"/>
      <c r="I35" s="703"/>
      <c r="J35" s="583"/>
      <c r="K35" s="415"/>
      <c r="L35" s="415"/>
      <c r="M35" s="415"/>
      <c r="N35" s="349">
        <f t="shared" si="30"/>
        <v>1100000000</v>
      </c>
      <c r="O35" s="79">
        <f t="shared" si="31"/>
        <v>1064000000</v>
      </c>
      <c r="P35" s="79">
        <f t="shared" si="31"/>
        <v>1064000000</v>
      </c>
      <c r="Q35" s="339">
        <f t="shared" si="32"/>
        <v>0</v>
      </c>
      <c r="R35" s="14"/>
    </row>
    <row r="36" spans="1:18" s="20" customFormat="1" x14ac:dyDescent="0.2">
      <c r="A36" s="609" t="s">
        <v>430</v>
      </c>
      <c r="B36" s="84">
        <v>1100000000</v>
      </c>
      <c r="C36" s="248">
        <v>1064000000</v>
      </c>
      <c r="D36" s="248">
        <v>1064000000</v>
      </c>
      <c r="E36" s="339">
        <f>D36-C36</f>
        <v>0</v>
      </c>
      <c r="F36" s="84"/>
      <c r="G36" s="415"/>
      <c r="H36" s="415"/>
      <c r="I36" s="703"/>
      <c r="J36" s="583"/>
      <c r="K36" s="415"/>
      <c r="L36" s="415"/>
      <c r="M36" s="415"/>
      <c r="N36" s="349">
        <f t="shared" si="30"/>
        <v>1100000000</v>
      </c>
      <c r="O36" s="79">
        <f t="shared" si="31"/>
        <v>1064000000</v>
      </c>
      <c r="P36" s="79">
        <f t="shared" si="31"/>
        <v>1064000000</v>
      </c>
      <c r="Q36" s="339">
        <f t="shared" si="32"/>
        <v>0</v>
      </c>
      <c r="R36" s="14"/>
    </row>
    <row r="37" spans="1:18" s="20" customFormat="1" x14ac:dyDescent="0.2">
      <c r="A37" s="609" t="s">
        <v>431</v>
      </c>
      <c r="B37" s="84">
        <v>58840000</v>
      </c>
      <c r="C37" s="248"/>
      <c r="D37" s="248"/>
      <c r="E37" s="339">
        <f>D37-C37</f>
        <v>0</v>
      </c>
      <c r="F37" s="84"/>
      <c r="G37" s="415"/>
      <c r="H37" s="415"/>
      <c r="I37" s="703"/>
      <c r="J37" s="583"/>
      <c r="K37" s="415"/>
      <c r="L37" s="415"/>
      <c r="M37" s="415"/>
      <c r="N37" s="349">
        <f t="shared" si="30"/>
        <v>58840000</v>
      </c>
      <c r="O37" s="79">
        <f t="shared" si="31"/>
        <v>0</v>
      </c>
      <c r="P37" s="79">
        <f t="shared" si="31"/>
        <v>0</v>
      </c>
      <c r="Q37" s="339">
        <f t="shared" si="32"/>
        <v>0</v>
      </c>
      <c r="R37" s="14"/>
    </row>
    <row r="38" spans="1:18" s="20" customFormat="1" ht="25.5" x14ac:dyDescent="0.2">
      <c r="A38" s="609" t="s">
        <v>432</v>
      </c>
      <c r="B38" s="84">
        <f>SUM(B39:B41)</f>
        <v>415000000</v>
      </c>
      <c r="C38" s="79">
        <f>SUM(C39:C41)</f>
        <v>48717610</v>
      </c>
      <c r="D38" s="79">
        <f>SUM(D39:D41)</f>
        <v>48717610</v>
      </c>
      <c r="E38" s="339">
        <f>SUM(E39:E41)</f>
        <v>0</v>
      </c>
      <c r="F38" s="84"/>
      <c r="G38" s="248"/>
      <c r="H38" s="248"/>
      <c r="I38" s="339"/>
      <c r="J38" s="583"/>
      <c r="K38" s="248"/>
      <c r="L38" s="248"/>
      <c r="M38" s="248"/>
      <c r="N38" s="349">
        <f t="shared" si="30"/>
        <v>415000000</v>
      </c>
      <c r="O38" s="79">
        <f t="shared" si="31"/>
        <v>48717610</v>
      </c>
      <c r="P38" s="79">
        <f t="shared" si="31"/>
        <v>48717610</v>
      </c>
      <c r="Q38" s="339">
        <f t="shared" si="32"/>
        <v>0</v>
      </c>
      <c r="R38" s="14"/>
    </row>
    <row r="39" spans="1:18" s="20" customFormat="1" x14ac:dyDescent="0.2">
      <c r="A39" s="609" t="s">
        <v>433</v>
      </c>
      <c r="B39" s="84">
        <v>415000000</v>
      </c>
      <c r="C39" s="248">
        <v>45717610</v>
      </c>
      <c r="D39" s="248">
        <v>45717610</v>
      </c>
      <c r="E39" s="339">
        <f>D39-C39</f>
        <v>0</v>
      </c>
      <c r="F39" s="84"/>
      <c r="G39" s="415"/>
      <c r="H39" s="415"/>
      <c r="I39" s="703"/>
      <c r="J39" s="583"/>
      <c r="K39" s="415"/>
      <c r="L39" s="415"/>
      <c r="M39" s="415"/>
      <c r="N39" s="349">
        <f t="shared" si="30"/>
        <v>415000000</v>
      </c>
      <c r="O39" s="79">
        <f t="shared" si="31"/>
        <v>45717610</v>
      </c>
      <c r="P39" s="79">
        <f t="shared" si="31"/>
        <v>45717610</v>
      </c>
      <c r="Q39" s="339">
        <f t="shared" si="32"/>
        <v>0</v>
      </c>
      <c r="R39" s="14"/>
    </row>
    <row r="40" spans="1:18" s="20" customFormat="1" ht="38.25" x14ac:dyDescent="0.2">
      <c r="A40" s="1597" t="s">
        <v>1086</v>
      </c>
      <c r="B40" s="84"/>
      <c r="C40" s="248">
        <v>3000000</v>
      </c>
      <c r="D40" s="248">
        <v>3000000</v>
      </c>
      <c r="E40" s="339">
        <f t="shared" ref="E40:E42" si="37">D40-C40</f>
        <v>0</v>
      </c>
      <c r="F40" s="84"/>
      <c r="G40" s="415"/>
      <c r="H40" s="415"/>
      <c r="I40" s="703"/>
      <c r="J40" s="583"/>
      <c r="K40" s="415"/>
      <c r="L40" s="415"/>
      <c r="M40" s="415"/>
      <c r="N40" s="349">
        <f t="shared" si="30"/>
        <v>0</v>
      </c>
      <c r="O40" s="79">
        <f t="shared" si="31"/>
        <v>3000000</v>
      </c>
      <c r="P40" s="79">
        <f t="shared" si="31"/>
        <v>3000000</v>
      </c>
      <c r="Q40" s="339">
        <f t="shared" si="32"/>
        <v>0</v>
      </c>
      <c r="R40" s="14"/>
    </row>
    <row r="41" spans="1:18" s="20" customFormat="1" x14ac:dyDescent="0.2">
      <c r="A41" s="609" t="s">
        <v>303</v>
      </c>
      <c r="B41" s="84"/>
      <c r="C41" s="248"/>
      <c r="D41" s="248"/>
      <c r="E41" s="339">
        <f t="shared" si="37"/>
        <v>0</v>
      </c>
      <c r="F41" s="84"/>
      <c r="G41" s="415"/>
      <c r="H41" s="415"/>
      <c r="I41" s="703"/>
      <c r="J41" s="583"/>
      <c r="K41" s="415"/>
      <c r="L41" s="415"/>
      <c r="M41" s="415"/>
      <c r="N41" s="349">
        <f t="shared" si="30"/>
        <v>0</v>
      </c>
      <c r="O41" s="79">
        <f t="shared" si="31"/>
        <v>0</v>
      </c>
      <c r="P41" s="79">
        <f t="shared" si="31"/>
        <v>0</v>
      </c>
      <c r="Q41" s="339">
        <f t="shared" si="32"/>
        <v>0</v>
      </c>
      <c r="R41" s="14"/>
    </row>
    <row r="42" spans="1:18" s="20" customFormat="1" ht="38.25" x14ac:dyDescent="0.2">
      <c r="A42" s="609" t="s">
        <v>515</v>
      </c>
      <c r="B42" s="84">
        <v>9400000</v>
      </c>
      <c r="C42" s="248">
        <v>19400000</v>
      </c>
      <c r="D42" s="248">
        <v>19400000</v>
      </c>
      <c r="E42" s="339">
        <f t="shared" si="37"/>
        <v>0</v>
      </c>
      <c r="F42" s="349">
        <f>'2.a tábla ÚJ '!S20</f>
        <v>0</v>
      </c>
      <c r="G42" s="79">
        <f>'2.a tábla ÚJ '!T20</f>
        <v>0</v>
      </c>
      <c r="H42" s="79">
        <f>'2.a tábla ÚJ '!U20</f>
        <v>0</v>
      </c>
      <c r="I42" s="339">
        <f>'2.a tábla ÚJ '!V20</f>
        <v>0</v>
      </c>
      <c r="J42" s="583"/>
      <c r="K42" s="415"/>
      <c r="L42" s="415"/>
      <c r="M42" s="415"/>
      <c r="N42" s="349">
        <f t="shared" si="30"/>
        <v>9400000</v>
      </c>
      <c r="O42" s="79">
        <f t="shared" si="31"/>
        <v>19400000</v>
      </c>
      <c r="P42" s="79">
        <f t="shared" si="31"/>
        <v>19400000</v>
      </c>
      <c r="Q42" s="339">
        <f t="shared" si="32"/>
        <v>0</v>
      </c>
      <c r="R42" s="14"/>
    </row>
    <row r="43" spans="1:18" s="24" customFormat="1" ht="25.5" customHeight="1" x14ac:dyDescent="0.2">
      <c r="A43" s="611" t="s">
        <v>376</v>
      </c>
      <c r="B43" s="83">
        <f t="shared" ref="B43:E43" si="38">B44+B45+B47+B48+B51+B52+B53+B54+B57+B55+B56</f>
        <v>765981293</v>
      </c>
      <c r="C43" s="78">
        <f t="shared" si="38"/>
        <v>815067339</v>
      </c>
      <c r="D43" s="78">
        <f t="shared" ref="D43" si="39">D44+D45+D47+D48+D51+D52+D53+D54+D57+D55+D56</f>
        <v>814994792</v>
      </c>
      <c r="E43" s="338">
        <f t="shared" si="38"/>
        <v>-72547</v>
      </c>
      <c r="F43" s="412">
        <f t="shared" ref="F43:H43" si="40">F44+F45+F47+F48+F51+F52+F53+F54+F57+F55+F56</f>
        <v>33410443</v>
      </c>
      <c r="G43" s="78">
        <f t="shared" ref="G43" si="41">G44+G45+G47+G48+G51+G52+G53+G54+G57+G55+G56</f>
        <v>33209750</v>
      </c>
      <c r="H43" s="78">
        <f t="shared" si="40"/>
        <v>33209750</v>
      </c>
      <c r="I43" s="338">
        <f t="shared" ref="I43:M43" si="42">I44+I45+I47+I48+I51+I52+I53+I54+I57+I55+I56</f>
        <v>0</v>
      </c>
      <c r="J43" s="584">
        <f t="shared" ref="J43:L43" si="43">J44+J45+J47+J48+J51+J52+J53+J54+J57+J55+J56</f>
        <v>50203593</v>
      </c>
      <c r="K43" s="78">
        <f t="shared" ref="K43" si="44">K44+K45+K47+K48+K51+K52+K53+K54+K57+K55+K56</f>
        <v>49393593</v>
      </c>
      <c r="L43" s="78">
        <f t="shared" si="43"/>
        <v>49393593</v>
      </c>
      <c r="M43" s="78">
        <f t="shared" si="42"/>
        <v>0</v>
      </c>
      <c r="N43" s="412">
        <f t="shared" si="30"/>
        <v>849595329</v>
      </c>
      <c r="O43" s="78">
        <f t="shared" si="31"/>
        <v>897670682</v>
      </c>
      <c r="P43" s="78">
        <f t="shared" si="31"/>
        <v>897598135</v>
      </c>
      <c r="Q43" s="338">
        <f t="shared" si="32"/>
        <v>-72547</v>
      </c>
      <c r="R43" s="304"/>
    </row>
    <row r="44" spans="1:18" s="25" customFormat="1" ht="25.5" customHeight="1" x14ac:dyDescent="0.2">
      <c r="A44" s="610" t="s">
        <v>357</v>
      </c>
      <c r="B44" s="84"/>
      <c r="C44" s="248"/>
      <c r="D44" s="248"/>
      <c r="E44" s="339"/>
      <c r="F44" s="349"/>
      <c r="G44" s="415"/>
      <c r="H44" s="415"/>
      <c r="I44" s="338">
        <f t="shared" ref="I44" si="45">I45+I46+I48+I49+I52+I53+I54+I55+I58+I56+I57</f>
        <v>0</v>
      </c>
      <c r="J44" s="585"/>
      <c r="K44" s="415"/>
      <c r="L44" s="415"/>
      <c r="M44" s="415"/>
      <c r="N44" s="349">
        <f t="shared" si="30"/>
        <v>0</v>
      </c>
      <c r="O44" s="79">
        <f t="shared" si="31"/>
        <v>0</v>
      </c>
      <c r="P44" s="79">
        <f t="shared" si="31"/>
        <v>0</v>
      </c>
      <c r="Q44" s="339">
        <f t="shared" si="32"/>
        <v>0</v>
      </c>
      <c r="R44" s="305"/>
    </row>
    <row r="45" spans="1:18" s="26" customFormat="1" ht="22.7" customHeight="1" x14ac:dyDescent="0.2">
      <c r="A45" s="610" t="s">
        <v>358</v>
      </c>
      <c r="B45" s="349">
        <v>346357351</v>
      </c>
      <c r="C45" s="79">
        <v>346357351</v>
      </c>
      <c r="D45" s="79">
        <v>346357351</v>
      </c>
      <c r="E45" s="339">
        <f>D45-C45</f>
        <v>0</v>
      </c>
      <c r="F45" s="349">
        <f>'2.a tábla ÚJ '!S23</f>
        <v>23800000</v>
      </c>
      <c r="G45" s="79">
        <f>'2.a tábla ÚJ '!T23</f>
        <v>23800000</v>
      </c>
      <c r="H45" s="79">
        <f>'2.a tábla ÚJ '!U23</f>
        <v>23800000</v>
      </c>
      <c r="I45" s="338">
        <f>I46+I47+I49+I50+I53+I54+I55+I56+I59+I57+I58</f>
        <v>0</v>
      </c>
      <c r="J45" s="583">
        <f>'2.a tábla ÚJ '!N23</f>
        <v>47159213</v>
      </c>
      <c r="K45" s="79">
        <f>'2.a tábla ÚJ '!O23</f>
        <v>46734016</v>
      </c>
      <c r="L45" s="79">
        <f>'2.a tábla ÚJ '!P23</f>
        <v>46734016</v>
      </c>
      <c r="M45" s="248">
        <f>'2.a tábla ÚJ '!Q23</f>
        <v>0</v>
      </c>
      <c r="N45" s="349">
        <f t="shared" si="30"/>
        <v>417316564</v>
      </c>
      <c r="O45" s="79">
        <f t="shared" si="31"/>
        <v>416891367</v>
      </c>
      <c r="P45" s="79">
        <f t="shared" si="31"/>
        <v>416891367</v>
      </c>
      <c r="Q45" s="339">
        <f t="shared" si="32"/>
        <v>0</v>
      </c>
      <c r="R45" s="306"/>
    </row>
    <row r="46" spans="1:18" s="26" customFormat="1" ht="22.7" customHeight="1" x14ac:dyDescent="0.2">
      <c r="A46" s="610" t="s">
        <v>229</v>
      </c>
      <c r="B46" s="349">
        <v>346357351</v>
      </c>
      <c r="C46" s="79">
        <v>346357351</v>
      </c>
      <c r="D46" s="79">
        <v>346357351</v>
      </c>
      <c r="E46" s="339">
        <f t="shared" ref="E46:E57" si="46">D46-C46</f>
        <v>0</v>
      </c>
      <c r="F46" s="349">
        <f>'2.a tábla ÚJ '!S24</f>
        <v>8200000</v>
      </c>
      <c r="G46" s="79">
        <f>'2.a tábla ÚJ '!T24</f>
        <v>8200000</v>
      </c>
      <c r="H46" s="79">
        <f>'2.a tábla ÚJ '!U24</f>
        <v>8200000</v>
      </c>
      <c r="I46" s="339">
        <f>'2.a tábla ÚJ '!V24</f>
        <v>0</v>
      </c>
      <c r="J46" s="583"/>
      <c r="K46" s="248"/>
      <c r="L46" s="248"/>
      <c r="M46" s="248"/>
      <c r="N46" s="349">
        <f t="shared" si="30"/>
        <v>354557351</v>
      </c>
      <c r="O46" s="79">
        <f t="shared" si="31"/>
        <v>354557351</v>
      </c>
      <c r="P46" s="79">
        <f t="shared" si="31"/>
        <v>354557351</v>
      </c>
      <c r="Q46" s="339">
        <f t="shared" si="32"/>
        <v>0</v>
      </c>
      <c r="R46" s="306"/>
    </row>
    <row r="47" spans="1:18" s="26" customFormat="1" ht="24.75" customHeight="1" x14ac:dyDescent="0.2">
      <c r="A47" s="609" t="s">
        <v>436</v>
      </c>
      <c r="B47" s="349">
        <v>4700000</v>
      </c>
      <c r="C47" s="79">
        <v>4700000</v>
      </c>
      <c r="D47" s="79">
        <v>4700000</v>
      </c>
      <c r="E47" s="339">
        <f t="shared" si="46"/>
        <v>0</v>
      </c>
      <c r="F47" s="349">
        <f>'2.a tábla ÚJ '!S25</f>
        <v>3625000</v>
      </c>
      <c r="G47" s="79">
        <f>'2.a tábla ÚJ '!T25</f>
        <v>3625000</v>
      </c>
      <c r="H47" s="79">
        <f>'2.a tábla ÚJ '!U25</f>
        <v>3625000</v>
      </c>
      <c r="I47" s="339">
        <f>'2.a tábla ÚJ '!V25</f>
        <v>0</v>
      </c>
      <c r="J47" s="583">
        <f>'2.a tábla ÚJ '!N25</f>
        <v>228346</v>
      </c>
      <c r="K47" s="248">
        <f>'2.a tábla ÚJ '!O25</f>
        <v>228346</v>
      </c>
      <c r="L47" s="248">
        <f>'2.a tábla ÚJ '!P25</f>
        <v>228346</v>
      </c>
      <c r="M47" s="248">
        <f>'2.a tábla ÚJ '!Q25</f>
        <v>0</v>
      </c>
      <c r="N47" s="349">
        <f t="shared" si="30"/>
        <v>8553346</v>
      </c>
      <c r="O47" s="79">
        <f t="shared" si="31"/>
        <v>8553346</v>
      </c>
      <c r="P47" s="79">
        <f t="shared" si="31"/>
        <v>8553346</v>
      </c>
      <c r="Q47" s="339">
        <f t="shared" si="32"/>
        <v>0</v>
      </c>
      <c r="R47" s="306"/>
    </row>
    <row r="48" spans="1:18" s="26" customFormat="1" ht="22.7" customHeight="1" x14ac:dyDescent="0.2">
      <c r="A48" s="609" t="s">
        <v>437</v>
      </c>
      <c r="B48" s="349">
        <v>22235544</v>
      </c>
      <c r="C48" s="79">
        <v>22235544</v>
      </c>
      <c r="D48" s="79">
        <v>22235544</v>
      </c>
      <c r="E48" s="339">
        <f t="shared" si="46"/>
        <v>0</v>
      </c>
      <c r="F48" s="349"/>
      <c r="G48" s="248"/>
      <c r="H48" s="248"/>
      <c r="I48" s="339"/>
      <c r="J48" s="583">
        <v>0</v>
      </c>
      <c r="K48" s="248">
        <v>0</v>
      </c>
      <c r="L48" s="248">
        <v>0</v>
      </c>
      <c r="M48" s="248">
        <f>L48-K48</f>
        <v>0</v>
      </c>
      <c r="N48" s="349">
        <f t="shared" si="30"/>
        <v>22235544</v>
      </c>
      <c r="O48" s="79">
        <f t="shared" si="31"/>
        <v>22235544</v>
      </c>
      <c r="P48" s="79">
        <f t="shared" si="31"/>
        <v>22235544</v>
      </c>
      <c r="Q48" s="339">
        <f t="shared" si="32"/>
        <v>0</v>
      </c>
      <c r="R48" s="306"/>
    </row>
    <row r="49" spans="1:18" s="26" customFormat="1" ht="20.25" customHeight="1" x14ac:dyDescent="0.2">
      <c r="A49" s="612" t="s">
        <v>355</v>
      </c>
      <c r="B49" s="349">
        <v>6235544</v>
      </c>
      <c r="C49" s="79">
        <v>6235544</v>
      </c>
      <c r="D49" s="79">
        <v>6235544</v>
      </c>
      <c r="E49" s="339">
        <f t="shared" si="46"/>
        <v>0</v>
      </c>
      <c r="F49" s="349"/>
      <c r="G49" s="248"/>
      <c r="H49" s="248"/>
      <c r="I49" s="339"/>
      <c r="J49" s="583"/>
      <c r="K49" s="248"/>
      <c r="L49" s="248"/>
      <c r="M49" s="248"/>
      <c r="N49" s="349">
        <f t="shared" si="30"/>
        <v>6235544</v>
      </c>
      <c r="O49" s="79">
        <f t="shared" si="31"/>
        <v>6235544</v>
      </c>
      <c r="P49" s="79">
        <f t="shared" si="31"/>
        <v>6235544</v>
      </c>
      <c r="Q49" s="339">
        <f t="shared" si="32"/>
        <v>0</v>
      </c>
      <c r="R49" s="306"/>
    </row>
    <row r="50" spans="1:18" s="26" customFormat="1" ht="24.75" customHeight="1" x14ac:dyDescent="0.2">
      <c r="A50" s="612" t="s">
        <v>438</v>
      </c>
      <c r="B50" s="349">
        <v>16000000</v>
      </c>
      <c r="C50" s="79">
        <v>16000000</v>
      </c>
      <c r="D50" s="79">
        <v>16000000</v>
      </c>
      <c r="E50" s="339">
        <f t="shared" si="46"/>
        <v>0</v>
      </c>
      <c r="F50" s="349"/>
      <c r="G50" s="248"/>
      <c r="H50" s="248"/>
      <c r="I50" s="339"/>
      <c r="J50" s="583">
        <v>0</v>
      </c>
      <c r="K50" s="248">
        <v>0</v>
      </c>
      <c r="L50" s="248">
        <v>0</v>
      </c>
      <c r="M50" s="248">
        <f>L50-K50</f>
        <v>0</v>
      </c>
      <c r="N50" s="349">
        <f t="shared" si="30"/>
        <v>16000000</v>
      </c>
      <c r="O50" s="79">
        <f t="shared" si="31"/>
        <v>16000000</v>
      </c>
      <c r="P50" s="79">
        <f t="shared" si="31"/>
        <v>16000000</v>
      </c>
      <c r="Q50" s="339">
        <f t="shared" si="32"/>
        <v>0</v>
      </c>
      <c r="R50" s="306"/>
    </row>
    <row r="51" spans="1:18" s="26" customFormat="1" ht="19.5" customHeight="1" x14ac:dyDescent="0.2">
      <c r="A51" s="612" t="s">
        <v>439</v>
      </c>
      <c r="B51" s="349">
        <v>33915588</v>
      </c>
      <c r="C51" s="79">
        <v>20295198</v>
      </c>
      <c r="D51" s="79">
        <v>20295198</v>
      </c>
      <c r="E51" s="339">
        <f t="shared" si="46"/>
        <v>0</v>
      </c>
      <c r="F51" s="349"/>
      <c r="G51" s="248"/>
      <c r="H51" s="248"/>
      <c r="I51" s="339"/>
      <c r="J51" s="583">
        <f>'2.a tábla ÚJ '!N27</f>
        <v>1216215</v>
      </c>
      <c r="K51" s="248">
        <f>'2.a tábla ÚJ '!O27</f>
        <v>1216215</v>
      </c>
      <c r="L51" s="248">
        <f>'2.a tábla ÚJ '!P27</f>
        <v>1216215</v>
      </c>
      <c r="M51" s="248">
        <f>'2.a tábla ÚJ '!Q27</f>
        <v>0</v>
      </c>
      <c r="N51" s="349">
        <f t="shared" si="30"/>
        <v>35131803</v>
      </c>
      <c r="O51" s="79">
        <f t="shared" si="31"/>
        <v>21511413</v>
      </c>
      <c r="P51" s="79">
        <f t="shared" si="31"/>
        <v>21511413</v>
      </c>
      <c r="Q51" s="339">
        <f t="shared" si="32"/>
        <v>0</v>
      </c>
      <c r="R51" s="306"/>
    </row>
    <row r="52" spans="1:18" s="26" customFormat="1" ht="22.7" customHeight="1" x14ac:dyDescent="0.2">
      <c r="A52" s="610" t="s">
        <v>440</v>
      </c>
      <c r="B52" s="349">
        <v>165289733</v>
      </c>
      <c r="C52" s="79">
        <v>128402228</v>
      </c>
      <c r="D52" s="79">
        <v>128402228</v>
      </c>
      <c r="E52" s="339">
        <f t="shared" si="46"/>
        <v>0</v>
      </c>
      <c r="F52" s="349">
        <f>'2.a tábla ÚJ '!S28</f>
        <v>5985443</v>
      </c>
      <c r="G52" s="79">
        <f>'2.a tábla ÚJ '!T28</f>
        <v>5784750</v>
      </c>
      <c r="H52" s="79">
        <f>'2.a tábla ÚJ '!U28</f>
        <v>5784750</v>
      </c>
      <c r="I52" s="339">
        <f>'2.a tábla ÚJ '!V28</f>
        <v>0</v>
      </c>
      <c r="J52" s="583">
        <f>'2.a tábla ÚJ '!N28</f>
        <v>929819</v>
      </c>
      <c r="K52" s="248">
        <f>'2.a tábla ÚJ '!O28</f>
        <v>815016</v>
      </c>
      <c r="L52" s="248">
        <f>'2.a tábla ÚJ '!P28</f>
        <v>815016</v>
      </c>
      <c r="M52" s="248">
        <f>'2.a tábla ÚJ '!Q28</f>
        <v>0</v>
      </c>
      <c r="N52" s="349">
        <f t="shared" si="30"/>
        <v>172204995</v>
      </c>
      <c r="O52" s="79">
        <f t="shared" si="31"/>
        <v>135001994</v>
      </c>
      <c r="P52" s="79">
        <f t="shared" si="31"/>
        <v>135001994</v>
      </c>
      <c r="Q52" s="339">
        <f t="shared" si="32"/>
        <v>0</v>
      </c>
      <c r="R52" s="306"/>
    </row>
    <row r="53" spans="1:18" s="26" customFormat="1" ht="20.25" customHeight="1" x14ac:dyDescent="0.2">
      <c r="A53" s="610" t="s">
        <v>441</v>
      </c>
      <c r="B53" s="349">
        <v>160353154</v>
      </c>
      <c r="C53" s="79">
        <v>259947095</v>
      </c>
      <c r="D53" s="79">
        <v>259874548</v>
      </c>
      <c r="E53" s="339">
        <f t="shared" si="46"/>
        <v>-72547</v>
      </c>
      <c r="F53" s="349"/>
      <c r="G53" s="415"/>
      <c r="H53" s="415"/>
      <c r="I53" s="703"/>
      <c r="J53" s="583">
        <f>'2.a tábla ÚJ '!N29</f>
        <v>650000</v>
      </c>
      <c r="K53" s="248">
        <f>'2.a tábla ÚJ '!O29</f>
        <v>380000</v>
      </c>
      <c r="L53" s="248">
        <f>'2.a tábla ÚJ '!P29</f>
        <v>380000</v>
      </c>
      <c r="M53" s="248">
        <f>'2.a tábla ÚJ '!Q29</f>
        <v>0</v>
      </c>
      <c r="N53" s="349">
        <f t="shared" si="30"/>
        <v>161003154</v>
      </c>
      <c r="O53" s="79">
        <f t="shared" si="31"/>
        <v>260327095</v>
      </c>
      <c r="P53" s="79">
        <f t="shared" si="31"/>
        <v>260254548</v>
      </c>
      <c r="Q53" s="339">
        <f t="shared" si="32"/>
        <v>-72547</v>
      </c>
      <c r="R53" s="306"/>
    </row>
    <row r="54" spans="1:18" s="26" customFormat="1" ht="15" customHeight="1" x14ac:dyDescent="0.2">
      <c r="A54" s="610" t="s">
        <v>442</v>
      </c>
      <c r="B54" s="349">
        <v>30000000</v>
      </c>
      <c r="C54" s="79">
        <v>30000000</v>
      </c>
      <c r="D54" s="79">
        <v>30000000</v>
      </c>
      <c r="E54" s="339">
        <f t="shared" si="46"/>
        <v>0</v>
      </c>
      <c r="F54" s="84"/>
      <c r="G54" s="415"/>
      <c r="H54" s="415"/>
      <c r="I54" s="703"/>
      <c r="J54" s="583">
        <v>0</v>
      </c>
      <c r="K54" s="248">
        <v>0</v>
      </c>
      <c r="L54" s="248">
        <v>0</v>
      </c>
      <c r="M54" s="248">
        <f>L54-K54</f>
        <v>0</v>
      </c>
      <c r="N54" s="349">
        <f t="shared" si="30"/>
        <v>30000000</v>
      </c>
      <c r="O54" s="79">
        <f t="shared" si="31"/>
        <v>30000000</v>
      </c>
      <c r="P54" s="79">
        <f t="shared" si="31"/>
        <v>30000000</v>
      </c>
      <c r="Q54" s="339">
        <f t="shared" si="32"/>
        <v>0</v>
      </c>
      <c r="R54" s="306"/>
    </row>
    <row r="55" spans="1:18" s="26" customFormat="1" ht="26.45" customHeight="1" x14ac:dyDescent="0.2">
      <c r="A55" s="610" t="s">
        <v>361</v>
      </c>
      <c r="B55" s="349"/>
      <c r="C55" s="248"/>
      <c r="D55" s="248"/>
      <c r="E55" s="339">
        <f t="shared" si="46"/>
        <v>0</v>
      </c>
      <c r="F55" s="84"/>
      <c r="G55" s="415"/>
      <c r="H55" s="415"/>
      <c r="I55" s="703"/>
      <c r="J55" s="583">
        <f>'[3]2.a tábla ÚJ '!K31</f>
        <v>0</v>
      </c>
      <c r="K55" s="248"/>
      <c r="L55" s="248"/>
      <c r="M55" s="248"/>
      <c r="N55" s="349">
        <f t="shared" si="30"/>
        <v>0</v>
      </c>
      <c r="O55" s="79">
        <f t="shared" si="31"/>
        <v>0</v>
      </c>
      <c r="P55" s="79">
        <f t="shared" si="31"/>
        <v>0</v>
      </c>
      <c r="Q55" s="339">
        <f t="shared" si="32"/>
        <v>0</v>
      </c>
      <c r="R55" s="306"/>
    </row>
    <row r="56" spans="1:18" s="26" customFormat="1" ht="26.45" customHeight="1" x14ac:dyDescent="0.2">
      <c r="A56" s="610" t="s">
        <v>359</v>
      </c>
      <c r="B56" s="349">
        <v>0</v>
      </c>
      <c r="C56" s="248"/>
      <c r="D56" s="248"/>
      <c r="E56" s="339">
        <f t="shared" si="46"/>
        <v>0</v>
      </c>
      <c r="F56" s="84"/>
      <c r="G56" s="415"/>
      <c r="H56" s="415"/>
      <c r="I56" s="703"/>
      <c r="J56" s="583">
        <f>'[3]2.a tábla ÚJ '!K32</f>
        <v>0</v>
      </c>
      <c r="K56" s="248"/>
      <c r="L56" s="248"/>
      <c r="M56" s="248"/>
      <c r="N56" s="349">
        <f t="shared" si="30"/>
        <v>0</v>
      </c>
      <c r="O56" s="79">
        <f t="shared" si="31"/>
        <v>0</v>
      </c>
      <c r="P56" s="79">
        <f t="shared" si="31"/>
        <v>0</v>
      </c>
      <c r="Q56" s="339">
        <f t="shared" si="32"/>
        <v>0</v>
      </c>
      <c r="R56" s="306"/>
    </row>
    <row r="57" spans="1:18" s="26" customFormat="1" ht="25.5" x14ac:dyDescent="0.2">
      <c r="A57" s="612" t="s">
        <v>360</v>
      </c>
      <c r="B57" s="349">
        <v>3129923</v>
      </c>
      <c r="C57" s="248">
        <v>3129923</v>
      </c>
      <c r="D57" s="248">
        <v>3129923</v>
      </c>
      <c r="E57" s="339">
        <f t="shared" si="46"/>
        <v>0</v>
      </c>
      <c r="F57" s="84"/>
      <c r="G57" s="415"/>
      <c r="H57" s="415"/>
      <c r="I57" s="703"/>
      <c r="J57" s="583">
        <f>'2.a tábla ÚJ '!N33</f>
        <v>20000</v>
      </c>
      <c r="K57" s="248">
        <f>'2.a tábla ÚJ '!O33</f>
        <v>20000</v>
      </c>
      <c r="L57" s="248">
        <f>'2.a tábla ÚJ '!P33</f>
        <v>20000</v>
      </c>
      <c r="M57" s="248">
        <f>'2.a tábla ÚJ '!Q33</f>
        <v>0</v>
      </c>
      <c r="N57" s="349">
        <f t="shared" si="30"/>
        <v>3149923</v>
      </c>
      <c r="O57" s="79">
        <f t="shared" si="31"/>
        <v>3149923</v>
      </c>
      <c r="P57" s="79">
        <f t="shared" si="31"/>
        <v>3149923</v>
      </c>
      <c r="Q57" s="339">
        <f t="shared" si="32"/>
        <v>0</v>
      </c>
      <c r="R57" s="306"/>
    </row>
    <row r="58" spans="1:18" s="24" customFormat="1" ht="25.5" customHeight="1" x14ac:dyDescent="0.2">
      <c r="A58" s="611" t="s">
        <v>377</v>
      </c>
      <c r="B58" s="83">
        <f t="shared" ref="B58:E58" si="47">SUM(B59:B63)</f>
        <v>269453434</v>
      </c>
      <c r="C58" s="78">
        <f t="shared" ref="C58" si="48">SUM(C59:C63)</f>
        <v>269453434</v>
      </c>
      <c r="D58" s="78">
        <f t="shared" ref="D58" si="49">SUM(D59:D63)</f>
        <v>269453434</v>
      </c>
      <c r="E58" s="338">
        <f t="shared" si="47"/>
        <v>0</v>
      </c>
      <c r="F58" s="83">
        <f t="shared" ref="F58:H58" si="50">SUM(F59:F63)</f>
        <v>743307</v>
      </c>
      <c r="G58" s="78">
        <f t="shared" ref="G58" si="51">SUM(G59:G63)</f>
        <v>1070000</v>
      </c>
      <c r="H58" s="78">
        <f t="shared" si="50"/>
        <v>1070000</v>
      </c>
      <c r="I58" s="338">
        <f t="shared" ref="I58:Q58" si="52">SUM(I59:I63)</f>
        <v>0</v>
      </c>
      <c r="J58" s="584">
        <f t="shared" ref="J58:M58" si="53">SUM(J59:J63)</f>
        <v>0</v>
      </c>
      <c r="K58" s="249">
        <f t="shared" si="53"/>
        <v>0</v>
      </c>
      <c r="L58" s="249">
        <f t="shared" ref="L58" si="54">SUM(L59:L63)</f>
        <v>0</v>
      </c>
      <c r="M58" s="249">
        <f t="shared" si="53"/>
        <v>0</v>
      </c>
      <c r="N58" s="412">
        <f t="shared" si="52"/>
        <v>270196741</v>
      </c>
      <c r="O58" s="78">
        <f t="shared" ref="O58" si="55">SUM(O59:O63)</f>
        <v>270523434</v>
      </c>
      <c r="P58" s="78">
        <f t="shared" si="52"/>
        <v>270523434</v>
      </c>
      <c r="Q58" s="338">
        <f t="shared" si="52"/>
        <v>0</v>
      </c>
      <c r="R58" s="304"/>
    </row>
    <row r="59" spans="1:18" s="24" customFormat="1" ht="27.75" customHeight="1" x14ac:dyDescent="0.2">
      <c r="A59" s="609" t="s">
        <v>443</v>
      </c>
      <c r="B59" s="84"/>
      <c r="C59" s="248"/>
      <c r="D59" s="248"/>
      <c r="E59" s="339"/>
      <c r="F59" s="628"/>
      <c r="G59" s="415"/>
      <c r="H59" s="415"/>
      <c r="I59" s="703"/>
      <c r="J59" s="585"/>
      <c r="K59" s="415"/>
      <c r="L59" s="415"/>
      <c r="M59" s="415"/>
      <c r="N59" s="412"/>
      <c r="O59" s="249"/>
      <c r="P59" s="249"/>
      <c r="Q59" s="338"/>
      <c r="R59" s="304"/>
    </row>
    <row r="60" spans="1:18" s="26" customFormat="1" ht="14.25" customHeight="1" x14ac:dyDescent="0.2">
      <c r="A60" s="609" t="s">
        <v>444</v>
      </c>
      <c r="B60" s="84">
        <v>269453434</v>
      </c>
      <c r="C60" s="248">
        <v>269453434</v>
      </c>
      <c r="D60" s="248">
        <v>269453434</v>
      </c>
      <c r="E60" s="339">
        <f>D60-C60</f>
        <v>0</v>
      </c>
      <c r="F60" s="628"/>
      <c r="G60" s="415"/>
      <c r="H60" s="415"/>
      <c r="I60" s="703"/>
      <c r="J60" s="585"/>
      <c r="K60" s="415"/>
      <c r="L60" s="415"/>
      <c r="M60" s="415"/>
      <c r="N60" s="349">
        <f t="shared" ref="N60:P63" si="56">B60+J60+F60</f>
        <v>269453434</v>
      </c>
      <c r="O60" s="79">
        <f t="shared" si="56"/>
        <v>269453434</v>
      </c>
      <c r="P60" s="79">
        <f t="shared" si="56"/>
        <v>269453434</v>
      </c>
      <c r="Q60" s="339">
        <f t="shared" ref="Q60:Q63" si="57">E60+M60+I60</f>
        <v>0</v>
      </c>
      <c r="R60" s="306"/>
    </row>
    <row r="61" spans="1:18" s="26" customFormat="1" ht="27" customHeight="1" x14ac:dyDescent="0.2">
      <c r="A61" s="613" t="s">
        <v>445</v>
      </c>
      <c r="B61" s="84"/>
      <c r="C61" s="248"/>
      <c r="D61" s="248"/>
      <c r="E61" s="339"/>
      <c r="F61" s="714">
        <f>'2.a tábla ÚJ '!S37</f>
        <v>743307</v>
      </c>
      <c r="G61" s="416">
        <f>'2.a tábla ÚJ '!T37</f>
        <v>1070000</v>
      </c>
      <c r="H61" s="416">
        <f>'2.a tábla ÚJ '!U37</f>
        <v>1070000</v>
      </c>
      <c r="I61" s="703">
        <f>'2.a tábla ÚJ '!V37</f>
        <v>0</v>
      </c>
      <c r="J61" s="585">
        <f>'2.a tábla ÚJ '!N37</f>
        <v>0</v>
      </c>
      <c r="K61" s="415">
        <f>'2.a tábla ÚJ '!O37</f>
        <v>0</v>
      </c>
      <c r="L61" s="415">
        <f>'2.a tábla ÚJ '!P37</f>
        <v>0</v>
      </c>
      <c r="M61" s="415">
        <f>'2.a tábla ÚJ '!Q37</f>
        <v>0</v>
      </c>
      <c r="N61" s="349">
        <f t="shared" si="56"/>
        <v>743307</v>
      </c>
      <c r="O61" s="79">
        <f t="shared" si="56"/>
        <v>1070000</v>
      </c>
      <c r="P61" s="79">
        <f t="shared" si="56"/>
        <v>1070000</v>
      </c>
      <c r="Q61" s="339">
        <f t="shared" si="57"/>
        <v>0</v>
      </c>
      <c r="R61" s="306"/>
    </row>
    <row r="62" spans="1:18" s="26" customFormat="1" ht="23.25" customHeight="1" x14ac:dyDescent="0.2">
      <c r="A62" s="609" t="s">
        <v>446</v>
      </c>
      <c r="B62" s="84"/>
      <c r="C62" s="248"/>
      <c r="D62" s="248"/>
      <c r="E62" s="339"/>
      <c r="F62" s="84"/>
      <c r="G62" s="415"/>
      <c r="H62" s="415"/>
      <c r="I62" s="703"/>
      <c r="J62" s="583"/>
      <c r="K62" s="415"/>
      <c r="L62" s="415"/>
      <c r="M62" s="415"/>
      <c r="N62" s="349">
        <f t="shared" si="56"/>
        <v>0</v>
      </c>
      <c r="O62" s="79">
        <f t="shared" si="56"/>
        <v>0</v>
      </c>
      <c r="P62" s="79">
        <f t="shared" si="56"/>
        <v>0</v>
      </c>
      <c r="Q62" s="339">
        <f t="shared" si="57"/>
        <v>0</v>
      </c>
      <c r="R62" s="306"/>
    </row>
    <row r="63" spans="1:18" s="26" customFormat="1" ht="39" thickBot="1" x14ac:dyDescent="0.25">
      <c r="A63" s="614" t="s">
        <v>447</v>
      </c>
      <c r="B63" s="496"/>
      <c r="C63" s="413"/>
      <c r="D63" s="413"/>
      <c r="E63" s="340"/>
      <c r="F63" s="496"/>
      <c r="G63" s="581"/>
      <c r="H63" s="581"/>
      <c r="I63" s="715"/>
      <c r="J63" s="712"/>
      <c r="K63" s="581"/>
      <c r="L63" s="581"/>
      <c r="M63" s="581"/>
      <c r="N63" s="414">
        <f t="shared" si="56"/>
        <v>0</v>
      </c>
      <c r="O63" s="300">
        <f t="shared" si="56"/>
        <v>0</v>
      </c>
      <c r="P63" s="300">
        <f t="shared" si="56"/>
        <v>0</v>
      </c>
      <c r="Q63" s="340">
        <f t="shared" si="57"/>
        <v>0</v>
      </c>
      <c r="R63" s="306"/>
    </row>
    <row r="64" spans="1:18" s="26" customFormat="1" ht="28.5" customHeight="1" thickBot="1" x14ac:dyDescent="0.25">
      <c r="A64" s="484" t="s">
        <v>301</v>
      </c>
      <c r="B64" s="1623" t="s">
        <v>407</v>
      </c>
      <c r="C64" s="1624"/>
      <c r="D64" s="1624"/>
      <c r="E64" s="1624"/>
      <c r="F64" s="1623" t="s">
        <v>199</v>
      </c>
      <c r="G64" s="1624"/>
      <c r="H64" s="1624"/>
      <c r="I64" s="1625"/>
      <c r="J64" s="1626" t="s">
        <v>408</v>
      </c>
      <c r="K64" s="1627"/>
      <c r="L64" s="1627"/>
      <c r="M64" s="1627"/>
      <c r="N64" s="1628" t="s">
        <v>409</v>
      </c>
      <c r="O64" s="1627"/>
      <c r="P64" s="1627"/>
      <c r="Q64" s="1629"/>
      <c r="R64" s="306"/>
    </row>
    <row r="65" spans="1:20" s="26" customFormat="1" ht="47.25" customHeight="1" thickBot="1" x14ac:dyDescent="0.25">
      <c r="A65" s="174"/>
      <c r="B65" s="556" t="s">
        <v>657</v>
      </c>
      <c r="C65" s="390" t="s">
        <v>1041</v>
      </c>
      <c r="D65" s="390" t="s">
        <v>1088</v>
      </c>
      <c r="E65" s="391" t="s">
        <v>983</v>
      </c>
      <c r="F65" s="556" t="s">
        <v>657</v>
      </c>
      <c r="G65" s="390" t="s">
        <v>1041</v>
      </c>
      <c r="H65" s="390" t="s">
        <v>1088</v>
      </c>
      <c r="I65" s="391" t="s">
        <v>983</v>
      </c>
      <c r="J65" s="556" t="s">
        <v>657</v>
      </c>
      <c r="K65" s="390" t="s">
        <v>1041</v>
      </c>
      <c r="L65" s="390" t="s">
        <v>1088</v>
      </c>
      <c r="M65" s="391" t="s">
        <v>983</v>
      </c>
      <c r="N65" s="556" t="s">
        <v>657</v>
      </c>
      <c r="O65" s="390" t="s">
        <v>1041</v>
      </c>
      <c r="P65" s="390" t="s">
        <v>1088</v>
      </c>
      <c r="Q65" s="391" t="s">
        <v>983</v>
      </c>
      <c r="R65" s="306"/>
    </row>
    <row r="66" spans="1:20" s="24" customFormat="1" ht="24.75" customHeight="1" x14ac:dyDescent="0.2">
      <c r="A66" s="608" t="s">
        <v>378</v>
      </c>
      <c r="B66" s="211">
        <f t="shared" ref="B66:E66" si="58">SUM(B67:B69)</f>
        <v>3000000</v>
      </c>
      <c r="C66" s="186">
        <f t="shared" si="58"/>
        <v>19720754</v>
      </c>
      <c r="D66" s="186">
        <f t="shared" ref="D66" si="59">SUM(D67:D69)</f>
        <v>19720754</v>
      </c>
      <c r="E66" s="348">
        <f t="shared" si="58"/>
        <v>0</v>
      </c>
      <c r="F66" s="211">
        <f t="shared" ref="F66:H66" si="60">SUM(F67:F69)</f>
        <v>0</v>
      </c>
      <c r="G66" s="186">
        <f t="shared" ref="G66" si="61">SUM(G67:G69)</f>
        <v>0</v>
      </c>
      <c r="H66" s="186">
        <f t="shared" si="60"/>
        <v>0</v>
      </c>
      <c r="I66" s="348">
        <f t="shared" ref="I66:Q66" si="62">SUM(I67:I69)</f>
        <v>0</v>
      </c>
      <c r="J66" s="706">
        <f t="shared" ref="J66:L66" si="63">SUM(J67:J69)</f>
        <v>0</v>
      </c>
      <c r="K66" s="186">
        <f t="shared" ref="K66" si="64">SUM(K67:K69)</f>
        <v>0</v>
      </c>
      <c r="L66" s="186">
        <f t="shared" si="63"/>
        <v>0</v>
      </c>
      <c r="M66" s="186">
        <f t="shared" si="62"/>
        <v>0</v>
      </c>
      <c r="N66" s="211">
        <f t="shared" si="62"/>
        <v>3000000</v>
      </c>
      <c r="O66" s="186">
        <f t="shared" ref="O66" si="65">SUM(O67:O69)</f>
        <v>19720754</v>
      </c>
      <c r="P66" s="186">
        <f t="shared" si="62"/>
        <v>19720754</v>
      </c>
      <c r="Q66" s="348">
        <f t="shared" si="62"/>
        <v>0</v>
      </c>
      <c r="R66" s="304"/>
    </row>
    <row r="67" spans="1:20" s="24" customFormat="1" ht="34.5" customHeight="1" x14ac:dyDescent="0.2">
      <c r="A67" s="609" t="s">
        <v>24</v>
      </c>
      <c r="B67" s="628"/>
      <c r="C67" s="415"/>
      <c r="D67" s="415"/>
      <c r="E67" s="703"/>
      <c r="F67" s="628"/>
      <c r="G67" s="415"/>
      <c r="H67" s="415"/>
      <c r="I67" s="703"/>
      <c r="J67" s="585"/>
      <c r="K67" s="415"/>
      <c r="L67" s="415"/>
      <c r="M67" s="415"/>
      <c r="N67" s="84">
        <f t="shared" ref="N67:P68" si="66">B67+F67+J67</f>
        <v>0</v>
      </c>
      <c r="O67" s="79">
        <f t="shared" si="66"/>
        <v>0</v>
      </c>
      <c r="P67" s="79">
        <f t="shared" si="66"/>
        <v>0</v>
      </c>
      <c r="Q67" s="339">
        <f t="shared" ref="Q67:Q68" si="67">E67+I67+M67</f>
        <v>0</v>
      </c>
      <c r="R67" s="304"/>
    </row>
    <row r="68" spans="1:20" s="26" customFormat="1" ht="60" customHeight="1" x14ac:dyDescent="0.2">
      <c r="A68" s="609" t="s">
        <v>25</v>
      </c>
      <c r="B68" s="84">
        <v>3000000</v>
      </c>
      <c r="C68" s="248">
        <v>19000000</v>
      </c>
      <c r="D68" s="248">
        <v>19000000</v>
      </c>
      <c r="E68" s="339">
        <f>D68-C68</f>
        <v>0</v>
      </c>
      <c r="F68" s="84"/>
      <c r="G68" s="415"/>
      <c r="H68" s="415"/>
      <c r="I68" s="703"/>
      <c r="J68" s="583"/>
      <c r="K68" s="415"/>
      <c r="L68" s="415"/>
      <c r="M68" s="415"/>
      <c r="N68" s="84">
        <f t="shared" si="66"/>
        <v>3000000</v>
      </c>
      <c r="O68" s="79">
        <f t="shared" si="66"/>
        <v>19000000</v>
      </c>
      <c r="P68" s="79">
        <f t="shared" si="66"/>
        <v>19000000</v>
      </c>
      <c r="Q68" s="339">
        <f t="shared" si="67"/>
        <v>0</v>
      </c>
      <c r="R68" s="307"/>
    </row>
    <row r="69" spans="1:20" s="26" customFormat="1" ht="27" customHeight="1" x14ac:dyDescent="0.2">
      <c r="A69" s="609" t="s">
        <v>26</v>
      </c>
      <c r="B69" s="84">
        <v>0</v>
      </c>
      <c r="C69" s="248">
        <v>720754</v>
      </c>
      <c r="D69" s="248">
        <v>720754</v>
      </c>
      <c r="E69" s="339">
        <f>D69-C69</f>
        <v>0</v>
      </c>
      <c r="F69" s="84"/>
      <c r="G69" s="415"/>
      <c r="H69" s="415"/>
      <c r="I69" s="703"/>
      <c r="J69" s="585">
        <f>'2.a tábla ÚJ '!N41</f>
        <v>0</v>
      </c>
      <c r="K69" s="415">
        <f>'2.a tábla ÚJ '!O41</f>
        <v>0</v>
      </c>
      <c r="L69" s="415">
        <f>'2.a tábla ÚJ '!P41</f>
        <v>0</v>
      </c>
      <c r="M69" s="415">
        <f>'2.a tábla ÚJ '!Q41</f>
        <v>0</v>
      </c>
      <c r="N69" s="84">
        <f>SUM(B69+F69+J69)</f>
        <v>0</v>
      </c>
      <c r="O69" s="79">
        <f>SUM(C69+G69+K69)</f>
        <v>720754</v>
      </c>
      <c r="P69" s="79">
        <f>SUM(D69+H69+L69)</f>
        <v>720754</v>
      </c>
      <c r="Q69" s="339">
        <f>SUM(E69+I69+M69)</f>
        <v>0</v>
      </c>
      <c r="R69" s="306"/>
    </row>
    <row r="70" spans="1:20" s="24" customFormat="1" ht="22.7" customHeight="1" x14ac:dyDescent="0.2">
      <c r="A70" s="624" t="s">
        <v>379</v>
      </c>
      <c r="B70" s="83">
        <f t="shared" ref="B70:E70" si="68">SUM(B71:B73)</f>
        <v>227000542</v>
      </c>
      <c r="C70" s="78">
        <f t="shared" ref="C70" si="69">SUM(C71:C73)</f>
        <v>223000542</v>
      </c>
      <c r="D70" s="78">
        <f t="shared" ref="D70" si="70">SUM(D71:D73)</f>
        <v>223000542</v>
      </c>
      <c r="E70" s="338">
        <f t="shared" si="68"/>
        <v>0</v>
      </c>
      <c r="F70" s="83">
        <f t="shared" ref="F70:H70" si="71">SUM(F71:F73)</f>
        <v>0</v>
      </c>
      <c r="G70" s="78">
        <f t="shared" ref="G70" si="72">SUM(G71:G73)</f>
        <v>0</v>
      </c>
      <c r="H70" s="78">
        <f t="shared" si="71"/>
        <v>0</v>
      </c>
      <c r="I70" s="338">
        <f t="shared" ref="I70" si="73">SUM(I71:I73)</f>
        <v>0</v>
      </c>
      <c r="J70" s="584"/>
      <c r="K70" s="249"/>
      <c r="L70" s="249"/>
      <c r="M70" s="249"/>
      <c r="N70" s="412">
        <f>SUM(N71:N73)</f>
        <v>227000542</v>
      </c>
      <c r="O70" s="78">
        <f>SUM(O71:O73)</f>
        <v>223000542</v>
      </c>
      <c r="P70" s="78">
        <f>SUM(P71:P73)</f>
        <v>223000542</v>
      </c>
      <c r="Q70" s="338">
        <f>SUM(Q71:Q73)</f>
        <v>0</v>
      </c>
      <c r="R70" s="308"/>
    </row>
    <row r="71" spans="1:20" s="26" customFormat="1" ht="59.25" customHeight="1" x14ac:dyDescent="0.2">
      <c r="A71" s="609" t="s">
        <v>27</v>
      </c>
      <c r="B71" s="628"/>
      <c r="C71" s="415"/>
      <c r="D71" s="415"/>
      <c r="E71" s="703"/>
      <c r="F71" s="628"/>
      <c r="G71" s="415"/>
      <c r="H71" s="415"/>
      <c r="I71" s="703"/>
      <c r="J71" s="585"/>
      <c r="K71" s="415"/>
      <c r="L71" s="415"/>
      <c r="M71" s="415"/>
      <c r="N71" s="84">
        <f t="shared" ref="N71:P73" si="74">B71+F71+J71</f>
        <v>0</v>
      </c>
      <c r="O71" s="79">
        <f t="shared" si="74"/>
        <v>0</v>
      </c>
      <c r="P71" s="79">
        <f t="shared" si="74"/>
        <v>0</v>
      </c>
      <c r="Q71" s="339">
        <f t="shared" ref="Q71:Q73" si="75">E71+I71+M71</f>
        <v>0</v>
      </c>
      <c r="R71" s="306"/>
    </row>
    <row r="72" spans="1:20" s="26" customFormat="1" ht="64.5" customHeight="1" x14ac:dyDescent="0.2">
      <c r="A72" s="609" t="s">
        <v>28</v>
      </c>
      <c r="B72" s="84">
        <v>227000542</v>
      </c>
      <c r="C72" s="248">
        <v>211000542</v>
      </c>
      <c r="D72" s="248">
        <v>211000542</v>
      </c>
      <c r="E72" s="339">
        <f>D72-C72</f>
        <v>0</v>
      </c>
      <c r="F72" s="84"/>
      <c r="G72" s="415"/>
      <c r="H72" s="415"/>
      <c r="I72" s="703"/>
      <c r="J72" s="583"/>
      <c r="K72" s="415"/>
      <c r="L72" s="415"/>
      <c r="M72" s="415"/>
      <c r="N72" s="84">
        <f t="shared" si="74"/>
        <v>227000542</v>
      </c>
      <c r="O72" s="79">
        <f t="shared" si="74"/>
        <v>211000542</v>
      </c>
      <c r="P72" s="79">
        <f t="shared" si="74"/>
        <v>211000542</v>
      </c>
      <c r="Q72" s="339">
        <f t="shared" si="75"/>
        <v>0</v>
      </c>
      <c r="R72" s="306"/>
    </row>
    <row r="73" spans="1:20" s="26" customFormat="1" ht="24.75" customHeight="1" x14ac:dyDescent="0.2">
      <c r="A73" s="609" t="s">
        <v>29</v>
      </c>
      <c r="B73" s="84"/>
      <c r="C73" s="248">
        <v>12000000</v>
      </c>
      <c r="D73" s="248">
        <v>12000000</v>
      </c>
      <c r="E73" s="339">
        <f>D73-C73</f>
        <v>0</v>
      </c>
      <c r="F73" s="84"/>
      <c r="G73" s="415"/>
      <c r="H73" s="415"/>
      <c r="I73" s="703"/>
      <c r="J73" s="585"/>
      <c r="K73" s="415"/>
      <c r="L73" s="415"/>
      <c r="M73" s="415"/>
      <c r="N73" s="84">
        <f t="shared" si="74"/>
        <v>0</v>
      </c>
      <c r="O73" s="79">
        <f t="shared" si="74"/>
        <v>12000000</v>
      </c>
      <c r="P73" s="79">
        <f t="shared" si="74"/>
        <v>12000000</v>
      </c>
      <c r="Q73" s="339">
        <f t="shared" si="75"/>
        <v>0</v>
      </c>
      <c r="R73" s="306"/>
    </row>
    <row r="74" spans="1:20" s="24" customFormat="1" ht="24.75" customHeight="1" x14ac:dyDescent="0.2">
      <c r="A74" s="611" t="s">
        <v>380</v>
      </c>
      <c r="B74" s="83">
        <f t="shared" ref="B74:E74" si="76">B70+B66+B58+B43+B30+B22+B7</f>
        <v>9419612974</v>
      </c>
      <c r="C74" s="78">
        <f t="shared" si="76"/>
        <v>10687829818</v>
      </c>
      <c r="D74" s="78">
        <f t="shared" ref="D74" si="77">D70+D66+D58+D43+D30+D22+D7</f>
        <v>10687757271</v>
      </c>
      <c r="E74" s="338">
        <f t="shared" si="76"/>
        <v>-72547</v>
      </c>
      <c r="F74" s="83">
        <f>F70+F66+F58+F43+F30+F22+F7</f>
        <v>64232559</v>
      </c>
      <c r="G74" s="78">
        <f t="shared" ref="G74" si="78">G70+G66+G58+G43+G30+G22+G7</f>
        <v>58166385</v>
      </c>
      <c r="H74" s="78">
        <f t="shared" ref="H74" si="79">H70+H66+H58+H43+H30+H22+H7</f>
        <v>58166385</v>
      </c>
      <c r="I74" s="338">
        <f t="shared" ref="I74:P74" si="80">I70+I66+I58+I43+I30+I22+I7</f>
        <v>0</v>
      </c>
      <c r="J74" s="584">
        <f>J70+J66+J58+J43+J30+J22+J7</f>
        <v>193668326</v>
      </c>
      <c r="K74" s="78">
        <f t="shared" ref="K74" si="81">K70+K66+K58+K43+K30+K22+K7</f>
        <v>222638275</v>
      </c>
      <c r="L74" s="78">
        <f t="shared" ref="L74" si="82">L70+L66+L58+L43+L30+L22+L7</f>
        <v>222638275</v>
      </c>
      <c r="M74" s="78">
        <f t="shared" si="80"/>
        <v>0</v>
      </c>
      <c r="N74" s="83">
        <f t="shared" si="80"/>
        <v>9677513859</v>
      </c>
      <c r="O74" s="78">
        <f t="shared" ref="O74" si="83">O70+O66+O58+O43+O30+O22+O7</f>
        <v>10968634478</v>
      </c>
      <c r="P74" s="78">
        <f t="shared" si="80"/>
        <v>10968561931</v>
      </c>
      <c r="Q74" s="338">
        <f>Q70+Q66+Q58+Q43+Q30+Q22+Q7</f>
        <v>-72547</v>
      </c>
      <c r="R74" s="304">
        <f>M74+I74+E74</f>
        <v>-72547</v>
      </c>
      <c r="T74" s="23"/>
    </row>
    <row r="75" spans="1:20" s="24" customFormat="1" ht="24.75" customHeight="1" x14ac:dyDescent="0.2">
      <c r="A75" s="624" t="s">
        <v>381</v>
      </c>
      <c r="B75" s="83">
        <f t="shared" ref="B75:E75" si="84">B76+B79</f>
        <v>3302178782</v>
      </c>
      <c r="C75" s="78">
        <f t="shared" si="84"/>
        <v>5356753190</v>
      </c>
      <c r="D75" s="78">
        <f t="shared" ref="D75" si="85">D76+D79</f>
        <v>5385635464</v>
      </c>
      <c r="E75" s="338">
        <f t="shared" si="84"/>
        <v>28882274</v>
      </c>
      <c r="F75" s="83">
        <f t="shared" ref="F75:H75" si="86">F76+F79</f>
        <v>0</v>
      </c>
      <c r="G75" s="78">
        <f t="shared" ref="G75" si="87">G76+G79</f>
        <v>35572714</v>
      </c>
      <c r="H75" s="78">
        <f t="shared" si="86"/>
        <v>35572194</v>
      </c>
      <c r="I75" s="338">
        <f t="shared" ref="I75:Q75" si="88">I76+I79</f>
        <v>-520</v>
      </c>
      <c r="J75" s="584">
        <f t="shared" ref="J75:L75" si="89">J76+J79</f>
        <v>10705437</v>
      </c>
      <c r="K75" s="78">
        <f t="shared" ref="K75" si="90">K76+K79</f>
        <v>28881660</v>
      </c>
      <c r="L75" s="78">
        <f t="shared" si="89"/>
        <v>28693754</v>
      </c>
      <c r="M75" s="78">
        <f t="shared" si="88"/>
        <v>-187906</v>
      </c>
      <c r="N75" s="83">
        <f t="shared" si="88"/>
        <v>3312884219</v>
      </c>
      <c r="O75" s="78">
        <f t="shared" ref="O75" si="91">O76+O79</f>
        <v>5421207564</v>
      </c>
      <c r="P75" s="78">
        <f t="shared" si="88"/>
        <v>5449901412</v>
      </c>
      <c r="Q75" s="338">
        <f t="shared" si="88"/>
        <v>28693848</v>
      </c>
      <c r="R75" s="304"/>
      <c r="T75" s="23"/>
    </row>
    <row r="76" spans="1:20" s="24" customFormat="1" ht="46.5" customHeight="1" x14ac:dyDescent="0.2">
      <c r="A76" s="624" t="s">
        <v>30</v>
      </c>
      <c r="B76" s="83">
        <f t="shared" ref="B76" si="92">SUM(B77:B78)</f>
        <v>2863791597</v>
      </c>
      <c r="C76" s="78">
        <f t="shared" ref="C76" si="93">SUM(C77:C78)</f>
        <v>3054641190</v>
      </c>
      <c r="D76" s="78">
        <f t="shared" ref="D76" si="94">SUM(D77:D78)</f>
        <v>3048102611</v>
      </c>
      <c r="E76" s="338">
        <f>SUM(E77:E78)</f>
        <v>-6538579</v>
      </c>
      <c r="F76" s="83">
        <f t="shared" ref="F76:H76" si="95">SUM(F77:F78)</f>
        <v>0</v>
      </c>
      <c r="G76" s="78">
        <f t="shared" ref="G76" si="96">SUM(G77:G78)</f>
        <v>35572714</v>
      </c>
      <c r="H76" s="78">
        <f t="shared" si="95"/>
        <v>35572194</v>
      </c>
      <c r="I76" s="338">
        <f t="shared" ref="I76:M76" si="97">SUM(I77:I78)</f>
        <v>-520</v>
      </c>
      <c r="J76" s="584">
        <f t="shared" ref="J76:L76" si="98">SUM(J77:J78)</f>
        <v>10705437</v>
      </c>
      <c r="K76" s="78">
        <f t="shared" ref="K76" si="99">SUM(K77:K78)</f>
        <v>28881660</v>
      </c>
      <c r="L76" s="78">
        <f t="shared" si="98"/>
        <v>28693754</v>
      </c>
      <c r="M76" s="78">
        <f t="shared" si="97"/>
        <v>-187906</v>
      </c>
      <c r="N76" s="83">
        <f>B76+J76+F76</f>
        <v>2874497034</v>
      </c>
      <c r="O76" s="78">
        <f>C76+K76+G76</f>
        <v>3119095564</v>
      </c>
      <c r="P76" s="78">
        <f>D76+L76+H76</f>
        <v>3112368559</v>
      </c>
      <c r="Q76" s="338">
        <f>E76+M76+I76</f>
        <v>-6727005</v>
      </c>
      <c r="R76" s="304"/>
    </row>
    <row r="77" spans="1:20" s="26" customFormat="1" ht="66.2" customHeight="1" x14ac:dyDescent="0.2">
      <c r="A77" s="624" t="s">
        <v>462</v>
      </c>
      <c r="B77" s="84">
        <v>169496533</v>
      </c>
      <c r="C77" s="79">
        <v>121031215</v>
      </c>
      <c r="D77" s="79">
        <f>121031215-6538579</f>
        <v>114492636</v>
      </c>
      <c r="E77" s="339">
        <f>D77-C77</f>
        <v>-6538579</v>
      </c>
      <c r="F77" s="349">
        <f>'2.a tábla ÚJ '!S47</f>
        <v>0</v>
      </c>
      <c r="G77" s="79">
        <f>'2.a tábla ÚJ '!T47</f>
        <v>27144823</v>
      </c>
      <c r="H77" s="79">
        <f>'2.a tábla ÚJ '!U47</f>
        <v>27144303</v>
      </c>
      <c r="I77" s="339">
        <f>'2.a tábla ÚJ '!V47</f>
        <v>-520</v>
      </c>
      <c r="J77" s="583">
        <f>'2.a tábla ÚJ '!N47</f>
        <v>268437</v>
      </c>
      <c r="K77" s="248">
        <f>'2.a tábla ÚJ '!O47</f>
        <v>14588409</v>
      </c>
      <c r="L77" s="248">
        <f>'2.a tábla ÚJ '!P47</f>
        <v>14589408</v>
      </c>
      <c r="M77" s="248">
        <f>'2.a tábla ÚJ '!Q47</f>
        <v>999</v>
      </c>
      <c r="N77" s="84">
        <f t="shared" ref="N77:P78" si="100">B77+F77+J77</f>
        <v>169764970</v>
      </c>
      <c r="O77" s="79">
        <f t="shared" si="100"/>
        <v>162764447</v>
      </c>
      <c r="P77" s="79">
        <f t="shared" si="100"/>
        <v>156226347</v>
      </c>
      <c r="Q77" s="339">
        <f t="shared" ref="Q77:Q82" si="101">E77+I77+M77</f>
        <v>-6538100</v>
      </c>
      <c r="R77" s="307"/>
    </row>
    <row r="78" spans="1:20" s="26" customFormat="1" ht="72" customHeight="1" x14ac:dyDescent="0.2">
      <c r="A78" s="609" t="s">
        <v>31</v>
      </c>
      <c r="B78" s="84">
        <v>2694295064</v>
      </c>
      <c r="C78" s="79">
        <v>2933609975</v>
      </c>
      <c r="D78" s="79">
        <v>2933609975</v>
      </c>
      <c r="E78" s="339">
        <f>D78-C78</f>
        <v>0</v>
      </c>
      <c r="F78" s="349">
        <f>'2.a tábla ÚJ '!S48</f>
        <v>0</v>
      </c>
      <c r="G78" s="79">
        <f>'2.a tábla ÚJ '!T48</f>
        <v>8427891</v>
      </c>
      <c r="H78" s="79">
        <f>'2.a tábla ÚJ '!U48</f>
        <v>8427891</v>
      </c>
      <c r="I78" s="339">
        <f>'2.a tábla ÚJ '!V48</f>
        <v>0</v>
      </c>
      <c r="J78" s="583">
        <f>'2.a tábla ÚJ '!N48</f>
        <v>10437000</v>
      </c>
      <c r="K78" s="248">
        <f>'2.a tábla ÚJ '!O48</f>
        <v>14293251</v>
      </c>
      <c r="L78" s="248">
        <f>'2.a tábla ÚJ '!P48</f>
        <v>14104346</v>
      </c>
      <c r="M78" s="248">
        <f>'2.a tábla ÚJ '!Q48</f>
        <v>-188905</v>
      </c>
      <c r="N78" s="349">
        <f t="shared" si="100"/>
        <v>2704732064</v>
      </c>
      <c r="O78" s="79">
        <f t="shared" si="100"/>
        <v>2956331117</v>
      </c>
      <c r="P78" s="79">
        <f t="shared" si="100"/>
        <v>2956142212</v>
      </c>
      <c r="Q78" s="339">
        <f t="shared" si="101"/>
        <v>-188905</v>
      </c>
      <c r="R78" s="306"/>
    </row>
    <row r="79" spans="1:20" s="24" customFormat="1" ht="51" customHeight="1" x14ac:dyDescent="0.2">
      <c r="A79" s="624" t="s">
        <v>32</v>
      </c>
      <c r="B79" s="83">
        <f t="shared" ref="B79:E79" si="102">B80+B84+B89+B90</f>
        <v>438387185</v>
      </c>
      <c r="C79" s="78">
        <f t="shared" si="102"/>
        <v>2302112000</v>
      </c>
      <c r="D79" s="78">
        <f t="shared" ref="D79" si="103">D80+D84+D89+D90</f>
        <v>2337532853</v>
      </c>
      <c r="E79" s="338">
        <f t="shared" si="102"/>
        <v>35420853</v>
      </c>
      <c r="F79" s="83">
        <f t="shared" ref="F79:Q79" si="104">F80+F84+F89+F90</f>
        <v>0</v>
      </c>
      <c r="G79" s="78">
        <f t="shared" si="104"/>
        <v>0</v>
      </c>
      <c r="H79" s="78">
        <f t="shared" ref="H79" si="105">H80+H84+H89+H90</f>
        <v>0</v>
      </c>
      <c r="I79" s="338">
        <f t="shared" si="104"/>
        <v>0</v>
      </c>
      <c r="J79" s="584">
        <f t="shared" ref="J79:L79" si="106">J80+J84+J89+J90</f>
        <v>0</v>
      </c>
      <c r="K79" s="78">
        <f t="shared" ref="K79" si="107">K80+K84+K89+K90</f>
        <v>0</v>
      </c>
      <c r="L79" s="78">
        <f t="shared" si="106"/>
        <v>0</v>
      </c>
      <c r="M79" s="78">
        <f t="shared" si="104"/>
        <v>0</v>
      </c>
      <c r="N79" s="83">
        <f t="shared" si="104"/>
        <v>438387185</v>
      </c>
      <c r="O79" s="78">
        <f t="shared" ref="O79" si="108">O80+O84+O89+O90</f>
        <v>2302112000</v>
      </c>
      <c r="P79" s="78">
        <f t="shared" si="104"/>
        <v>2337532853</v>
      </c>
      <c r="Q79" s="338">
        <f t="shared" si="104"/>
        <v>35420853</v>
      </c>
      <c r="R79" s="309"/>
    </row>
    <row r="80" spans="1:20" s="24" customFormat="1" ht="38.25" customHeight="1" x14ac:dyDescent="0.2">
      <c r="A80" s="611" t="s">
        <v>33</v>
      </c>
      <c r="B80" s="83"/>
      <c r="C80" s="249">
        <f>SUM(C81:C83)</f>
        <v>1520000000</v>
      </c>
      <c r="D80" s="249">
        <f>SUM(D81:D83)</f>
        <v>1520000000</v>
      </c>
      <c r="E80" s="338">
        <f>D80-C80</f>
        <v>0</v>
      </c>
      <c r="F80" s="83">
        <f t="shared" ref="F80:G80" si="109">SUM(F81:F83)</f>
        <v>0</v>
      </c>
      <c r="G80" s="78">
        <f t="shared" si="109"/>
        <v>0</v>
      </c>
      <c r="H80" s="78">
        <f t="shared" ref="H80" si="110">SUM(H81:H83)</f>
        <v>0</v>
      </c>
      <c r="I80" s="338">
        <f t="shared" ref="I80:P80" si="111">SUM(I81:I83)</f>
        <v>0</v>
      </c>
      <c r="J80" s="584">
        <f t="shared" ref="J80" si="112">SUM(J81:J83)</f>
        <v>0</v>
      </c>
      <c r="K80" s="249"/>
      <c r="L80" s="249"/>
      <c r="M80" s="249"/>
      <c r="N80" s="83">
        <f t="shared" si="111"/>
        <v>0</v>
      </c>
      <c r="O80" s="78">
        <f t="shared" ref="O80" si="113">SUM(O81:O83)</f>
        <v>1520000000</v>
      </c>
      <c r="P80" s="78">
        <f t="shared" si="111"/>
        <v>1520000000</v>
      </c>
      <c r="Q80" s="338">
        <f t="shared" si="101"/>
        <v>0</v>
      </c>
      <c r="R80" s="309"/>
    </row>
    <row r="81" spans="1:18" s="26" customFormat="1" ht="23.25" customHeight="1" x14ac:dyDescent="0.2">
      <c r="A81" s="609" t="s">
        <v>34</v>
      </c>
      <c r="B81" s="628"/>
      <c r="C81" s="415">
        <v>720000000</v>
      </c>
      <c r="D81" s="415">
        <v>720000000</v>
      </c>
      <c r="E81" s="339">
        <f>D81-C81</f>
        <v>0</v>
      </c>
      <c r="F81" s="628"/>
      <c r="G81" s="415"/>
      <c r="H81" s="415"/>
      <c r="I81" s="703"/>
      <c r="J81" s="585"/>
      <c r="K81" s="415"/>
      <c r="L81" s="415"/>
      <c r="M81" s="415"/>
      <c r="N81" s="84">
        <f t="shared" ref="N81:N90" si="114">B81+J81</f>
        <v>0</v>
      </c>
      <c r="O81" s="79">
        <f t="shared" ref="O81:P90" si="115">C81+K81</f>
        <v>720000000</v>
      </c>
      <c r="P81" s="79">
        <f t="shared" si="115"/>
        <v>720000000</v>
      </c>
      <c r="Q81" s="339">
        <f t="shared" si="101"/>
        <v>0</v>
      </c>
      <c r="R81" s="309"/>
    </row>
    <row r="82" spans="1:18" s="26" customFormat="1" ht="38.25" x14ac:dyDescent="0.2">
      <c r="A82" s="609" t="s">
        <v>35</v>
      </c>
      <c r="B82" s="628"/>
      <c r="C82" s="415">
        <v>800000000</v>
      </c>
      <c r="D82" s="415">
        <v>800000000</v>
      </c>
      <c r="E82" s="339">
        <f t="shared" ref="E82:E83" si="116">D82-C82</f>
        <v>0</v>
      </c>
      <c r="F82" s="628"/>
      <c r="G82" s="415"/>
      <c r="H82" s="415"/>
      <c r="I82" s="703"/>
      <c r="J82" s="585"/>
      <c r="K82" s="415"/>
      <c r="L82" s="415"/>
      <c r="M82" s="415"/>
      <c r="N82" s="84">
        <f t="shared" si="114"/>
        <v>0</v>
      </c>
      <c r="O82" s="79">
        <f t="shared" si="115"/>
        <v>800000000</v>
      </c>
      <c r="P82" s="79">
        <f t="shared" si="115"/>
        <v>800000000</v>
      </c>
      <c r="Q82" s="339">
        <f t="shared" si="101"/>
        <v>0</v>
      </c>
      <c r="R82" s="309"/>
    </row>
    <row r="83" spans="1:18" s="26" customFormat="1" ht="23.25" customHeight="1" x14ac:dyDescent="0.2">
      <c r="A83" s="609" t="s">
        <v>36</v>
      </c>
      <c r="B83" s="628"/>
      <c r="C83" s="415"/>
      <c r="D83" s="415"/>
      <c r="E83" s="339">
        <f t="shared" si="116"/>
        <v>0</v>
      </c>
      <c r="F83" s="628"/>
      <c r="G83" s="415"/>
      <c r="H83" s="415"/>
      <c r="I83" s="703"/>
      <c r="J83" s="585"/>
      <c r="K83" s="415"/>
      <c r="L83" s="415"/>
      <c r="M83" s="415"/>
      <c r="N83" s="84">
        <f t="shared" si="114"/>
        <v>0</v>
      </c>
      <c r="O83" s="79">
        <f t="shared" si="115"/>
        <v>0</v>
      </c>
      <c r="P83" s="79">
        <f t="shared" si="115"/>
        <v>0</v>
      </c>
      <c r="Q83" s="339"/>
      <c r="R83" s="309"/>
    </row>
    <row r="84" spans="1:18" s="24" customFormat="1" ht="27" customHeight="1" x14ac:dyDescent="0.2">
      <c r="A84" s="611" t="s">
        <v>37</v>
      </c>
      <c r="B84" s="83">
        <f>SUM(B85:B88)</f>
        <v>425587185</v>
      </c>
      <c r="C84" s="78">
        <f>SUM(C85:C88)</f>
        <v>769312000</v>
      </c>
      <c r="D84" s="78">
        <f>SUM(D85:D88)</f>
        <v>769312000</v>
      </c>
      <c r="E84" s="338">
        <f>SUM(E85:E88)</f>
        <v>0</v>
      </c>
      <c r="F84" s="83"/>
      <c r="G84" s="249"/>
      <c r="H84" s="249"/>
      <c r="I84" s="338"/>
      <c r="J84" s="584"/>
      <c r="K84" s="249"/>
      <c r="L84" s="249"/>
      <c r="M84" s="249"/>
      <c r="N84" s="83">
        <f t="shared" si="114"/>
        <v>425587185</v>
      </c>
      <c r="O84" s="78">
        <f t="shared" si="115"/>
        <v>769312000</v>
      </c>
      <c r="P84" s="78">
        <f t="shared" si="115"/>
        <v>769312000</v>
      </c>
      <c r="Q84" s="338">
        <f>E84+M84</f>
        <v>0</v>
      </c>
      <c r="R84" s="308"/>
    </row>
    <row r="85" spans="1:18" s="26" customFormat="1" ht="38.25" x14ac:dyDescent="0.2">
      <c r="A85" s="625" t="s">
        <v>525</v>
      </c>
      <c r="B85" s="628">
        <v>425587185</v>
      </c>
      <c r="C85" s="415">
        <v>769312000</v>
      </c>
      <c r="D85" s="415">
        <v>769312000</v>
      </c>
      <c r="E85" s="703">
        <f>D85-C85</f>
        <v>0</v>
      </c>
      <c r="F85" s="84"/>
      <c r="G85" s="415"/>
      <c r="H85" s="415"/>
      <c r="I85" s="703"/>
      <c r="J85" s="583"/>
      <c r="K85" s="415"/>
      <c r="L85" s="415"/>
      <c r="M85" s="415"/>
      <c r="N85" s="84">
        <f t="shared" si="114"/>
        <v>425587185</v>
      </c>
      <c r="O85" s="79">
        <f t="shared" si="115"/>
        <v>769312000</v>
      </c>
      <c r="P85" s="79">
        <f t="shared" si="115"/>
        <v>769312000</v>
      </c>
      <c r="Q85" s="339">
        <f>E85+M85</f>
        <v>0</v>
      </c>
      <c r="R85" s="306"/>
    </row>
    <row r="86" spans="1:18" s="26" customFormat="1" ht="23.25" customHeight="1" x14ac:dyDescent="0.2">
      <c r="A86" s="610" t="s">
        <v>38</v>
      </c>
      <c r="B86" s="628"/>
      <c r="C86" s="415"/>
      <c r="D86" s="415"/>
      <c r="E86" s="703"/>
      <c r="F86" s="628"/>
      <c r="G86" s="415"/>
      <c r="H86" s="415"/>
      <c r="I86" s="703"/>
      <c r="J86" s="585"/>
      <c r="K86" s="415"/>
      <c r="L86" s="415"/>
      <c r="M86" s="415"/>
      <c r="N86" s="84">
        <f t="shared" si="114"/>
        <v>0</v>
      </c>
      <c r="O86" s="79">
        <f t="shared" si="115"/>
        <v>0</v>
      </c>
      <c r="P86" s="79">
        <f t="shared" si="115"/>
        <v>0</v>
      </c>
      <c r="Q86" s="339"/>
      <c r="R86" s="306"/>
    </row>
    <row r="87" spans="1:18" s="24" customFormat="1" ht="38.25" x14ac:dyDescent="0.2">
      <c r="A87" s="610" t="s">
        <v>39</v>
      </c>
      <c r="B87" s="628"/>
      <c r="C87" s="415"/>
      <c r="D87" s="415"/>
      <c r="E87" s="703"/>
      <c r="F87" s="628"/>
      <c r="G87" s="415"/>
      <c r="H87" s="415"/>
      <c r="I87" s="703"/>
      <c r="J87" s="585"/>
      <c r="K87" s="415"/>
      <c r="L87" s="415"/>
      <c r="M87" s="415"/>
      <c r="N87" s="84">
        <f t="shared" si="114"/>
        <v>0</v>
      </c>
      <c r="O87" s="79">
        <f t="shared" si="115"/>
        <v>0</v>
      </c>
      <c r="P87" s="79">
        <f t="shared" si="115"/>
        <v>0</v>
      </c>
      <c r="Q87" s="339"/>
      <c r="R87" s="308"/>
    </row>
    <row r="88" spans="1:18" s="24" customFormat="1" ht="25.5" customHeight="1" x14ac:dyDescent="0.2">
      <c r="A88" s="610" t="s">
        <v>40</v>
      </c>
      <c r="B88" s="628"/>
      <c r="C88" s="415"/>
      <c r="D88" s="415"/>
      <c r="E88" s="703"/>
      <c r="F88" s="628"/>
      <c r="G88" s="415"/>
      <c r="H88" s="415"/>
      <c r="I88" s="703"/>
      <c r="J88" s="585"/>
      <c r="K88" s="415"/>
      <c r="L88" s="415"/>
      <c r="M88" s="415"/>
      <c r="N88" s="84">
        <f t="shared" si="114"/>
        <v>0</v>
      </c>
      <c r="O88" s="79">
        <f t="shared" si="115"/>
        <v>0</v>
      </c>
      <c r="P88" s="79">
        <f t="shared" si="115"/>
        <v>0</v>
      </c>
      <c r="Q88" s="339"/>
      <c r="R88" s="308"/>
    </row>
    <row r="89" spans="1:18" s="24" customFormat="1" ht="17.45" customHeight="1" x14ac:dyDescent="0.2">
      <c r="A89" s="611" t="s">
        <v>217</v>
      </c>
      <c r="B89" s="629"/>
      <c r="C89" s="417"/>
      <c r="D89" s="417"/>
      <c r="E89" s="704"/>
      <c r="F89" s="629"/>
      <c r="G89" s="417"/>
      <c r="H89" s="417"/>
      <c r="I89" s="704"/>
      <c r="J89" s="713"/>
      <c r="K89" s="417"/>
      <c r="L89" s="417"/>
      <c r="M89" s="417"/>
      <c r="N89" s="83">
        <f t="shared" si="114"/>
        <v>0</v>
      </c>
      <c r="O89" s="78">
        <f t="shared" si="115"/>
        <v>0</v>
      </c>
      <c r="P89" s="78">
        <f t="shared" si="115"/>
        <v>0</v>
      </c>
      <c r="Q89" s="338"/>
      <c r="R89" s="308"/>
    </row>
    <row r="90" spans="1:18" s="24" customFormat="1" ht="25.5" customHeight="1" x14ac:dyDescent="0.2">
      <c r="A90" s="611" t="s">
        <v>328</v>
      </c>
      <c r="B90" s="629">
        <v>12800000</v>
      </c>
      <c r="C90" s="1387">
        <v>12800000</v>
      </c>
      <c r="D90" s="1387">
        <f>12800000+35420853</f>
        <v>48220853</v>
      </c>
      <c r="E90" s="704">
        <f>D90-C90</f>
        <v>35420853</v>
      </c>
      <c r="F90" s="83"/>
      <c r="G90" s="417"/>
      <c r="H90" s="417"/>
      <c r="I90" s="704"/>
      <c r="J90" s="584"/>
      <c r="K90" s="417"/>
      <c r="L90" s="417"/>
      <c r="M90" s="417"/>
      <c r="N90" s="83">
        <f t="shared" si="114"/>
        <v>12800000</v>
      </c>
      <c r="O90" s="78">
        <f t="shared" si="115"/>
        <v>12800000</v>
      </c>
      <c r="P90" s="78">
        <f t="shared" si="115"/>
        <v>48220853</v>
      </c>
      <c r="Q90" s="338">
        <f>E90+M90</f>
        <v>35420853</v>
      </c>
      <c r="R90" s="308"/>
    </row>
    <row r="91" spans="1:18" s="24" customFormat="1" ht="27" customHeight="1" x14ac:dyDescent="0.2">
      <c r="A91" s="611" t="s">
        <v>41</v>
      </c>
      <c r="B91" s="83">
        <f>B79+B76</f>
        <v>3302178782</v>
      </c>
      <c r="C91" s="78">
        <f t="shared" ref="C91" si="117">C79+C76</f>
        <v>5356753190</v>
      </c>
      <c r="D91" s="78">
        <f t="shared" ref="D91:E91" si="118">D79+D76</f>
        <v>5385635464</v>
      </c>
      <c r="E91" s="338">
        <f t="shared" si="118"/>
        <v>28882274</v>
      </c>
      <c r="F91" s="412">
        <f t="shared" ref="F91:H91" si="119">F79+F76</f>
        <v>0</v>
      </c>
      <c r="G91" s="78">
        <f t="shared" ref="G91" si="120">G79+G76</f>
        <v>35572714</v>
      </c>
      <c r="H91" s="78">
        <f t="shared" si="119"/>
        <v>35572194</v>
      </c>
      <c r="I91" s="338">
        <f t="shared" ref="I91:M91" si="121">I79+I76</f>
        <v>-520</v>
      </c>
      <c r="J91" s="584">
        <f t="shared" ref="J91:L91" si="122">J79+J76</f>
        <v>10705437</v>
      </c>
      <c r="K91" s="78">
        <f t="shared" ref="K91" si="123">K79+K76</f>
        <v>28881660</v>
      </c>
      <c r="L91" s="78">
        <f t="shared" si="122"/>
        <v>28693754</v>
      </c>
      <c r="M91" s="78">
        <f t="shared" si="121"/>
        <v>-187906</v>
      </c>
      <c r="N91" s="83">
        <f>B91+J91+F91:F94</f>
        <v>3312884219</v>
      </c>
      <c r="O91" s="78">
        <f>C91+K91+G91:G94</f>
        <v>5421207564</v>
      </c>
      <c r="P91" s="78">
        <f>D91+L91+H91:H94</f>
        <v>5449901412</v>
      </c>
      <c r="Q91" s="338">
        <f>E91+M91+I91</f>
        <v>28693848</v>
      </c>
      <c r="R91" s="308"/>
    </row>
    <row r="92" spans="1:18" s="24" customFormat="1" ht="15" customHeight="1" x14ac:dyDescent="0.2">
      <c r="A92" s="611" t="s">
        <v>42</v>
      </c>
      <c r="B92" s="83">
        <f t="shared" ref="B92:E92" si="124">B74+B91</f>
        <v>12721791756</v>
      </c>
      <c r="C92" s="78">
        <f t="shared" si="124"/>
        <v>16044583008</v>
      </c>
      <c r="D92" s="78">
        <f t="shared" ref="D92" si="125">D74+D91</f>
        <v>16073392735</v>
      </c>
      <c r="E92" s="338">
        <f t="shared" si="124"/>
        <v>28809727</v>
      </c>
      <c r="F92" s="412">
        <f t="shared" ref="F92:H92" si="126">F74+F91</f>
        <v>64232559</v>
      </c>
      <c r="G92" s="78">
        <f t="shared" ref="G92" si="127">G74+G91</f>
        <v>93739099</v>
      </c>
      <c r="H92" s="78">
        <f t="shared" si="126"/>
        <v>93738579</v>
      </c>
      <c r="I92" s="338">
        <f t="shared" ref="I92:M92" si="128">I74+I91</f>
        <v>-520</v>
      </c>
      <c r="J92" s="584">
        <f t="shared" ref="J92:L92" si="129">J74+J91</f>
        <v>204373763</v>
      </c>
      <c r="K92" s="78">
        <f t="shared" ref="K92" si="130">K74+K91</f>
        <v>251519935</v>
      </c>
      <c r="L92" s="78">
        <f t="shared" si="129"/>
        <v>251332029</v>
      </c>
      <c r="M92" s="78">
        <f t="shared" si="128"/>
        <v>-187906</v>
      </c>
      <c r="N92" s="83">
        <f t="shared" ref="N92:P93" si="131">B92+J92+F92</f>
        <v>12990398078</v>
      </c>
      <c r="O92" s="78">
        <f t="shared" si="131"/>
        <v>16389842042</v>
      </c>
      <c r="P92" s="78">
        <f t="shared" si="131"/>
        <v>16418463343</v>
      </c>
      <c r="Q92" s="338">
        <f t="shared" ref="Q92:Q93" si="132">E92+M92+I92</f>
        <v>28621301</v>
      </c>
      <c r="R92" s="304">
        <f>Q91+Q74</f>
        <v>28621301</v>
      </c>
    </row>
    <row r="93" spans="1:18" x14ac:dyDescent="0.2">
      <c r="A93" s="626" t="s">
        <v>321</v>
      </c>
      <c r="B93" s="175">
        <f>'2.a tábla ÚJ '!S58+'2.a tábla ÚJ '!S60</f>
        <v>23</v>
      </c>
      <c r="C93" s="212">
        <f>'2.a tábla ÚJ '!T58+'2.a tábla ÚJ '!T60</f>
        <v>23</v>
      </c>
      <c r="D93" s="212">
        <f>'2.a tábla ÚJ '!U58+'2.a tábla ÚJ '!U60</f>
        <v>23</v>
      </c>
      <c r="E93" s="350">
        <f>'2.a tábla ÚJ '!V58+'2.a tábla ÚJ '!V60</f>
        <v>0</v>
      </c>
      <c r="F93" s="716">
        <f>'2.a tábla ÚJ '!S57</f>
        <v>73.5</v>
      </c>
      <c r="G93" s="212">
        <f>'2.a tábla ÚJ '!T57</f>
        <v>72.5</v>
      </c>
      <c r="H93" s="212">
        <f>'2.a tábla ÚJ '!U57</f>
        <v>68.5</v>
      </c>
      <c r="I93" s="350">
        <f>'2.a tábla ÚJ '!V57</f>
        <v>-4</v>
      </c>
      <c r="J93" s="616">
        <f>'2.a tábla ÚJ '!N57</f>
        <v>60</v>
      </c>
      <c r="K93" s="557">
        <f>'2.a tábla ÚJ '!O57</f>
        <v>60</v>
      </c>
      <c r="L93" s="557">
        <f>'2.a tábla ÚJ '!P57</f>
        <v>60</v>
      </c>
      <c r="M93" s="557">
        <f>'2.a tábla ÚJ '!Q57</f>
        <v>0</v>
      </c>
      <c r="N93" s="175">
        <f t="shared" si="131"/>
        <v>156.5</v>
      </c>
      <c r="O93" s="212">
        <f t="shared" si="131"/>
        <v>155.5</v>
      </c>
      <c r="P93" s="212">
        <f t="shared" si="131"/>
        <v>151.5</v>
      </c>
      <c r="Q93" s="350">
        <f t="shared" si="132"/>
        <v>-4</v>
      </c>
    </row>
    <row r="94" spans="1:18" ht="15.75" customHeight="1" thickBot="1" x14ac:dyDescent="0.25">
      <c r="A94" s="627" t="s">
        <v>43</v>
      </c>
      <c r="B94" s="630">
        <f>'2.a tábla ÚJ '!S60</f>
        <v>15</v>
      </c>
      <c r="C94" s="487">
        <f>'2.a tábla ÚJ '!T60</f>
        <v>15</v>
      </c>
      <c r="D94" s="487">
        <f>'2.a tábla ÚJ '!U60</f>
        <v>15</v>
      </c>
      <c r="E94" s="705">
        <f>'2.a tábla ÚJ '!V60</f>
        <v>0</v>
      </c>
      <c r="F94" s="717">
        <f>'2.a tábla ÚJ '!S56</f>
        <v>0</v>
      </c>
      <c r="G94" s="144">
        <f>'2.a tábla ÚJ '!T56</f>
        <v>0</v>
      </c>
      <c r="H94" s="144">
        <f>'2.a tábla ÚJ '!U56</f>
        <v>0</v>
      </c>
      <c r="I94" s="607">
        <f>'2.a tábla ÚJ '!V56</f>
        <v>0</v>
      </c>
      <c r="J94" s="617">
        <f>'2.a tábla ÚJ '!N56</f>
        <v>5</v>
      </c>
      <c r="K94" s="558">
        <f>'2.a tábla ÚJ '!O56</f>
        <v>5</v>
      </c>
      <c r="L94" s="558">
        <f>'2.a tábla ÚJ '!P56</f>
        <v>5</v>
      </c>
      <c r="M94" s="558">
        <f>'2.a tábla ÚJ '!Q56</f>
        <v>0</v>
      </c>
      <c r="N94" s="145">
        <f>B94+J94</f>
        <v>20</v>
      </c>
      <c r="O94" s="144">
        <f>C94+K94</f>
        <v>20</v>
      </c>
      <c r="P94" s="144">
        <f>D94+L94</f>
        <v>20</v>
      </c>
      <c r="Q94" s="607">
        <f>E94+M94+I94</f>
        <v>0</v>
      </c>
      <c r="R94" s="36"/>
    </row>
    <row r="95" spans="1:18" x14ac:dyDescent="0.2">
      <c r="B95" s="135"/>
      <c r="C95" s="135"/>
      <c r="D95" s="135"/>
      <c r="E95" s="135"/>
      <c r="F95" s="135"/>
      <c r="J95" s="135"/>
      <c r="K95" s="135"/>
      <c r="L95" s="135"/>
      <c r="M95" s="135"/>
      <c r="O95" s="135"/>
      <c r="P95" s="135"/>
      <c r="Q95" s="135"/>
    </row>
    <row r="96" spans="1:18" x14ac:dyDescent="0.2">
      <c r="B96" s="135"/>
      <c r="C96" s="135"/>
      <c r="D96" s="135"/>
      <c r="E96" s="135"/>
      <c r="F96" s="135"/>
      <c r="J96" s="135"/>
      <c r="K96" s="154"/>
      <c r="L96" s="154"/>
      <c r="M96" s="154"/>
      <c r="N96" s="135"/>
      <c r="O96" s="135"/>
      <c r="P96" s="135"/>
      <c r="Q96" s="135"/>
    </row>
    <row r="97" spans="2:17" x14ac:dyDescent="0.2">
      <c r="B97" s="135"/>
      <c r="C97" s="135"/>
      <c r="D97" s="135"/>
      <c r="E97" s="135"/>
      <c r="F97" s="135"/>
      <c r="J97" s="135"/>
      <c r="K97" s="154"/>
      <c r="L97" s="154"/>
      <c r="M97" s="154"/>
      <c r="N97" s="135"/>
      <c r="O97" s="135"/>
      <c r="P97" s="135"/>
      <c r="Q97" s="135"/>
    </row>
    <row r="98" spans="2:17" x14ac:dyDescent="0.2">
      <c r="B98" s="135"/>
      <c r="C98" s="135"/>
      <c r="D98" s="135"/>
      <c r="E98" s="135"/>
      <c r="F98" s="135"/>
      <c r="J98" s="135"/>
      <c r="K98" s="154"/>
      <c r="L98" s="154"/>
      <c r="M98" s="154"/>
      <c r="N98" s="135"/>
      <c r="O98" s="135"/>
      <c r="P98" s="135"/>
      <c r="Q98" s="135"/>
    </row>
    <row r="99" spans="2:17" x14ac:dyDescent="0.2">
      <c r="B99" s="135"/>
      <c r="C99" s="135"/>
      <c r="D99" s="135"/>
      <c r="E99" s="135"/>
      <c r="F99" s="135"/>
      <c r="J99" s="135"/>
      <c r="K99" s="154"/>
      <c r="L99" s="154"/>
      <c r="M99" s="154"/>
      <c r="N99" s="135"/>
      <c r="O99" s="135"/>
      <c r="P99" s="135"/>
      <c r="Q99" s="135"/>
    </row>
    <row r="100" spans="2:17" x14ac:dyDescent="0.2">
      <c r="B100" s="135"/>
      <c r="C100" s="135"/>
      <c r="D100" s="135"/>
      <c r="E100" s="135"/>
      <c r="K100" s="154"/>
      <c r="L100" s="154"/>
      <c r="M100" s="154"/>
      <c r="N100" s="135"/>
      <c r="O100" s="135"/>
      <c r="P100" s="135"/>
      <c r="Q100" s="135"/>
    </row>
    <row r="101" spans="2:17" x14ac:dyDescent="0.2">
      <c r="N101" s="135"/>
      <c r="O101" s="135"/>
      <c r="P101" s="135"/>
      <c r="Q101" s="135"/>
    </row>
  </sheetData>
  <sheetProtection selectLockedCells="1" selectUnlockedCells="1"/>
  <mergeCells count="13">
    <mergeCell ref="B64:E64"/>
    <mergeCell ref="F64:I64"/>
    <mergeCell ref="J64:M64"/>
    <mergeCell ref="N64:Q64"/>
    <mergeCell ref="A3:Q3"/>
    <mergeCell ref="B5:E5"/>
    <mergeCell ref="F5:I5"/>
    <mergeCell ref="J5:M5"/>
    <mergeCell ref="N5:Q5"/>
    <mergeCell ref="B28:E28"/>
    <mergeCell ref="F28:I28"/>
    <mergeCell ref="J28:M28"/>
    <mergeCell ref="N28:Q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 6/2021. (III.05.) önkormányzati rendelethez
 az önkormányzat 2020. évi költségvetéséről szóló 6/2020. (III.06.) önkormányzati rendelet 
2. mellékletének helyébe a következő 2. melléklet lép:  &amp;R&amp;12
&amp;P. oldal
</oddHeader>
  </headerFooter>
  <rowBreaks count="2" manualBreakCount="2">
    <brk id="27" max="12" man="1"/>
    <brk id="63" max="12" man="1"/>
  </rowBreaks>
  <ignoredErrors>
    <ignoredError sqref="E38 B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1"/>
  <sheetViews>
    <sheetView view="pageLayout" topLeftCell="J30" zoomScale="84" zoomScaleNormal="84" zoomScaleSheetLayoutView="89" zoomScalePageLayoutView="84" workbookViewId="0">
      <selection activeCell="P21" sqref="P21"/>
    </sheetView>
  </sheetViews>
  <sheetFormatPr defaultColWidth="9.140625" defaultRowHeight="14.25" x14ac:dyDescent="0.2"/>
  <cols>
    <col min="1" max="1" width="41.28515625" style="16" customWidth="1"/>
    <col min="2" max="5" width="12.7109375" style="29" customWidth="1"/>
    <col min="6" max="6" width="13" style="29" customWidth="1"/>
    <col min="7" max="9" width="14.42578125" style="29" customWidth="1"/>
    <col min="10" max="10" width="13.7109375" style="30" customWidth="1"/>
    <col min="11" max="13" width="12.28515625" style="30" customWidth="1"/>
    <col min="14" max="14" width="14" style="29" customWidth="1"/>
    <col min="15" max="16" width="12.85546875" style="29" customWidth="1"/>
    <col min="17" max="17" width="13.85546875" style="29" customWidth="1"/>
    <col min="18" max="18" width="1.28515625" style="29" customWidth="1"/>
    <col min="19" max="19" width="12.7109375" style="29" customWidth="1"/>
    <col min="20" max="22" width="14.28515625" style="29" customWidth="1"/>
    <col min="23" max="23" width="11.28515625" style="29" bestFit="1" customWidth="1"/>
    <col min="24" max="24" width="9.28515625" style="29" bestFit="1" customWidth="1"/>
    <col min="25" max="124" width="9.140625" style="29"/>
    <col min="125" max="198" width="9.140625" style="18"/>
    <col min="199" max="16384" width="9.140625" style="9"/>
  </cols>
  <sheetData>
    <row r="1" spans="1:124" ht="12.75" hidden="1" customHeight="1" x14ac:dyDescent="0.2">
      <c r="A1" s="68"/>
      <c r="B1" s="27"/>
      <c r="C1" s="27"/>
      <c r="D1" s="27"/>
      <c r="E1" s="27"/>
      <c r="F1" s="27"/>
      <c r="G1" s="27"/>
      <c r="H1" s="27"/>
      <c r="I1" s="27"/>
      <c r="J1" s="28"/>
      <c r="K1" s="28"/>
      <c r="L1" s="28"/>
      <c r="M1" s="28"/>
      <c r="N1" s="27"/>
      <c r="O1" s="27"/>
      <c r="P1" s="27"/>
      <c r="Q1" s="27"/>
    </row>
    <row r="2" spans="1:124" ht="12.75" hidden="1" customHeight="1" x14ac:dyDescent="0.2"/>
    <row r="3" spans="1:124" ht="12.75" customHeight="1" x14ac:dyDescent="0.2"/>
    <row r="4" spans="1:124" ht="12.75" customHeight="1" x14ac:dyDescent="0.2"/>
    <row r="5" spans="1:124" ht="6" customHeight="1" x14ac:dyDescent="0.2"/>
    <row r="6" spans="1:124" ht="25.5" customHeight="1" x14ac:dyDescent="0.25">
      <c r="A6" s="1630" t="s">
        <v>981</v>
      </c>
      <c r="B6" s="1630"/>
      <c r="C6" s="1630"/>
      <c r="D6" s="1630"/>
      <c r="E6" s="1630"/>
      <c r="F6" s="1630"/>
      <c r="G6" s="1630"/>
      <c r="H6" s="1630"/>
      <c r="I6" s="1630"/>
      <c r="J6" s="1630"/>
      <c r="K6" s="1630"/>
      <c r="L6" s="1630"/>
      <c r="M6" s="1630"/>
      <c r="N6" s="1630"/>
      <c r="O6" s="1630"/>
      <c r="P6" s="1630"/>
      <c r="Q6" s="1630"/>
      <c r="R6" s="1630"/>
      <c r="S6" s="1630"/>
      <c r="T6" s="1630"/>
      <c r="U6" s="1630"/>
      <c r="V6" s="1630"/>
    </row>
    <row r="7" spans="1:124" ht="12.75" customHeight="1" x14ac:dyDescent="0.2"/>
    <row r="8" spans="1:124" ht="12.75" customHeight="1" x14ac:dyDescent="0.2"/>
    <row r="9" spans="1:124" ht="12.75" customHeight="1" thickBot="1" x14ac:dyDescent="0.25"/>
    <row r="10" spans="1:124" s="19" customFormat="1" ht="45.75" customHeight="1" thickBot="1" x14ac:dyDescent="0.25">
      <c r="A10" s="1639" t="s">
        <v>301</v>
      </c>
      <c r="B10" s="1641" t="s">
        <v>202</v>
      </c>
      <c r="C10" s="1642"/>
      <c r="D10" s="1642"/>
      <c r="E10" s="1642"/>
      <c r="F10" s="1643" t="s">
        <v>491</v>
      </c>
      <c r="G10" s="1644"/>
      <c r="H10" s="1644"/>
      <c r="I10" s="1644"/>
      <c r="J10" s="1645" t="s">
        <v>501</v>
      </c>
      <c r="K10" s="1646"/>
      <c r="L10" s="1646"/>
      <c r="M10" s="1646"/>
      <c r="N10" s="1647" t="s">
        <v>44</v>
      </c>
      <c r="O10" s="1648"/>
      <c r="P10" s="1648"/>
      <c r="Q10" s="1649"/>
      <c r="R10" s="325"/>
      <c r="S10" s="1643" t="s">
        <v>199</v>
      </c>
      <c r="T10" s="1644"/>
      <c r="U10" s="1644"/>
      <c r="V10" s="1650"/>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row>
    <row r="11" spans="1:124" s="24" customFormat="1" ht="59.25" customHeight="1" thickBot="1" x14ac:dyDescent="0.25">
      <c r="A11" s="1640"/>
      <c r="B11" s="556" t="s">
        <v>657</v>
      </c>
      <c r="C11" s="390" t="s">
        <v>1041</v>
      </c>
      <c r="D11" s="390" t="s">
        <v>1088</v>
      </c>
      <c r="E11" s="391" t="s">
        <v>983</v>
      </c>
      <c r="F11" s="556" t="s">
        <v>657</v>
      </c>
      <c r="G11" s="390" t="s">
        <v>1041</v>
      </c>
      <c r="H11" s="390" t="s">
        <v>1088</v>
      </c>
      <c r="I11" s="391" t="s">
        <v>983</v>
      </c>
      <c r="J11" s="556" t="s">
        <v>657</v>
      </c>
      <c r="K11" s="390" t="s">
        <v>1041</v>
      </c>
      <c r="L11" s="390" t="s">
        <v>1088</v>
      </c>
      <c r="M11" s="391" t="s">
        <v>983</v>
      </c>
      <c r="N11" s="556" t="s">
        <v>657</v>
      </c>
      <c r="O11" s="390" t="s">
        <v>1041</v>
      </c>
      <c r="P11" s="390" t="s">
        <v>1088</v>
      </c>
      <c r="Q11" s="391" t="s">
        <v>983</v>
      </c>
      <c r="R11" s="291"/>
      <c r="S11" s="556" t="s">
        <v>657</v>
      </c>
      <c r="T11" s="390" t="s">
        <v>1041</v>
      </c>
      <c r="U11" s="390" t="s">
        <v>1088</v>
      </c>
      <c r="V11" s="391" t="s">
        <v>983</v>
      </c>
      <c r="W11" s="419"/>
      <c r="X11" s="419"/>
      <c r="Y11" s="419"/>
      <c r="Z11" s="419"/>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c r="CG11" s="419"/>
      <c r="CH11" s="419"/>
      <c r="CI11" s="419"/>
      <c r="CJ11" s="419"/>
      <c r="CK11" s="419"/>
      <c r="CL11" s="419"/>
      <c r="CM11" s="419"/>
      <c r="CN11" s="419"/>
      <c r="CO11" s="419"/>
      <c r="CP11" s="419"/>
      <c r="CQ11" s="419"/>
      <c r="CR11" s="419"/>
      <c r="CS11" s="419"/>
      <c r="CT11" s="419"/>
      <c r="CU11" s="419"/>
      <c r="CV11" s="419"/>
      <c r="CW11" s="419"/>
      <c r="CX11" s="419"/>
      <c r="CY11" s="419"/>
      <c r="CZ11" s="419"/>
      <c r="DA11" s="419"/>
      <c r="DB11" s="419"/>
      <c r="DC11" s="419"/>
      <c r="DD11" s="419"/>
      <c r="DE11" s="419"/>
      <c r="DF11" s="419"/>
      <c r="DG11" s="419"/>
      <c r="DH11" s="419"/>
      <c r="DI11" s="419"/>
      <c r="DJ11" s="419"/>
      <c r="DK11" s="419"/>
      <c r="DL11" s="419"/>
      <c r="DM11" s="419"/>
      <c r="DN11" s="419"/>
      <c r="DO11" s="419"/>
      <c r="DP11" s="419"/>
      <c r="DQ11" s="419"/>
      <c r="DR11" s="419"/>
      <c r="DS11" s="419"/>
      <c r="DT11" s="419"/>
    </row>
    <row r="12" spans="1:124" s="20" customFormat="1" ht="26.25" x14ac:dyDescent="0.25">
      <c r="A12" s="326" t="s">
        <v>45</v>
      </c>
      <c r="B12" s="151">
        <f t="shared" ref="B12:Q12" si="0">B13</f>
        <v>1274488</v>
      </c>
      <c r="C12" s="151">
        <f t="shared" si="0"/>
        <v>11274488</v>
      </c>
      <c r="D12" s="151">
        <f t="shared" si="0"/>
        <v>11274488</v>
      </c>
      <c r="E12" s="1582">
        <f t="shared" si="0"/>
        <v>0</v>
      </c>
      <c r="F12" s="559">
        <f t="shared" si="0"/>
        <v>136773270</v>
      </c>
      <c r="G12" s="151">
        <f t="shared" si="0"/>
        <v>156553219</v>
      </c>
      <c r="H12" s="151">
        <f t="shared" si="0"/>
        <v>156553219</v>
      </c>
      <c r="I12" s="290">
        <f t="shared" si="0"/>
        <v>0</v>
      </c>
      <c r="J12" s="676">
        <f t="shared" si="0"/>
        <v>1948975</v>
      </c>
      <c r="K12" s="151">
        <f t="shared" si="0"/>
        <v>1948975</v>
      </c>
      <c r="L12" s="151">
        <f t="shared" si="0"/>
        <v>1948975</v>
      </c>
      <c r="M12" s="151">
        <f t="shared" si="0"/>
        <v>0</v>
      </c>
      <c r="N12" s="150">
        <f t="shared" si="0"/>
        <v>139996733</v>
      </c>
      <c r="O12" s="151">
        <f t="shared" si="0"/>
        <v>169776682</v>
      </c>
      <c r="P12" s="151">
        <f t="shared" si="0"/>
        <v>169776682</v>
      </c>
      <c r="Q12" s="290">
        <f t="shared" si="0"/>
        <v>0</v>
      </c>
      <c r="R12" s="160">
        <f>R13+R16</f>
        <v>0</v>
      </c>
      <c r="S12" s="150">
        <f>S13+S16</f>
        <v>30078809</v>
      </c>
      <c r="T12" s="151">
        <f>T13+T16</f>
        <v>23886635</v>
      </c>
      <c r="U12" s="151">
        <f>U13+U16</f>
        <v>23886635</v>
      </c>
      <c r="V12" s="290">
        <f>V13+V16</f>
        <v>0</v>
      </c>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420"/>
      <c r="DG12" s="420"/>
      <c r="DH12" s="420"/>
      <c r="DI12" s="420"/>
      <c r="DJ12" s="420"/>
      <c r="DK12" s="420"/>
      <c r="DL12" s="420"/>
      <c r="DM12" s="420"/>
      <c r="DN12" s="420"/>
      <c r="DO12" s="420"/>
      <c r="DP12" s="420"/>
      <c r="DQ12" s="420"/>
      <c r="DR12" s="420"/>
      <c r="DS12" s="420"/>
      <c r="DT12" s="420"/>
    </row>
    <row r="13" spans="1:124" s="19" customFormat="1" ht="25.5" x14ac:dyDescent="0.2">
      <c r="A13" s="327" t="s">
        <v>418</v>
      </c>
      <c r="B13" s="130">
        <f>300000+974488</f>
        <v>1274488</v>
      </c>
      <c r="C13" s="130">
        <v>11274488</v>
      </c>
      <c r="D13" s="130">
        <v>11274488</v>
      </c>
      <c r="E13" s="231">
        <f>D13-C13</f>
        <v>0</v>
      </c>
      <c r="F13" s="560">
        <f>135000000+1773270</f>
        <v>136773270</v>
      </c>
      <c r="G13" s="231">
        <v>156553219</v>
      </c>
      <c r="H13" s="231">
        <v>156553219</v>
      </c>
      <c r="I13" s="132">
        <f>H13-G13</f>
        <v>0</v>
      </c>
      <c r="J13" s="162">
        <v>1948975</v>
      </c>
      <c r="K13" s="130">
        <v>1948975</v>
      </c>
      <c r="L13" s="130">
        <v>1948975</v>
      </c>
      <c r="M13" s="130">
        <f>L13-K13</f>
        <v>0</v>
      </c>
      <c r="N13" s="560">
        <f t="shared" ref="N13:P16" si="1">B13+F13+J13</f>
        <v>139996733</v>
      </c>
      <c r="O13" s="130">
        <f t="shared" si="1"/>
        <v>169776682</v>
      </c>
      <c r="P13" s="130">
        <f t="shared" si="1"/>
        <v>169776682</v>
      </c>
      <c r="Q13" s="132">
        <f t="shared" ref="Q13:Q16" si="2">E13+I13+M13</f>
        <v>0</v>
      </c>
      <c r="R13" s="161"/>
      <c r="S13" s="147">
        <v>30078809</v>
      </c>
      <c r="T13" s="231">
        <v>23886635</v>
      </c>
      <c r="U13" s="231">
        <v>23886635</v>
      </c>
      <c r="V13" s="132">
        <f>U13-T13</f>
        <v>0</v>
      </c>
      <c r="W13" s="418"/>
      <c r="X13" s="418"/>
      <c r="Y13" s="418"/>
      <c r="Z13" s="418"/>
      <c r="AA13" s="418"/>
      <c r="AB13" s="418"/>
      <c r="AC13" s="418"/>
      <c r="AD13" s="418"/>
      <c r="AE13" s="418"/>
      <c r="AF13" s="418"/>
      <c r="AG13" s="418"/>
      <c r="AH13" s="418"/>
      <c r="AI13" s="418"/>
      <c r="AJ13" s="418"/>
      <c r="AK13" s="418"/>
      <c r="AL13" s="418"/>
      <c r="AM13" s="418"/>
      <c r="AN13" s="418"/>
      <c r="AO13" s="418"/>
      <c r="AP13" s="418"/>
      <c r="AQ13" s="418"/>
      <c r="AR13" s="418"/>
      <c r="AS13" s="418"/>
      <c r="AT13" s="418"/>
      <c r="AU13" s="418"/>
      <c r="AV13" s="418"/>
      <c r="AW13" s="418"/>
      <c r="AX13" s="418"/>
      <c r="AY13" s="418"/>
      <c r="AZ13" s="418"/>
      <c r="BA13" s="418"/>
      <c r="BB13" s="418"/>
      <c r="BC13" s="418"/>
      <c r="BD13" s="418"/>
      <c r="BE13" s="418"/>
      <c r="BF13" s="418"/>
      <c r="BG13" s="418"/>
      <c r="BH13" s="418"/>
      <c r="BI13" s="418"/>
      <c r="BJ13" s="418"/>
      <c r="BK13" s="418"/>
      <c r="BL13" s="418"/>
      <c r="BM13" s="418"/>
      <c r="BN13" s="418"/>
      <c r="BO13" s="418"/>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8"/>
      <c r="DO13" s="418"/>
      <c r="DP13" s="418"/>
      <c r="DQ13" s="418"/>
      <c r="DR13" s="418"/>
      <c r="DS13" s="418"/>
      <c r="DT13" s="418"/>
    </row>
    <row r="14" spans="1:124" s="19" customFormat="1" ht="22.7" customHeight="1" x14ac:dyDescent="0.2">
      <c r="A14" s="327" t="s">
        <v>419</v>
      </c>
      <c r="B14" s="421"/>
      <c r="C14" s="130"/>
      <c r="D14" s="130"/>
      <c r="E14" s="231"/>
      <c r="F14" s="560">
        <v>135000000</v>
      </c>
      <c r="G14" s="231">
        <v>154779949</v>
      </c>
      <c r="H14" s="231">
        <v>154779949</v>
      </c>
      <c r="I14" s="132">
        <f>H14-G14</f>
        <v>0</v>
      </c>
      <c r="J14" s="162"/>
      <c r="K14" s="130"/>
      <c r="L14" s="130"/>
      <c r="M14" s="130"/>
      <c r="N14" s="560">
        <f t="shared" si="1"/>
        <v>135000000</v>
      </c>
      <c r="O14" s="130">
        <f t="shared" si="1"/>
        <v>154779949</v>
      </c>
      <c r="P14" s="130">
        <f t="shared" si="1"/>
        <v>154779949</v>
      </c>
      <c r="Q14" s="132">
        <f t="shared" si="2"/>
        <v>0</v>
      </c>
      <c r="R14" s="161"/>
      <c r="S14" s="147"/>
      <c r="T14" s="231"/>
      <c r="U14" s="231"/>
      <c r="V14" s="132"/>
      <c r="W14" s="418"/>
      <c r="X14" s="418"/>
      <c r="Y14" s="418"/>
      <c r="Z14" s="418"/>
      <c r="AA14" s="418"/>
      <c r="AB14" s="418"/>
      <c r="AC14" s="418"/>
      <c r="AD14" s="418"/>
      <c r="AE14" s="418"/>
      <c r="AF14" s="418"/>
      <c r="AG14" s="418"/>
      <c r="AH14" s="418"/>
      <c r="AI14" s="418"/>
      <c r="AJ14" s="418"/>
      <c r="AK14" s="418"/>
      <c r="AL14" s="418"/>
      <c r="AM14" s="418"/>
      <c r="AN14" s="418"/>
      <c r="AO14" s="418"/>
      <c r="AP14" s="418"/>
      <c r="AQ14" s="418"/>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8"/>
      <c r="CT14" s="418"/>
      <c r="CU14" s="418"/>
      <c r="CV14" s="418"/>
      <c r="CW14" s="418"/>
      <c r="CX14" s="418"/>
      <c r="CY14" s="418"/>
      <c r="CZ14" s="418"/>
      <c r="DA14" s="418"/>
      <c r="DB14" s="418"/>
      <c r="DC14" s="418"/>
      <c r="DD14" s="418"/>
      <c r="DE14" s="418"/>
      <c r="DF14" s="418"/>
      <c r="DG14" s="418"/>
      <c r="DH14" s="418"/>
      <c r="DI14" s="418"/>
      <c r="DJ14" s="418"/>
      <c r="DK14" s="418"/>
      <c r="DL14" s="418"/>
      <c r="DM14" s="418"/>
      <c r="DN14" s="418"/>
      <c r="DO14" s="418"/>
      <c r="DP14" s="418"/>
      <c r="DQ14" s="418"/>
      <c r="DR14" s="418"/>
      <c r="DS14" s="418"/>
      <c r="DT14" s="418"/>
    </row>
    <row r="15" spans="1:124" s="20" customFormat="1" ht="28.5" customHeight="1" x14ac:dyDescent="0.25">
      <c r="A15" s="328" t="s">
        <v>374</v>
      </c>
      <c r="B15" s="95">
        <f t="shared" ref="B15:D15" si="3">SUM(B16)</f>
        <v>3468000</v>
      </c>
      <c r="C15" s="95">
        <f t="shared" si="3"/>
        <v>3468000</v>
      </c>
      <c r="D15" s="95">
        <f t="shared" si="3"/>
        <v>3468000</v>
      </c>
      <c r="E15" s="134">
        <f>SUM(E16)</f>
        <v>0</v>
      </c>
      <c r="F15" s="561">
        <f>F16</f>
        <v>0</v>
      </c>
      <c r="G15" s="95">
        <f>SUM(G16)</f>
        <v>0</v>
      </c>
      <c r="H15" s="95">
        <f>SUM(H16)</f>
        <v>0</v>
      </c>
      <c r="I15" s="605">
        <f>SUM(I16)</f>
        <v>0</v>
      </c>
      <c r="J15" s="162"/>
      <c r="K15" s="95">
        <f>K16</f>
        <v>0</v>
      </c>
      <c r="L15" s="95">
        <f>L16</f>
        <v>0</v>
      </c>
      <c r="M15" s="95">
        <f>M16</f>
        <v>0</v>
      </c>
      <c r="N15" s="561">
        <f t="shared" si="1"/>
        <v>3468000</v>
      </c>
      <c r="O15" s="95">
        <f t="shared" si="1"/>
        <v>3468000</v>
      </c>
      <c r="P15" s="95">
        <f t="shared" si="1"/>
        <v>3468000</v>
      </c>
      <c r="Q15" s="605">
        <f t="shared" si="2"/>
        <v>0</v>
      </c>
      <c r="R15" s="156">
        <f>R16</f>
        <v>0</v>
      </c>
      <c r="S15" s="146"/>
      <c r="T15" s="134"/>
      <c r="U15" s="134"/>
      <c r="V15" s="605"/>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420"/>
      <c r="DG15" s="420"/>
      <c r="DH15" s="420"/>
      <c r="DI15" s="420"/>
      <c r="DJ15" s="420"/>
      <c r="DK15" s="420"/>
      <c r="DL15" s="420"/>
      <c r="DM15" s="420"/>
      <c r="DN15" s="420"/>
      <c r="DO15" s="420"/>
      <c r="DP15" s="420"/>
      <c r="DQ15" s="420"/>
      <c r="DR15" s="420"/>
      <c r="DS15" s="420"/>
      <c r="DT15" s="420"/>
    </row>
    <row r="16" spans="1:124" s="19" customFormat="1" ht="25.5" x14ac:dyDescent="0.2">
      <c r="A16" s="327" t="s">
        <v>424</v>
      </c>
      <c r="B16" s="421">
        <v>3468000</v>
      </c>
      <c r="C16" s="130">
        <v>3468000</v>
      </c>
      <c r="D16" s="130">
        <v>3468000</v>
      </c>
      <c r="E16" s="231">
        <f>D16-C16</f>
        <v>0</v>
      </c>
      <c r="F16" s="560"/>
      <c r="G16" s="231"/>
      <c r="H16" s="231"/>
      <c r="I16" s="132">
        <f>H16-G16</f>
        <v>0</v>
      </c>
      <c r="J16" s="162"/>
      <c r="K16" s="130"/>
      <c r="L16" s="130"/>
      <c r="M16" s="130"/>
      <c r="N16" s="560">
        <f t="shared" si="1"/>
        <v>3468000</v>
      </c>
      <c r="O16" s="130">
        <f t="shared" si="1"/>
        <v>3468000</v>
      </c>
      <c r="P16" s="130">
        <f t="shared" si="1"/>
        <v>3468000</v>
      </c>
      <c r="Q16" s="132">
        <f t="shared" si="2"/>
        <v>0</v>
      </c>
      <c r="R16" s="161"/>
      <c r="S16" s="147"/>
      <c r="T16" s="231"/>
      <c r="U16" s="231"/>
      <c r="V16" s="132"/>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8"/>
      <c r="BS16" s="418"/>
      <c r="BT16" s="418"/>
      <c r="BU16" s="418"/>
      <c r="BV16" s="418"/>
      <c r="BW16" s="418"/>
      <c r="BX16" s="418"/>
      <c r="BY16" s="418"/>
      <c r="BZ16" s="418"/>
      <c r="CA16" s="418"/>
      <c r="CB16" s="418"/>
      <c r="CC16" s="418"/>
      <c r="CD16" s="418"/>
      <c r="CE16" s="418"/>
      <c r="CF16" s="418"/>
      <c r="CG16" s="418"/>
      <c r="CH16" s="418"/>
      <c r="CI16" s="418"/>
      <c r="CJ16" s="418"/>
      <c r="CK16" s="418"/>
      <c r="CL16" s="418"/>
      <c r="CM16" s="418"/>
      <c r="CN16" s="418"/>
      <c r="CO16" s="418"/>
      <c r="CP16" s="418"/>
      <c r="CQ16" s="418"/>
      <c r="CR16" s="418"/>
      <c r="CS16" s="418"/>
      <c r="CT16" s="418"/>
      <c r="CU16" s="418"/>
      <c r="CV16" s="418"/>
      <c r="CW16" s="418"/>
      <c r="CX16" s="418"/>
      <c r="CY16" s="418"/>
      <c r="CZ16" s="418"/>
      <c r="DA16" s="418"/>
      <c r="DB16" s="418"/>
      <c r="DC16" s="418"/>
      <c r="DD16" s="418"/>
      <c r="DE16" s="418"/>
      <c r="DF16" s="418"/>
      <c r="DG16" s="418"/>
      <c r="DH16" s="418"/>
      <c r="DI16" s="418"/>
      <c r="DJ16" s="418"/>
      <c r="DK16" s="418"/>
      <c r="DL16" s="418"/>
      <c r="DM16" s="418"/>
      <c r="DN16" s="418"/>
      <c r="DO16" s="418"/>
      <c r="DP16" s="418"/>
      <c r="DQ16" s="418"/>
      <c r="DR16" s="418"/>
      <c r="DS16" s="418"/>
      <c r="DT16" s="418"/>
    </row>
    <row r="17" spans="1:124" s="20" customFormat="1" ht="15" x14ac:dyDescent="0.25">
      <c r="A17" s="329" t="s">
        <v>46</v>
      </c>
      <c r="B17" s="422"/>
      <c r="C17" s="95"/>
      <c r="D17" s="95"/>
      <c r="E17" s="134"/>
      <c r="F17" s="561"/>
      <c r="G17" s="134"/>
      <c r="H17" s="134"/>
      <c r="I17" s="605"/>
      <c r="J17" s="156"/>
      <c r="K17" s="95"/>
      <c r="L17" s="95"/>
      <c r="M17" s="95"/>
      <c r="N17" s="146">
        <f>B17+F17+J17</f>
        <v>0</v>
      </c>
      <c r="O17" s="134"/>
      <c r="P17" s="134"/>
      <c r="Q17" s="605"/>
      <c r="R17" s="156" t="e">
        <f>#REF!+#REF!+#REF!+#REF!+#REF!</f>
        <v>#REF!</v>
      </c>
      <c r="S17" s="166">
        <f>SUM(S18:S20)</f>
        <v>0</v>
      </c>
      <c r="T17" s="73">
        <f>SUM(T18:T20)</f>
        <v>0</v>
      </c>
      <c r="U17" s="73">
        <f>SUM(U18:U20)</f>
        <v>0</v>
      </c>
      <c r="V17" s="722">
        <f>SUM(V18:V20)</f>
        <v>0</v>
      </c>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420"/>
      <c r="DG17" s="420"/>
      <c r="DH17" s="420"/>
      <c r="DI17" s="420"/>
      <c r="DJ17" s="420"/>
      <c r="DK17" s="420"/>
      <c r="DL17" s="420"/>
      <c r="DM17" s="420"/>
      <c r="DN17" s="420"/>
      <c r="DO17" s="420"/>
      <c r="DP17" s="420"/>
      <c r="DQ17" s="420"/>
      <c r="DR17" s="420"/>
      <c r="DS17" s="420"/>
      <c r="DT17" s="420"/>
    </row>
    <row r="18" spans="1:124" s="19" customFormat="1" x14ac:dyDescent="0.2">
      <c r="A18" s="327" t="s">
        <v>425</v>
      </c>
      <c r="B18" s="421"/>
      <c r="C18" s="130"/>
      <c r="D18" s="130"/>
      <c r="E18" s="231"/>
      <c r="F18" s="560"/>
      <c r="G18" s="231"/>
      <c r="H18" s="231"/>
      <c r="I18" s="132"/>
      <c r="J18" s="162"/>
      <c r="K18" s="130"/>
      <c r="L18" s="130"/>
      <c r="M18" s="130"/>
      <c r="N18" s="147">
        <f>B18+F18+J18</f>
        <v>0</v>
      </c>
      <c r="O18" s="231"/>
      <c r="P18" s="231"/>
      <c r="Q18" s="132"/>
      <c r="R18" s="162" t="e">
        <f>#REF!+#REF!+#REF!+#REF!+#REF!+#REF!+#REF!+#REF!+#REF!+#REF!+#REF!+#REF!+#REF!+#REF!+#REF!</f>
        <v>#REF!</v>
      </c>
      <c r="S18" s="147"/>
      <c r="T18" s="231"/>
      <c r="U18" s="231"/>
      <c r="V18" s="132"/>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row>
    <row r="19" spans="1:124" s="19" customFormat="1" x14ac:dyDescent="0.2">
      <c r="A19" s="327" t="s">
        <v>428</v>
      </c>
      <c r="B19" s="421"/>
      <c r="C19" s="130"/>
      <c r="D19" s="130"/>
      <c r="E19" s="231"/>
      <c r="F19" s="560"/>
      <c r="G19" s="231"/>
      <c r="H19" s="231"/>
      <c r="I19" s="132"/>
      <c r="J19" s="162"/>
      <c r="K19" s="130"/>
      <c r="L19" s="130"/>
      <c r="M19" s="130"/>
      <c r="N19" s="147">
        <f>B19+F19+J19</f>
        <v>0</v>
      </c>
      <c r="O19" s="231"/>
      <c r="P19" s="231"/>
      <c r="Q19" s="132"/>
      <c r="R19" s="161"/>
      <c r="S19" s="147"/>
      <c r="T19" s="231"/>
      <c r="U19" s="231"/>
      <c r="V19" s="132"/>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row>
    <row r="20" spans="1:124" s="19" customFormat="1" ht="15" customHeight="1" x14ac:dyDescent="0.2">
      <c r="A20" s="327" t="s">
        <v>434</v>
      </c>
      <c r="B20" s="421"/>
      <c r="C20" s="130"/>
      <c r="D20" s="130"/>
      <c r="E20" s="231"/>
      <c r="F20" s="560"/>
      <c r="G20" s="231"/>
      <c r="H20" s="231"/>
      <c r="I20" s="132"/>
      <c r="J20" s="162"/>
      <c r="K20" s="130"/>
      <c r="L20" s="130"/>
      <c r="M20" s="130"/>
      <c r="N20" s="147">
        <f>B20+F20+J20</f>
        <v>0</v>
      </c>
      <c r="O20" s="231"/>
      <c r="P20" s="231"/>
      <c r="Q20" s="132"/>
      <c r="R20" s="161"/>
      <c r="S20" s="147"/>
      <c r="T20" s="231"/>
      <c r="U20" s="231"/>
      <c r="V20" s="132">
        <f>U20-T20</f>
        <v>0</v>
      </c>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418"/>
      <c r="BW20" s="418"/>
      <c r="BX20" s="418"/>
      <c r="BY20" s="418"/>
      <c r="BZ20" s="418"/>
      <c r="CA20" s="418"/>
      <c r="CB20" s="418"/>
      <c r="CC20" s="418"/>
      <c r="CD20" s="418"/>
      <c r="CE20" s="418"/>
      <c r="CF20" s="418"/>
      <c r="CG20" s="418"/>
      <c r="CH20" s="418"/>
      <c r="CI20" s="418"/>
      <c r="CJ20" s="418"/>
      <c r="CK20" s="418"/>
      <c r="CL20" s="418"/>
      <c r="CM20" s="418"/>
      <c r="CN20" s="418"/>
      <c r="CO20" s="418"/>
      <c r="CP20" s="418"/>
      <c r="CQ20" s="418"/>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row>
    <row r="21" spans="1:124" s="24" customFormat="1" ht="15" x14ac:dyDescent="0.25">
      <c r="A21" s="329" t="s">
        <v>435</v>
      </c>
      <c r="B21" s="95">
        <f t="shared" ref="B21:D21" si="4">B22+B23+B25+B26+B27+B28+B29+B30+B33</f>
        <v>2559000</v>
      </c>
      <c r="C21" s="95">
        <f t="shared" ref="C21" si="5">C22+C23+C25+C26+C27+C28+C29+C30+C33</f>
        <v>2019000</v>
      </c>
      <c r="D21" s="95">
        <f t="shared" si="4"/>
        <v>2019000</v>
      </c>
      <c r="E21" s="134">
        <f t="shared" ref="E21:R21" si="6">E22+E23+E25+E26+E27+E28+E29+E30+E33</f>
        <v>0</v>
      </c>
      <c r="F21" s="561">
        <f t="shared" ref="F21:H21" si="7">F22+F23+F25+F26+F27+F28+F29+F30+F33</f>
        <v>45160000</v>
      </c>
      <c r="G21" s="134">
        <f t="shared" ref="G21" si="8">G22+G23+G25+G26+G27+G28+G29+G30+G33</f>
        <v>45160000</v>
      </c>
      <c r="H21" s="134">
        <f t="shared" si="7"/>
        <v>45160000</v>
      </c>
      <c r="I21" s="605">
        <f t="shared" si="6"/>
        <v>0</v>
      </c>
      <c r="J21" s="156">
        <f>J22+J23+J25+J26+J27+J28+J29+J30+J33</f>
        <v>2484593</v>
      </c>
      <c r="K21" s="95">
        <f>K22+K23+K25+K26+K27+K28+K29+K30+K33</f>
        <v>2214593</v>
      </c>
      <c r="L21" s="95">
        <f>L22+L23+L25+L26+L27+L28+L29+L30+L33</f>
        <v>2214593</v>
      </c>
      <c r="M21" s="95">
        <f t="shared" si="6"/>
        <v>0</v>
      </c>
      <c r="N21" s="146">
        <f t="shared" si="6"/>
        <v>50203593</v>
      </c>
      <c r="O21" s="95">
        <f t="shared" si="6"/>
        <v>49393593</v>
      </c>
      <c r="P21" s="95">
        <f t="shared" ref="P21" si="9">P22+P23+P25+P26+P27+P28+P29+P30+P33</f>
        <v>49393593</v>
      </c>
      <c r="Q21" s="605">
        <f t="shared" si="6"/>
        <v>0</v>
      </c>
      <c r="R21" s="156" t="e">
        <f t="shared" si="6"/>
        <v>#REF!</v>
      </c>
      <c r="S21" s="167">
        <f t="shared" ref="S21:V21" si="10">S22+S23+S25+S26+S27+S28+S29+S30+S33</f>
        <v>33410443</v>
      </c>
      <c r="T21" s="133">
        <f t="shared" si="10"/>
        <v>33209750</v>
      </c>
      <c r="U21" s="133">
        <f t="shared" ref="U21" si="11">U22+U23+U25+U26+U27+U28+U29+U30+U33</f>
        <v>33209750</v>
      </c>
      <c r="V21" s="723">
        <f t="shared" si="10"/>
        <v>0</v>
      </c>
      <c r="W21" s="423"/>
      <c r="X21" s="423"/>
      <c r="Y21" s="423"/>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419"/>
      <c r="CH21" s="419"/>
      <c r="CI21" s="419"/>
      <c r="CJ21" s="419"/>
      <c r="CK21" s="419"/>
      <c r="CL21" s="419"/>
      <c r="CM21" s="419"/>
      <c r="CN21" s="419"/>
      <c r="CO21" s="419"/>
      <c r="CP21" s="419"/>
      <c r="CQ21" s="419"/>
      <c r="CR21" s="419"/>
      <c r="CS21" s="419"/>
      <c r="CT21" s="419"/>
      <c r="CU21" s="419"/>
      <c r="CV21" s="419"/>
      <c r="CW21" s="419"/>
      <c r="CX21" s="419"/>
      <c r="CY21" s="419"/>
      <c r="CZ21" s="419"/>
      <c r="DA21" s="419"/>
      <c r="DB21" s="419"/>
      <c r="DC21" s="419"/>
      <c r="DD21" s="419"/>
      <c r="DE21" s="419"/>
      <c r="DF21" s="419"/>
      <c r="DG21" s="419"/>
      <c r="DH21" s="419"/>
      <c r="DI21" s="419"/>
      <c r="DJ21" s="419"/>
      <c r="DK21" s="419"/>
      <c r="DL21" s="419"/>
      <c r="DM21" s="419"/>
      <c r="DN21" s="419"/>
      <c r="DO21" s="419"/>
      <c r="DP21" s="419"/>
      <c r="DQ21" s="419"/>
      <c r="DR21" s="419"/>
      <c r="DS21" s="419"/>
      <c r="DT21" s="419"/>
    </row>
    <row r="22" spans="1:124" s="25" customFormat="1" ht="17.45" customHeight="1" x14ac:dyDescent="0.2">
      <c r="A22" s="330" t="s">
        <v>357</v>
      </c>
      <c r="B22" s="421"/>
      <c r="C22" s="130"/>
      <c r="D22" s="130"/>
      <c r="E22" s="231"/>
      <c r="F22" s="560"/>
      <c r="G22" s="231"/>
      <c r="H22" s="231"/>
      <c r="I22" s="132"/>
      <c r="J22" s="162"/>
      <c r="K22" s="130"/>
      <c r="L22" s="130"/>
      <c r="M22" s="130"/>
      <c r="N22" s="147">
        <f t="shared" ref="N22:N33" si="12">B22+F22+J22</f>
        <v>0</v>
      </c>
      <c r="O22" s="231"/>
      <c r="P22" s="231"/>
      <c r="Q22" s="132"/>
      <c r="R22" s="162" t="e">
        <f>#REF!+#REF!+#REF!+#REF!+#REF!</f>
        <v>#REF!</v>
      </c>
      <c r="S22" s="147"/>
      <c r="T22" s="231"/>
      <c r="U22" s="231"/>
      <c r="V22" s="132"/>
      <c r="W22" s="424"/>
      <c r="X22" s="424"/>
      <c r="Y22" s="424"/>
      <c r="Z22" s="424"/>
      <c r="AA22" s="424"/>
      <c r="AB22" s="424"/>
      <c r="AC22" s="424"/>
      <c r="AD22" s="424"/>
      <c r="AE22" s="424"/>
      <c r="AF22" s="424"/>
      <c r="AG22" s="424"/>
      <c r="AH22" s="424"/>
      <c r="AI22" s="424"/>
      <c r="AJ22" s="424"/>
      <c r="AK22" s="424"/>
      <c r="AL22" s="424"/>
      <c r="AM22" s="424"/>
      <c r="AN22" s="424"/>
      <c r="AO22" s="424"/>
      <c r="AP22" s="424"/>
      <c r="AQ22" s="424"/>
      <c r="AR22" s="424"/>
      <c r="AS22" s="424"/>
      <c r="AT22" s="424"/>
      <c r="AU22" s="424"/>
      <c r="AV22" s="424"/>
      <c r="AW22" s="424"/>
      <c r="AX22" s="424"/>
      <c r="AY22" s="424"/>
      <c r="AZ22" s="424"/>
      <c r="BA22" s="424"/>
      <c r="BB22" s="424"/>
      <c r="BC22" s="424"/>
      <c r="BD22" s="424"/>
      <c r="BE22" s="424"/>
      <c r="BF22" s="424"/>
      <c r="BG22" s="424"/>
      <c r="BH22" s="424"/>
      <c r="BI22" s="424"/>
      <c r="BJ22" s="424"/>
      <c r="BK22" s="424"/>
      <c r="BL22" s="424"/>
      <c r="BM22" s="424"/>
      <c r="BN22" s="424"/>
      <c r="BO22" s="424"/>
      <c r="BP22" s="424"/>
      <c r="BQ22" s="424"/>
      <c r="BR22" s="424"/>
      <c r="BS22" s="424"/>
      <c r="BT22" s="424"/>
      <c r="BU22" s="424"/>
      <c r="BV22" s="424"/>
      <c r="BW22" s="424"/>
      <c r="BX22" s="424"/>
      <c r="BY22" s="424"/>
      <c r="BZ22" s="424"/>
      <c r="CA22" s="424"/>
      <c r="CB22" s="424"/>
      <c r="CC22" s="424"/>
      <c r="CD22" s="424"/>
      <c r="CE22" s="424"/>
      <c r="CF22" s="424"/>
      <c r="CG22" s="424"/>
      <c r="CH22" s="424"/>
      <c r="CI22" s="424"/>
      <c r="CJ22" s="424"/>
      <c r="CK22" s="424"/>
      <c r="CL22" s="424"/>
      <c r="CM22" s="424"/>
      <c r="CN22" s="424"/>
      <c r="CO22" s="424"/>
      <c r="CP22" s="424"/>
      <c r="CQ22" s="424"/>
      <c r="CR22" s="424"/>
      <c r="CS22" s="424"/>
      <c r="CT22" s="424"/>
      <c r="CU22" s="424"/>
      <c r="CV22" s="424"/>
      <c r="CW22" s="424"/>
      <c r="CX22" s="424"/>
      <c r="CY22" s="424"/>
      <c r="CZ22" s="424"/>
      <c r="DA22" s="424"/>
      <c r="DB22" s="424"/>
      <c r="DC22" s="424"/>
      <c r="DD22" s="424"/>
      <c r="DE22" s="424"/>
      <c r="DF22" s="424"/>
      <c r="DG22" s="424"/>
      <c r="DH22" s="424"/>
      <c r="DI22" s="424"/>
      <c r="DJ22" s="424"/>
      <c r="DK22" s="424"/>
      <c r="DL22" s="424"/>
      <c r="DM22" s="424"/>
      <c r="DN22" s="424"/>
      <c r="DO22" s="424"/>
      <c r="DP22" s="424"/>
      <c r="DQ22" s="424"/>
      <c r="DR22" s="424"/>
      <c r="DS22" s="424"/>
      <c r="DT22" s="424"/>
    </row>
    <row r="23" spans="1:124" s="26" customFormat="1" ht="17.45" customHeight="1" x14ac:dyDescent="0.2">
      <c r="A23" s="330" t="s">
        <v>358</v>
      </c>
      <c r="B23" s="421">
        <v>1999213</v>
      </c>
      <c r="C23" s="130">
        <v>1574016</v>
      </c>
      <c r="D23" s="130">
        <v>1574016</v>
      </c>
      <c r="E23" s="231">
        <f>D23-C23</f>
        <v>0</v>
      </c>
      <c r="F23" s="560">
        <f>40560000+550000+4050000</f>
        <v>45160000</v>
      </c>
      <c r="G23" s="231">
        <v>45160000</v>
      </c>
      <c r="H23" s="231">
        <v>45160000</v>
      </c>
      <c r="I23" s="132">
        <f>H23-G23</f>
        <v>0</v>
      </c>
      <c r="J23" s="162"/>
      <c r="K23" s="130"/>
      <c r="L23" s="130"/>
      <c r="M23" s="130"/>
      <c r="N23" s="147">
        <f t="shared" si="12"/>
        <v>47159213</v>
      </c>
      <c r="O23" s="130">
        <f t="shared" ref="O23:P26" si="13">C23+G23+K23</f>
        <v>46734016</v>
      </c>
      <c r="P23" s="130">
        <f t="shared" si="13"/>
        <v>46734016</v>
      </c>
      <c r="Q23" s="132">
        <f t="shared" ref="Q23:Q33" si="14">E23+I23+M23</f>
        <v>0</v>
      </c>
      <c r="R23" s="162" t="e">
        <f>#REF!+#REF!+#REF!+#REF!+#REF!</f>
        <v>#REF!</v>
      </c>
      <c r="S23" s="231">
        <v>23800000</v>
      </c>
      <c r="T23" s="231">
        <v>23800000</v>
      </c>
      <c r="U23" s="231">
        <v>23800000</v>
      </c>
      <c r="V23" s="132">
        <f>U23-T23</f>
        <v>0</v>
      </c>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c r="BM23" s="425"/>
      <c r="BN23" s="425"/>
      <c r="BO23" s="425"/>
      <c r="BP23" s="425"/>
      <c r="BQ23" s="425"/>
      <c r="BR23" s="425"/>
      <c r="BS23" s="425"/>
      <c r="BT23" s="425"/>
      <c r="BU23" s="425"/>
      <c r="BV23" s="425"/>
      <c r="BW23" s="425"/>
      <c r="BX23" s="425"/>
      <c r="BY23" s="425"/>
      <c r="BZ23" s="425"/>
      <c r="CA23" s="425"/>
      <c r="CB23" s="425"/>
      <c r="CC23" s="425"/>
      <c r="CD23" s="425"/>
      <c r="CE23" s="425"/>
      <c r="CF23" s="425"/>
      <c r="CG23" s="425"/>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c r="DL23" s="425"/>
      <c r="DM23" s="425"/>
      <c r="DN23" s="425"/>
      <c r="DO23" s="425"/>
      <c r="DP23" s="425"/>
      <c r="DQ23" s="425"/>
      <c r="DR23" s="425"/>
      <c r="DS23" s="425"/>
      <c r="DT23" s="425"/>
    </row>
    <row r="24" spans="1:124" s="26" customFormat="1" ht="18.75" customHeight="1" x14ac:dyDescent="0.2">
      <c r="A24" s="331" t="s">
        <v>216</v>
      </c>
      <c r="B24" s="421"/>
      <c r="C24" s="130"/>
      <c r="D24" s="130"/>
      <c r="E24" s="231"/>
      <c r="F24" s="560"/>
      <c r="G24" s="130"/>
      <c r="H24" s="162"/>
      <c r="I24" s="132"/>
      <c r="J24" s="162"/>
      <c r="K24" s="130"/>
      <c r="L24" s="130"/>
      <c r="M24" s="130"/>
      <c r="N24" s="147">
        <f t="shared" si="12"/>
        <v>0</v>
      </c>
      <c r="O24" s="130">
        <f t="shared" si="13"/>
        <v>0</v>
      </c>
      <c r="P24" s="130">
        <f t="shared" si="13"/>
        <v>0</v>
      </c>
      <c r="Q24" s="132">
        <f t="shared" si="14"/>
        <v>0</v>
      </c>
      <c r="R24" s="162" t="e">
        <f>#REF!+#REF!+#REF!+#REF!+#REF!</f>
        <v>#REF!</v>
      </c>
      <c r="S24" s="231">
        <v>8200000</v>
      </c>
      <c r="T24" s="231">
        <v>8200000</v>
      </c>
      <c r="U24" s="231">
        <v>8200000</v>
      </c>
      <c r="V24" s="132">
        <f t="shared" ref="V24:V37" si="15">U24-T24</f>
        <v>0</v>
      </c>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c r="BM24" s="425"/>
      <c r="BN24" s="425"/>
      <c r="BO24" s="425"/>
      <c r="BP24" s="425"/>
      <c r="BQ24" s="425"/>
      <c r="BR24" s="425"/>
      <c r="BS24" s="425"/>
      <c r="BT24" s="425"/>
      <c r="BU24" s="425"/>
      <c r="BV24" s="425"/>
      <c r="BW24" s="425"/>
      <c r="BX24" s="425"/>
      <c r="BY24" s="425"/>
      <c r="BZ24" s="425"/>
      <c r="CA24" s="425"/>
      <c r="CB24" s="425"/>
      <c r="CC24" s="425"/>
      <c r="CD24" s="425"/>
      <c r="CE24" s="425"/>
      <c r="CF24" s="425"/>
      <c r="CG24" s="425"/>
      <c r="CH24" s="425"/>
      <c r="CI24" s="425"/>
      <c r="CJ24" s="425"/>
      <c r="CK24" s="425"/>
      <c r="CL24" s="425"/>
      <c r="CM24" s="425"/>
      <c r="CN24" s="425"/>
      <c r="CO24" s="425"/>
      <c r="CP24" s="425"/>
      <c r="CQ24" s="425"/>
      <c r="CR24" s="425"/>
      <c r="CS24" s="425"/>
      <c r="CT24" s="425"/>
      <c r="CU24" s="425"/>
      <c r="CV24" s="425"/>
      <c r="CW24" s="425"/>
      <c r="CX24" s="425"/>
      <c r="CY24" s="425"/>
      <c r="CZ24" s="425"/>
      <c r="DA24" s="425"/>
      <c r="DB24" s="425"/>
      <c r="DC24" s="425"/>
      <c r="DD24" s="425"/>
      <c r="DE24" s="425"/>
      <c r="DF24" s="425"/>
      <c r="DG24" s="425"/>
      <c r="DH24" s="425"/>
      <c r="DI24" s="425"/>
      <c r="DJ24" s="425"/>
      <c r="DK24" s="425"/>
      <c r="DL24" s="425"/>
      <c r="DM24" s="425"/>
      <c r="DN24" s="425"/>
      <c r="DO24" s="425"/>
      <c r="DP24" s="425"/>
      <c r="DQ24" s="425"/>
      <c r="DR24" s="425"/>
      <c r="DS24" s="425"/>
      <c r="DT24" s="425"/>
    </row>
    <row r="25" spans="1:124" s="26" customFormat="1" ht="17.45" customHeight="1" x14ac:dyDescent="0.2">
      <c r="A25" s="327" t="s">
        <v>436</v>
      </c>
      <c r="B25" s="421"/>
      <c r="C25" s="130"/>
      <c r="D25" s="130"/>
      <c r="E25" s="231"/>
      <c r="F25" s="560"/>
      <c r="G25" s="231"/>
      <c r="H25" s="231"/>
      <c r="I25" s="132"/>
      <c r="J25" s="130">
        <v>228346</v>
      </c>
      <c r="K25" s="130">
        <v>228346</v>
      </c>
      <c r="L25" s="130">
        <v>228346</v>
      </c>
      <c r="M25" s="130">
        <f>L25-K25</f>
        <v>0</v>
      </c>
      <c r="N25" s="147">
        <f t="shared" si="12"/>
        <v>228346</v>
      </c>
      <c r="O25" s="130">
        <f t="shared" si="13"/>
        <v>228346</v>
      </c>
      <c r="P25" s="130">
        <f t="shared" si="13"/>
        <v>228346</v>
      </c>
      <c r="Q25" s="132">
        <f t="shared" si="14"/>
        <v>0</v>
      </c>
      <c r="R25" s="162" t="e">
        <f>#REF!+#REF!+#REF!+#REF!+#REF!</f>
        <v>#REF!</v>
      </c>
      <c r="S25" s="231">
        <f>2250000+1375000</f>
        <v>3625000</v>
      </c>
      <c r="T25" s="231">
        <v>3625000</v>
      </c>
      <c r="U25" s="231">
        <v>3625000</v>
      </c>
      <c r="V25" s="132">
        <f t="shared" si="15"/>
        <v>0</v>
      </c>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c r="BM25" s="425"/>
      <c r="BN25" s="425"/>
      <c r="BO25" s="425"/>
      <c r="BP25" s="425"/>
      <c r="BQ25" s="425"/>
      <c r="BR25" s="425"/>
      <c r="BS25" s="425"/>
      <c r="BT25" s="425"/>
      <c r="BU25" s="425"/>
      <c r="BV25" s="425"/>
      <c r="BW25" s="425"/>
      <c r="BX25" s="425"/>
      <c r="BY25" s="425"/>
      <c r="BZ25" s="425"/>
      <c r="CA25" s="425"/>
      <c r="CB25" s="425"/>
      <c r="CC25" s="425"/>
      <c r="CD25" s="425"/>
      <c r="CE25" s="425"/>
      <c r="CF25" s="425"/>
      <c r="CG25" s="425"/>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c r="DL25" s="425"/>
      <c r="DM25" s="425"/>
      <c r="DN25" s="425"/>
      <c r="DO25" s="425"/>
      <c r="DP25" s="425"/>
      <c r="DQ25" s="425"/>
      <c r="DR25" s="425"/>
      <c r="DS25" s="425"/>
      <c r="DT25" s="425"/>
    </row>
    <row r="26" spans="1:124" s="26" customFormat="1" ht="17.45" customHeight="1" x14ac:dyDescent="0.2">
      <c r="A26" s="327" t="s">
        <v>366</v>
      </c>
      <c r="B26" s="421"/>
      <c r="C26" s="130"/>
      <c r="D26" s="130"/>
      <c r="E26" s="231"/>
      <c r="F26" s="560"/>
      <c r="G26" s="231"/>
      <c r="H26" s="231"/>
      <c r="I26" s="132"/>
      <c r="J26" s="130"/>
      <c r="K26" s="130"/>
      <c r="L26" s="130"/>
      <c r="M26" s="130">
        <f t="shared" ref="M26:M29" si="16">L26-K26</f>
        <v>0</v>
      </c>
      <c r="N26" s="147">
        <f t="shared" si="12"/>
        <v>0</v>
      </c>
      <c r="O26" s="130">
        <f t="shared" si="13"/>
        <v>0</v>
      </c>
      <c r="P26" s="130">
        <f t="shared" si="13"/>
        <v>0</v>
      </c>
      <c r="Q26" s="132">
        <f t="shared" si="14"/>
        <v>0</v>
      </c>
      <c r="R26" s="162" t="e">
        <f>#REF!+#REF!+#REF!+#REF!+#REF!</f>
        <v>#REF!</v>
      </c>
      <c r="S26" s="231"/>
      <c r="T26" s="231"/>
      <c r="U26" s="231"/>
      <c r="V26" s="132">
        <f t="shared" si="15"/>
        <v>0</v>
      </c>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c r="BY26" s="425"/>
      <c r="BZ26" s="425"/>
      <c r="CA26" s="425"/>
      <c r="CB26" s="425"/>
      <c r="CC26" s="425"/>
      <c r="CD26" s="425"/>
      <c r="CE26" s="425"/>
      <c r="CF26" s="425"/>
      <c r="CG26" s="425"/>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c r="DL26" s="425"/>
      <c r="DM26" s="425"/>
      <c r="DN26" s="425"/>
      <c r="DO26" s="425"/>
      <c r="DP26" s="425"/>
      <c r="DQ26" s="425"/>
      <c r="DR26" s="425"/>
      <c r="DS26" s="425"/>
      <c r="DT26" s="425"/>
    </row>
    <row r="27" spans="1:124" s="26" customFormat="1" ht="13.7" customHeight="1" x14ac:dyDescent="0.2">
      <c r="A27" s="332" t="s">
        <v>439</v>
      </c>
      <c r="B27" s="421"/>
      <c r="C27" s="130"/>
      <c r="D27" s="130"/>
      <c r="E27" s="231"/>
      <c r="F27" s="560"/>
      <c r="G27" s="231"/>
      <c r="H27" s="231"/>
      <c r="I27" s="132"/>
      <c r="J27" s="130">
        <v>1216215</v>
      </c>
      <c r="K27" s="130">
        <v>1216215</v>
      </c>
      <c r="L27" s="130">
        <v>1216215</v>
      </c>
      <c r="M27" s="130">
        <f t="shared" si="16"/>
        <v>0</v>
      </c>
      <c r="N27" s="147">
        <f t="shared" si="12"/>
        <v>1216215</v>
      </c>
      <c r="O27" s="130">
        <f t="shared" ref="O27:P33" si="17">C27+G27+K27</f>
        <v>1216215</v>
      </c>
      <c r="P27" s="130">
        <f t="shared" si="17"/>
        <v>1216215</v>
      </c>
      <c r="Q27" s="132">
        <f t="shared" si="14"/>
        <v>0</v>
      </c>
      <c r="R27" s="162" t="e">
        <f>#REF!+#REF!+#REF!+#REF!+#REF!</f>
        <v>#REF!</v>
      </c>
      <c r="S27" s="231"/>
      <c r="T27" s="231"/>
      <c r="U27" s="231"/>
      <c r="V27" s="132">
        <f t="shared" si="15"/>
        <v>0</v>
      </c>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c r="BM27" s="425"/>
      <c r="BN27" s="425"/>
      <c r="BO27" s="425"/>
      <c r="BP27" s="425"/>
      <c r="BQ27" s="425"/>
      <c r="BR27" s="425"/>
      <c r="BS27" s="425"/>
      <c r="BT27" s="425"/>
      <c r="BU27" s="425"/>
      <c r="BV27" s="425"/>
      <c r="BW27" s="425"/>
      <c r="BX27" s="425"/>
      <c r="BY27" s="425"/>
      <c r="BZ27" s="425"/>
      <c r="CA27" s="425"/>
      <c r="CB27" s="425"/>
      <c r="CC27" s="425"/>
      <c r="CD27" s="425"/>
      <c r="CE27" s="425"/>
      <c r="CF27" s="425"/>
      <c r="CG27" s="425"/>
      <c r="CH27" s="425"/>
      <c r="CI27" s="425"/>
      <c r="CJ27" s="425"/>
      <c r="CK27" s="425"/>
      <c r="CL27" s="425"/>
      <c r="CM27" s="425"/>
      <c r="CN27" s="425"/>
      <c r="CO27" s="425"/>
      <c r="CP27" s="425"/>
      <c r="CQ27" s="425"/>
      <c r="CR27" s="425"/>
      <c r="CS27" s="425"/>
      <c r="CT27" s="425"/>
      <c r="CU27" s="425"/>
      <c r="CV27" s="425"/>
      <c r="CW27" s="425"/>
      <c r="CX27" s="425"/>
      <c r="CY27" s="425"/>
      <c r="CZ27" s="425"/>
      <c r="DA27" s="425"/>
      <c r="DB27" s="425"/>
      <c r="DC27" s="425"/>
      <c r="DD27" s="425"/>
      <c r="DE27" s="425"/>
      <c r="DF27" s="425"/>
      <c r="DG27" s="425"/>
      <c r="DH27" s="425"/>
      <c r="DI27" s="425"/>
      <c r="DJ27" s="425"/>
      <c r="DK27" s="425"/>
      <c r="DL27" s="425"/>
      <c r="DM27" s="425"/>
      <c r="DN27" s="425"/>
      <c r="DO27" s="425"/>
      <c r="DP27" s="425"/>
      <c r="DQ27" s="425"/>
      <c r="DR27" s="425"/>
      <c r="DS27" s="425"/>
      <c r="DT27" s="425"/>
    </row>
    <row r="28" spans="1:124" s="26" customFormat="1" x14ac:dyDescent="0.2">
      <c r="A28" s="331" t="s">
        <v>440</v>
      </c>
      <c r="B28" s="421">
        <v>539787</v>
      </c>
      <c r="C28" s="130">
        <v>424984</v>
      </c>
      <c r="D28" s="130">
        <v>424984</v>
      </c>
      <c r="E28" s="231">
        <f t="shared" ref="E28:E33" si="18">D28-C28</f>
        <v>0</v>
      </c>
      <c r="F28" s="560"/>
      <c r="G28" s="231"/>
      <c r="H28" s="231"/>
      <c r="I28" s="132"/>
      <c r="J28" s="130">
        <f>328378+61654</f>
        <v>390032</v>
      </c>
      <c r="K28" s="130">
        <v>390032</v>
      </c>
      <c r="L28" s="130">
        <v>390032</v>
      </c>
      <c r="M28" s="130">
        <f t="shared" si="16"/>
        <v>0</v>
      </c>
      <c r="N28" s="147">
        <f t="shared" si="12"/>
        <v>929819</v>
      </c>
      <c r="O28" s="130">
        <f t="shared" si="17"/>
        <v>815016</v>
      </c>
      <c r="P28" s="130">
        <f t="shared" si="17"/>
        <v>815016</v>
      </c>
      <c r="Q28" s="132">
        <f t="shared" si="14"/>
        <v>0</v>
      </c>
      <c r="R28" s="162" t="e">
        <f>#REF!+#REF!+#REF!+#REF!+#REF!</f>
        <v>#REF!</v>
      </c>
      <c r="S28" s="231">
        <f>5413500+371250+200693</f>
        <v>5985443</v>
      </c>
      <c r="T28" s="231">
        <v>5784750</v>
      </c>
      <c r="U28" s="231">
        <v>5784750</v>
      </c>
      <c r="V28" s="132">
        <f t="shared" si="15"/>
        <v>0</v>
      </c>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c r="BM28" s="425"/>
      <c r="BN28" s="425"/>
      <c r="BO28" s="425"/>
      <c r="BP28" s="425"/>
      <c r="BQ28" s="425"/>
      <c r="BR28" s="425"/>
      <c r="BS28" s="425"/>
      <c r="BT28" s="425"/>
      <c r="BU28" s="425"/>
      <c r="BV28" s="425"/>
      <c r="BW28" s="425"/>
      <c r="BX28" s="425"/>
      <c r="BY28" s="425"/>
      <c r="BZ28" s="425"/>
      <c r="CA28" s="425"/>
      <c r="CB28" s="425"/>
      <c r="CC28" s="425"/>
      <c r="CD28" s="425"/>
      <c r="CE28" s="425"/>
      <c r="CF28" s="425"/>
      <c r="CG28" s="425"/>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c r="DL28" s="425"/>
      <c r="DM28" s="425"/>
      <c r="DN28" s="425"/>
      <c r="DO28" s="425"/>
      <c r="DP28" s="425"/>
      <c r="DQ28" s="425"/>
      <c r="DR28" s="425"/>
      <c r="DS28" s="425"/>
      <c r="DT28" s="425"/>
    </row>
    <row r="29" spans="1:124" s="26" customFormat="1" x14ac:dyDescent="0.2">
      <c r="A29" s="331" t="s">
        <v>441</v>
      </c>
      <c r="B29" s="421"/>
      <c r="C29" s="130"/>
      <c r="D29" s="130"/>
      <c r="E29" s="231">
        <f t="shared" si="18"/>
        <v>0</v>
      </c>
      <c r="F29" s="560"/>
      <c r="G29" s="231"/>
      <c r="H29" s="231"/>
      <c r="I29" s="132"/>
      <c r="J29" s="130">
        <v>650000</v>
      </c>
      <c r="K29" s="130">
        <v>380000</v>
      </c>
      <c r="L29" s="130">
        <v>380000</v>
      </c>
      <c r="M29" s="130">
        <f t="shared" si="16"/>
        <v>0</v>
      </c>
      <c r="N29" s="147">
        <f t="shared" si="12"/>
        <v>650000</v>
      </c>
      <c r="O29" s="130">
        <f t="shared" si="17"/>
        <v>380000</v>
      </c>
      <c r="P29" s="130">
        <f t="shared" si="17"/>
        <v>380000</v>
      </c>
      <c r="Q29" s="132">
        <f t="shared" si="14"/>
        <v>0</v>
      </c>
      <c r="R29" s="162" t="e">
        <f>#REF!+#REF!+#REF!+#REF!+#REF!</f>
        <v>#REF!</v>
      </c>
      <c r="S29" s="147"/>
      <c r="T29" s="231"/>
      <c r="U29" s="231"/>
      <c r="V29" s="132">
        <f t="shared" si="15"/>
        <v>0</v>
      </c>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c r="DL29" s="425"/>
      <c r="DM29" s="425"/>
      <c r="DN29" s="425"/>
      <c r="DO29" s="425"/>
      <c r="DP29" s="425"/>
      <c r="DQ29" s="425"/>
      <c r="DR29" s="425"/>
      <c r="DS29" s="425"/>
      <c r="DT29" s="425"/>
    </row>
    <row r="30" spans="1:124" s="26" customFormat="1" ht="15" customHeight="1" x14ac:dyDescent="0.2">
      <c r="A30" s="331" t="s">
        <v>442</v>
      </c>
      <c r="B30" s="421"/>
      <c r="C30" s="130"/>
      <c r="D30" s="130"/>
      <c r="E30" s="231">
        <f t="shared" si="18"/>
        <v>0</v>
      </c>
      <c r="F30" s="560"/>
      <c r="G30" s="231"/>
      <c r="H30" s="231"/>
      <c r="I30" s="132"/>
      <c r="J30" s="162"/>
      <c r="K30" s="130"/>
      <c r="L30" s="130"/>
      <c r="M30" s="130"/>
      <c r="N30" s="147">
        <f t="shared" si="12"/>
        <v>0</v>
      </c>
      <c r="O30" s="130">
        <f t="shared" si="17"/>
        <v>0</v>
      </c>
      <c r="P30" s="130">
        <f t="shared" si="17"/>
        <v>0</v>
      </c>
      <c r="Q30" s="132">
        <f t="shared" si="14"/>
        <v>0</v>
      </c>
      <c r="R30" s="162" t="e">
        <f>#REF!+#REF!+#REF!+#REF!+#REF!</f>
        <v>#REF!</v>
      </c>
      <c r="S30" s="147"/>
      <c r="T30" s="231"/>
      <c r="U30" s="231"/>
      <c r="V30" s="132">
        <f t="shared" si="15"/>
        <v>0</v>
      </c>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c r="BM30" s="425"/>
      <c r="BN30" s="425"/>
      <c r="BO30" s="425"/>
      <c r="BP30" s="425"/>
      <c r="BQ30" s="425"/>
      <c r="BR30" s="425"/>
      <c r="BS30" s="425"/>
      <c r="BT30" s="425"/>
      <c r="BU30" s="425"/>
      <c r="BV30" s="425"/>
      <c r="BW30" s="425"/>
      <c r="BX30" s="425"/>
      <c r="BY30" s="425"/>
      <c r="BZ30" s="425"/>
      <c r="CA30" s="425"/>
      <c r="CB30" s="425"/>
      <c r="CC30" s="425"/>
      <c r="CD30" s="425"/>
      <c r="CE30" s="425"/>
      <c r="CF30" s="425"/>
      <c r="CG30" s="425"/>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c r="DL30" s="425"/>
      <c r="DM30" s="425"/>
      <c r="DN30" s="425"/>
      <c r="DO30" s="425"/>
      <c r="DP30" s="425"/>
      <c r="DQ30" s="425"/>
      <c r="DR30" s="425"/>
      <c r="DS30" s="425"/>
      <c r="DT30" s="425"/>
    </row>
    <row r="31" spans="1:124" s="26" customFormat="1" ht="15" customHeight="1" x14ac:dyDescent="0.2">
      <c r="A31" s="330" t="s">
        <v>361</v>
      </c>
      <c r="B31" s="421"/>
      <c r="C31" s="130"/>
      <c r="D31" s="130"/>
      <c r="E31" s="231">
        <f t="shared" si="18"/>
        <v>0</v>
      </c>
      <c r="F31" s="560"/>
      <c r="G31" s="231"/>
      <c r="H31" s="231"/>
      <c r="I31" s="132"/>
      <c r="J31" s="162"/>
      <c r="K31" s="231"/>
      <c r="L31" s="231"/>
      <c r="M31" s="231"/>
      <c r="N31" s="147">
        <f t="shared" si="12"/>
        <v>0</v>
      </c>
      <c r="O31" s="130">
        <f t="shared" si="17"/>
        <v>0</v>
      </c>
      <c r="P31" s="130">
        <f t="shared" si="17"/>
        <v>0</v>
      </c>
      <c r="Q31" s="132">
        <f t="shared" si="14"/>
        <v>0</v>
      </c>
      <c r="R31" s="162"/>
      <c r="S31" s="147"/>
      <c r="T31" s="231"/>
      <c r="U31" s="231"/>
      <c r="V31" s="132">
        <f t="shared" si="15"/>
        <v>0</v>
      </c>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c r="BM31" s="425"/>
      <c r="BN31" s="425"/>
      <c r="BO31" s="425"/>
      <c r="BP31" s="425"/>
      <c r="BQ31" s="425"/>
      <c r="BR31" s="425"/>
      <c r="BS31" s="425"/>
      <c r="BT31" s="425"/>
      <c r="BU31" s="425"/>
      <c r="BV31" s="425"/>
      <c r="BW31" s="425"/>
      <c r="BX31" s="425"/>
      <c r="BY31" s="425"/>
      <c r="BZ31" s="425"/>
      <c r="CA31" s="425"/>
      <c r="CB31" s="425"/>
      <c r="CC31" s="425"/>
      <c r="CD31" s="425"/>
      <c r="CE31" s="425"/>
      <c r="CF31" s="425"/>
      <c r="CG31" s="425"/>
      <c r="CH31" s="425"/>
      <c r="CI31" s="425"/>
      <c r="CJ31" s="425"/>
      <c r="CK31" s="425"/>
      <c r="CL31" s="425"/>
      <c r="CM31" s="425"/>
      <c r="CN31" s="425"/>
      <c r="CO31" s="425"/>
      <c r="CP31" s="425"/>
      <c r="CQ31" s="425"/>
      <c r="CR31" s="425"/>
      <c r="CS31" s="425"/>
      <c r="CT31" s="425"/>
      <c r="CU31" s="425"/>
      <c r="CV31" s="425"/>
      <c r="CW31" s="425"/>
      <c r="CX31" s="425"/>
      <c r="CY31" s="425"/>
      <c r="CZ31" s="425"/>
      <c r="DA31" s="425"/>
      <c r="DB31" s="425"/>
      <c r="DC31" s="425"/>
      <c r="DD31" s="425"/>
      <c r="DE31" s="425"/>
      <c r="DF31" s="425"/>
      <c r="DG31" s="425"/>
      <c r="DH31" s="425"/>
      <c r="DI31" s="425"/>
      <c r="DJ31" s="425"/>
      <c r="DK31" s="425"/>
      <c r="DL31" s="425"/>
      <c r="DM31" s="425"/>
      <c r="DN31" s="425"/>
      <c r="DO31" s="425"/>
      <c r="DP31" s="425"/>
      <c r="DQ31" s="425"/>
      <c r="DR31" s="425"/>
      <c r="DS31" s="425"/>
      <c r="DT31" s="425"/>
    </row>
    <row r="32" spans="1:124" s="26" customFormat="1" ht="15" customHeight="1" x14ac:dyDescent="0.2">
      <c r="A32" s="330" t="s">
        <v>359</v>
      </c>
      <c r="B32" s="421"/>
      <c r="C32" s="130"/>
      <c r="D32" s="130"/>
      <c r="E32" s="231">
        <f t="shared" si="18"/>
        <v>0</v>
      </c>
      <c r="F32" s="560"/>
      <c r="G32" s="231"/>
      <c r="H32" s="231"/>
      <c r="I32" s="132"/>
      <c r="J32" s="162"/>
      <c r="K32" s="130"/>
      <c r="L32" s="130"/>
      <c r="M32" s="130"/>
      <c r="N32" s="147">
        <f t="shared" si="12"/>
        <v>0</v>
      </c>
      <c r="O32" s="130">
        <f t="shared" si="17"/>
        <v>0</v>
      </c>
      <c r="P32" s="130">
        <f t="shared" si="17"/>
        <v>0</v>
      </c>
      <c r="Q32" s="132">
        <f t="shared" si="14"/>
        <v>0</v>
      </c>
      <c r="R32" s="162"/>
      <c r="S32" s="147"/>
      <c r="T32" s="231"/>
      <c r="U32" s="231"/>
      <c r="V32" s="132">
        <f t="shared" si="15"/>
        <v>0</v>
      </c>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c r="BM32" s="425"/>
      <c r="BN32" s="425"/>
      <c r="BO32" s="425"/>
      <c r="BP32" s="425"/>
      <c r="BQ32" s="425"/>
      <c r="BR32" s="425"/>
      <c r="BS32" s="425"/>
      <c r="BT32" s="425"/>
      <c r="BU32" s="425"/>
      <c r="BV32" s="425"/>
      <c r="BW32" s="425"/>
      <c r="BX32" s="425"/>
      <c r="BY32" s="425"/>
      <c r="BZ32" s="425"/>
      <c r="CA32" s="425"/>
      <c r="CB32" s="425"/>
      <c r="CC32" s="425"/>
      <c r="CD32" s="425"/>
      <c r="CE32" s="425"/>
      <c r="CF32" s="425"/>
      <c r="CG32" s="425"/>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c r="DL32" s="425"/>
      <c r="DM32" s="425"/>
      <c r="DN32" s="425"/>
      <c r="DO32" s="425"/>
      <c r="DP32" s="425"/>
      <c r="DQ32" s="425"/>
      <c r="DR32" s="425"/>
      <c r="DS32" s="425"/>
      <c r="DT32" s="425"/>
    </row>
    <row r="33" spans="1:124" s="26" customFormat="1" ht="17.45" customHeight="1" x14ac:dyDescent="0.2">
      <c r="A33" s="333" t="s">
        <v>360</v>
      </c>
      <c r="B33" s="421">
        <v>20000</v>
      </c>
      <c r="C33" s="130">
        <v>20000</v>
      </c>
      <c r="D33" s="130">
        <v>20000</v>
      </c>
      <c r="E33" s="231">
        <f t="shared" si="18"/>
        <v>0</v>
      </c>
      <c r="F33" s="560"/>
      <c r="G33" s="231"/>
      <c r="H33" s="231"/>
      <c r="I33" s="132"/>
      <c r="J33" s="162"/>
      <c r="K33" s="130"/>
      <c r="L33" s="130"/>
      <c r="M33" s="130"/>
      <c r="N33" s="147">
        <f t="shared" si="12"/>
        <v>20000</v>
      </c>
      <c r="O33" s="130">
        <f t="shared" si="17"/>
        <v>20000</v>
      </c>
      <c r="P33" s="130">
        <f t="shared" si="17"/>
        <v>20000</v>
      </c>
      <c r="Q33" s="132">
        <f t="shared" si="14"/>
        <v>0</v>
      </c>
      <c r="R33" s="162" t="e">
        <f>#REF!+#REF!+#REF!+#REF!+#REF!</f>
        <v>#REF!</v>
      </c>
      <c r="S33" s="147"/>
      <c r="T33" s="231"/>
      <c r="U33" s="231"/>
      <c r="V33" s="132">
        <f t="shared" si="15"/>
        <v>0</v>
      </c>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c r="BM33" s="425"/>
      <c r="BN33" s="425"/>
      <c r="BO33" s="425"/>
      <c r="BP33" s="425"/>
      <c r="BQ33" s="425"/>
      <c r="BR33" s="425"/>
      <c r="BS33" s="425"/>
      <c r="BT33" s="425"/>
      <c r="BU33" s="425"/>
      <c r="BV33" s="425"/>
      <c r="BW33" s="425"/>
      <c r="BX33" s="425"/>
      <c r="BY33" s="425"/>
      <c r="BZ33" s="425"/>
      <c r="CA33" s="425"/>
      <c r="CB33" s="425"/>
      <c r="CC33" s="425"/>
      <c r="CD33" s="425"/>
      <c r="CE33" s="425"/>
      <c r="CF33" s="425"/>
      <c r="CG33" s="425"/>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c r="DL33" s="425"/>
      <c r="DM33" s="425"/>
      <c r="DN33" s="425"/>
      <c r="DO33" s="425"/>
      <c r="DP33" s="425"/>
      <c r="DQ33" s="425"/>
      <c r="DR33" s="425"/>
      <c r="DS33" s="425"/>
      <c r="DT33" s="425"/>
    </row>
    <row r="34" spans="1:124" s="24" customFormat="1" ht="14.25" customHeight="1" x14ac:dyDescent="0.25">
      <c r="A34" s="329" t="s">
        <v>377</v>
      </c>
      <c r="B34" s="422"/>
      <c r="C34" s="95">
        <f>SUM(C35:C39)</f>
        <v>0</v>
      </c>
      <c r="D34" s="95">
        <f>SUM(D35:D39)</f>
        <v>0</v>
      </c>
      <c r="E34" s="134">
        <f>SUM(E35:E39)</f>
        <v>0</v>
      </c>
      <c r="F34" s="561">
        <f t="shared" ref="F34:H34" si="19">SUM(F35:F39)</f>
        <v>0</v>
      </c>
      <c r="G34" s="134">
        <f t="shared" ref="G34" si="20">SUM(G35:G39)</f>
        <v>0</v>
      </c>
      <c r="H34" s="134">
        <f t="shared" si="19"/>
        <v>0</v>
      </c>
      <c r="I34" s="605">
        <f t="shared" ref="I34:Q34" si="21">SUM(I35:I39)</f>
        <v>0</v>
      </c>
      <c r="J34" s="156">
        <f t="shared" ref="J34:L34" si="22">SUM(J35:J39)</f>
        <v>0</v>
      </c>
      <c r="K34" s="95">
        <f t="shared" ref="K34" si="23">SUM(K35:K39)</f>
        <v>0</v>
      </c>
      <c r="L34" s="95">
        <f t="shared" si="22"/>
        <v>0</v>
      </c>
      <c r="M34" s="95">
        <f t="shared" si="21"/>
        <v>0</v>
      </c>
      <c r="N34" s="146">
        <f t="shared" si="21"/>
        <v>0</v>
      </c>
      <c r="O34" s="95">
        <f t="shared" si="21"/>
        <v>0</v>
      </c>
      <c r="P34" s="95">
        <f t="shared" ref="P34" si="24">SUM(P35:P39)</f>
        <v>0</v>
      </c>
      <c r="Q34" s="605">
        <f t="shared" si="21"/>
        <v>0</v>
      </c>
      <c r="R34" s="156" t="e">
        <f>#REF!+#REF!+#REF!+#REF!+#REF!</f>
        <v>#REF!</v>
      </c>
      <c r="S34" s="146">
        <f>SUM(S35:S39)</f>
        <v>743307</v>
      </c>
      <c r="T34" s="95">
        <f>SUM(T35:T39)</f>
        <v>1070000</v>
      </c>
      <c r="U34" s="95">
        <f>SUM(U35:U39)</f>
        <v>1070000</v>
      </c>
      <c r="V34" s="605">
        <f t="shared" si="15"/>
        <v>0</v>
      </c>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row>
    <row r="35" spans="1:124" s="26" customFormat="1" ht="15" customHeight="1" x14ac:dyDescent="0.2">
      <c r="A35" s="327" t="s">
        <v>443</v>
      </c>
      <c r="B35" s="421"/>
      <c r="C35" s="130"/>
      <c r="D35" s="130"/>
      <c r="E35" s="231"/>
      <c r="F35" s="560"/>
      <c r="G35" s="231"/>
      <c r="H35" s="231"/>
      <c r="I35" s="132"/>
      <c r="J35" s="162"/>
      <c r="K35" s="130"/>
      <c r="L35" s="130"/>
      <c r="M35" s="130"/>
      <c r="N35" s="147">
        <f>B35+F35+J35</f>
        <v>0</v>
      </c>
      <c r="O35" s="231"/>
      <c r="P35" s="231"/>
      <c r="Q35" s="132"/>
      <c r="R35" s="163"/>
      <c r="S35" s="147"/>
      <c r="T35" s="231"/>
      <c r="U35" s="231"/>
      <c r="V35" s="132">
        <f t="shared" si="15"/>
        <v>0</v>
      </c>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c r="BM35" s="425"/>
      <c r="BN35" s="425"/>
      <c r="BO35" s="425"/>
      <c r="BP35" s="425"/>
      <c r="BQ35" s="425"/>
      <c r="BR35" s="425"/>
      <c r="BS35" s="425"/>
      <c r="BT35" s="425"/>
      <c r="BU35" s="425"/>
      <c r="BV35" s="425"/>
      <c r="BW35" s="425"/>
      <c r="BX35" s="425"/>
      <c r="BY35" s="425"/>
      <c r="BZ35" s="425"/>
      <c r="CA35" s="425"/>
      <c r="CB35" s="425"/>
      <c r="CC35" s="425"/>
      <c r="CD35" s="425"/>
      <c r="CE35" s="425"/>
      <c r="CF35" s="425"/>
      <c r="CG35" s="425"/>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c r="DL35" s="425"/>
      <c r="DM35" s="425"/>
      <c r="DN35" s="425"/>
      <c r="DO35" s="425"/>
      <c r="DP35" s="425"/>
      <c r="DQ35" s="425"/>
      <c r="DR35" s="425"/>
      <c r="DS35" s="425"/>
      <c r="DT35" s="425"/>
    </row>
    <row r="36" spans="1:124" s="26" customFormat="1" ht="15" customHeight="1" x14ac:dyDescent="0.2">
      <c r="A36" s="327" t="s">
        <v>444</v>
      </c>
      <c r="B36" s="421"/>
      <c r="C36" s="130"/>
      <c r="D36" s="130"/>
      <c r="E36" s="231"/>
      <c r="F36" s="560"/>
      <c r="G36" s="231"/>
      <c r="H36" s="231"/>
      <c r="I36" s="132"/>
      <c r="J36" s="162"/>
      <c r="K36" s="130"/>
      <c r="L36" s="130"/>
      <c r="M36" s="130"/>
      <c r="N36" s="147">
        <f>B36+F36+J36</f>
        <v>0</v>
      </c>
      <c r="O36" s="231"/>
      <c r="P36" s="231"/>
      <c r="Q36" s="132"/>
      <c r="R36" s="163"/>
      <c r="S36" s="147"/>
      <c r="T36" s="231"/>
      <c r="U36" s="231"/>
      <c r="V36" s="132">
        <f t="shared" si="15"/>
        <v>0</v>
      </c>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425"/>
      <c r="DT36" s="425"/>
    </row>
    <row r="37" spans="1:124" s="26" customFormat="1" ht="15" customHeight="1" x14ac:dyDescent="0.2">
      <c r="A37" s="334" t="s">
        <v>445</v>
      </c>
      <c r="B37" s="421"/>
      <c r="C37" s="130"/>
      <c r="D37" s="130"/>
      <c r="E37" s="231"/>
      <c r="F37" s="560"/>
      <c r="G37" s="231"/>
      <c r="H37" s="231"/>
      <c r="I37" s="132"/>
      <c r="J37" s="162"/>
      <c r="K37" s="130"/>
      <c r="L37" s="130"/>
      <c r="M37" s="130"/>
      <c r="N37" s="147">
        <f>B37+F37+J37</f>
        <v>0</v>
      </c>
      <c r="O37" s="130">
        <f>C37+G37+K37</f>
        <v>0</v>
      </c>
      <c r="P37" s="130">
        <f>D37+H37+L37</f>
        <v>0</v>
      </c>
      <c r="Q37" s="132">
        <f>E37+I37+M37</f>
        <v>0</v>
      </c>
      <c r="R37" s="163"/>
      <c r="S37" s="147">
        <v>743307</v>
      </c>
      <c r="T37" s="231">
        <v>1070000</v>
      </c>
      <c r="U37" s="231">
        <v>1070000</v>
      </c>
      <c r="V37" s="132">
        <f t="shared" si="15"/>
        <v>0</v>
      </c>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425"/>
      <c r="DT37" s="425"/>
    </row>
    <row r="38" spans="1:124" s="26" customFormat="1" ht="15" customHeight="1" x14ac:dyDescent="0.2">
      <c r="A38" s="327" t="s">
        <v>446</v>
      </c>
      <c r="B38" s="421"/>
      <c r="C38" s="130"/>
      <c r="D38" s="130"/>
      <c r="E38" s="231"/>
      <c r="F38" s="560"/>
      <c r="G38" s="231"/>
      <c r="H38" s="231"/>
      <c r="I38" s="132"/>
      <c r="J38" s="162"/>
      <c r="K38" s="130"/>
      <c r="L38" s="130"/>
      <c r="M38" s="130"/>
      <c r="N38" s="147">
        <f>B38+F38+J38</f>
        <v>0</v>
      </c>
      <c r="O38" s="231"/>
      <c r="P38" s="231"/>
      <c r="Q38" s="132"/>
      <c r="R38" s="163"/>
      <c r="S38" s="147"/>
      <c r="T38" s="231"/>
      <c r="U38" s="231"/>
      <c r="V38" s="132"/>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c r="DS38" s="425"/>
      <c r="DT38" s="425"/>
    </row>
    <row r="39" spans="1:124" s="26" customFormat="1" ht="24" customHeight="1" x14ac:dyDescent="0.2">
      <c r="A39" s="327" t="s">
        <v>447</v>
      </c>
      <c r="B39" s="421"/>
      <c r="C39" s="130"/>
      <c r="D39" s="130"/>
      <c r="E39" s="231"/>
      <c r="F39" s="560"/>
      <c r="G39" s="231"/>
      <c r="H39" s="231"/>
      <c r="I39" s="132"/>
      <c r="J39" s="162"/>
      <c r="K39" s="130"/>
      <c r="L39" s="130"/>
      <c r="M39" s="130"/>
      <c r="N39" s="147">
        <f>B39+F39+J39</f>
        <v>0</v>
      </c>
      <c r="O39" s="231"/>
      <c r="P39" s="231"/>
      <c r="Q39" s="132"/>
      <c r="R39" s="163"/>
      <c r="S39" s="147"/>
      <c r="T39" s="231"/>
      <c r="U39" s="231"/>
      <c r="V39" s="132"/>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c r="DS39" s="425"/>
      <c r="DT39" s="425"/>
    </row>
    <row r="40" spans="1:124" s="24" customFormat="1" ht="24.75" customHeight="1" x14ac:dyDescent="0.25">
      <c r="A40" s="329" t="s">
        <v>378</v>
      </c>
      <c r="B40" s="422"/>
      <c r="C40" s="95"/>
      <c r="D40" s="95"/>
      <c r="E40" s="134"/>
      <c r="F40" s="561">
        <f>F41</f>
        <v>0</v>
      </c>
      <c r="G40" s="134">
        <f>G41</f>
        <v>0</v>
      </c>
      <c r="H40" s="134">
        <f>H41</f>
        <v>0</v>
      </c>
      <c r="I40" s="605">
        <f>I41</f>
        <v>0</v>
      </c>
      <c r="J40" s="156"/>
      <c r="K40" s="95">
        <f>K41</f>
        <v>0</v>
      </c>
      <c r="L40" s="95">
        <f>L41</f>
        <v>0</v>
      </c>
      <c r="M40" s="95">
        <f>M41</f>
        <v>0</v>
      </c>
      <c r="N40" s="146">
        <f>SUM(N41)</f>
        <v>0</v>
      </c>
      <c r="O40" s="95">
        <f>SUM(O41)</f>
        <v>0</v>
      </c>
      <c r="P40" s="95">
        <f>SUM(P41)</f>
        <v>0</v>
      </c>
      <c r="Q40" s="605">
        <f>SUM(Q41)</f>
        <v>0</v>
      </c>
      <c r="R40" s="156" t="e">
        <f>#REF!+#REF!+#REF!+#REF!+#REF!</f>
        <v>#REF!</v>
      </c>
      <c r="S40" s="146"/>
      <c r="T40" s="134"/>
      <c r="U40" s="134"/>
      <c r="V40" s="605"/>
      <c r="W40" s="419"/>
      <c r="X40" s="419"/>
      <c r="Y40" s="419"/>
      <c r="Z40" s="419"/>
      <c r="AA40" s="419"/>
      <c r="AB40" s="419"/>
      <c r="AC40" s="419"/>
      <c r="AD40" s="419"/>
      <c r="AE40" s="419"/>
      <c r="AF40" s="419"/>
      <c r="AG40" s="419"/>
      <c r="AH40" s="419"/>
      <c r="AI40" s="419"/>
      <c r="AJ40" s="419"/>
      <c r="AK40" s="419"/>
      <c r="AL40" s="419"/>
      <c r="AM40" s="419"/>
      <c r="AN40" s="419"/>
      <c r="AO40" s="419"/>
      <c r="AP40" s="419"/>
      <c r="AQ40" s="419"/>
      <c r="AR40" s="419"/>
      <c r="AS40" s="419"/>
      <c r="AT40" s="419"/>
      <c r="AU40" s="419"/>
      <c r="AV40" s="419"/>
      <c r="AW40" s="419"/>
      <c r="AX40" s="419"/>
      <c r="AY40" s="419"/>
      <c r="AZ40" s="419"/>
      <c r="BA40" s="419"/>
      <c r="BB40" s="419"/>
      <c r="BC40" s="419"/>
      <c r="BD40" s="419"/>
      <c r="BE40" s="419"/>
      <c r="BF40" s="419"/>
      <c r="BG40" s="419"/>
      <c r="BH40" s="419"/>
      <c r="BI40" s="419"/>
      <c r="BJ40" s="419"/>
      <c r="BK40" s="419"/>
      <c r="BL40" s="419"/>
      <c r="BM40" s="419"/>
      <c r="BN40" s="419"/>
      <c r="BO40" s="419"/>
      <c r="BP40" s="419"/>
      <c r="BQ40" s="419"/>
      <c r="BR40" s="419"/>
      <c r="BS40" s="419"/>
      <c r="BT40" s="419"/>
      <c r="BU40" s="419"/>
      <c r="BV40" s="419"/>
      <c r="BW40" s="419"/>
      <c r="BX40" s="419"/>
      <c r="BY40" s="419"/>
      <c r="BZ40" s="419"/>
      <c r="CA40" s="419"/>
      <c r="CB40" s="419"/>
      <c r="CC40" s="419"/>
      <c r="CD40" s="419"/>
      <c r="CE40" s="419"/>
      <c r="CF40" s="419"/>
      <c r="CG40" s="419"/>
      <c r="CH40" s="419"/>
      <c r="CI40" s="419"/>
      <c r="CJ40" s="419"/>
      <c r="CK40" s="419"/>
      <c r="CL40" s="419"/>
      <c r="CM40" s="419"/>
      <c r="CN40" s="419"/>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19"/>
      <c r="DL40" s="419"/>
      <c r="DM40" s="419"/>
      <c r="DN40" s="419"/>
      <c r="DO40" s="419"/>
      <c r="DP40" s="419"/>
      <c r="DQ40" s="419"/>
      <c r="DR40" s="419"/>
      <c r="DS40" s="419"/>
      <c r="DT40" s="419"/>
    </row>
    <row r="41" spans="1:124" s="26" customFormat="1" x14ac:dyDescent="0.2">
      <c r="A41" s="327" t="s">
        <v>26</v>
      </c>
      <c r="B41" s="421"/>
      <c r="C41" s="130"/>
      <c r="D41" s="130"/>
      <c r="E41" s="231"/>
      <c r="F41" s="560">
        <v>0</v>
      </c>
      <c r="G41" s="231">
        <v>0</v>
      </c>
      <c r="H41" s="231">
        <v>0</v>
      </c>
      <c r="I41" s="132">
        <f>H41-G41</f>
        <v>0</v>
      </c>
      <c r="J41" s="162"/>
      <c r="K41" s="130"/>
      <c r="L41" s="130"/>
      <c r="M41" s="130"/>
      <c r="N41" s="147">
        <f t="shared" ref="N41:P45" si="25">B41+F41+J41</f>
        <v>0</v>
      </c>
      <c r="O41" s="130">
        <f t="shared" si="25"/>
        <v>0</v>
      </c>
      <c r="P41" s="130">
        <f t="shared" si="25"/>
        <v>0</v>
      </c>
      <c r="Q41" s="132">
        <f t="shared" ref="Q41:Q45" si="26">E41+I41+M41</f>
        <v>0</v>
      </c>
      <c r="R41" s="163"/>
      <c r="S41" s="147"/>
      <c r="T41" s="231"/>
      <c r="U41" s="231"/>
      <c r="V41" s="132"/>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425"/>
      <c r="DT41" s="425"/>
    </row>
    <row r="42" spans="1:124" s="24" customFormat="1" ht="27" customHeight="1" x14ac:dyDescent="0.25">
      <c r="A42" s="328" t="s">
        <v>379</v>
      </c>
      <c r="B42" s="422"/>
      <c r="C42" s="95"/>
      <c r="D42" s="95"/>
      <c r="E42" s="134"/>
      <c r="F42" s="561"/>
      <c r="G42" s="134"/>
      <c r="H42" s="134"/>
      <c r="I42" s="605"/>
      <c r="J42" s="156"/>
      <c r="K42" s="95"/>
      <c r="L42" s="95"/>
      <c r="M42" s="95"/>
      <c r="N42" s="146">
        <f t="shared" si="25"/>
        <v>0</v>
      </c>
      <c r="O42" s="95">
        <f t="shared" si="25"/>
        <v>0</v>
      </c>
      <c r="P42" s="95">
        <f t="shared" si="25"/>
        <v>0</v>
      </c>
      <c r="Q42" s="605">
        <f t="shared" si="26"/>
        <v>0</v>
      </c>
      <c r="R42" s="156" t="e">
        <f>#REF!+#REF!+#REF!+#REF!+#REF!</f>
        <v>#REF!</v>
      </c>
      <c r="S42" s="146"/>
      <c r="T42" s="134"/>
      <c r="U42" s="134"/>
      <c r="V42" s="605"/>
      <c r="W42" s="419"/>
      <c r="X42" s="419"/>
      <c r="Y42" s="419"/>
      <c r="Z42" s="419"/>
      <c r="AA42" s="419"/>
      <c r="AB42" s="419"/>
      <c r="AC42" s="419"/>
      <c r="AD42" s="419"/>
      <c r="AE42" s="419"/>
      <c r="AF42" s="419"/>
      <c r="AG42" s="419"/>
      <c r="AH42" s="419"/>
      <c r="AI42" s="419"/>
      <c r="AJ42" s="419"/>
      <c r="AK42" s="419"/>
      <c r="AL42" s="419"/>
      <c r="AM42" s="419"/>
      <c r="AN42" s="419"/>
      <c r="AO42" s="419"/>
      <c r="AP42" s="419"/>
      <c r="AQ42" s="419"/>
      <c r="AR42" s="419"/>
      <c r="AS42" s="419"/>
      <c r="AT42" s="419"/>
      <c r="AU42" s="419"/>
      <c r="AV42" s="419"/>
      <c r="AW42" s="419"/>
      <c r="AX42" s="419"/>
      <c r="AY42" s="419"/>
      <c r="AZ42" s="419"/>
      <c r="BA42" s="419"/>
      <c r="BB42" s="419"/>
      <c r="BC42" s="419"/>
      <c r="BD42" s="419"/>
      <c r="BE42" s="419"/>
      <c r="BF42" s="419"/>
      <c r="BG42" s="419"/>
      <c r="BH42" s="419"/>
      <c r="BI42" s="419"/>
      <c r="BJ42" s="419"/>
      <c r="BK42" s="419"/>
      <c r="BL42" s="419"/>
      <c r="BM42" s="419"/>
      <c r="BN42" s="419"/>
      <c r="BO42" s="419"/>
      <c r="BP42" s="419"/>
      <c r="BQ42" s="419"/>
      <c r="BR42" s="419"/>
      <c r="BS42" s="419"/>
      <c r="BT42" s="419"/>
      <c r="BU42" s="419"/>
      <c r="BV42" s="419"/>
      <c r="BW42" s="419"/>
      <c r="BX42" s="419"/>
      <c r="BY42" s="419"/>
      <c r="BZ42" s="419"/>
      <c r="CA42" s="419"/>
      <c r="CB42" s="419"/>
      <c r="CC42" s="419"/>
      <c r="CD42" s="419"/>
      <c r="CE42" s="419"/>
      <c r="CF42" s="419"/>
      <c r="CG42" s="419"/>
      <c r="CH42" s="419"/>
      <c r="CI42" s="419"/>
      <c r="CJ42" s="419"/>
      <c r="CK42" s="419"/>
      <c r="CL42" s="419"/>
      <c r="CM42" s="419"/>
      <c r="CN42" s="419"/>
      <c r="CO42" s="419"/>
      <c r="CP42" s="419"/>
      <c r="CQ42" s="419"/>
      <c r="CR42" s="419"/>
      <c r="CS42" s="419"/>
      <c r="CT42" s="419"/>
      <c r="CU42" s="419"/>
      <c r="CV42" s="419"/>
      <c r="CW42" s="419"/>
      <c r="CX42" s="419"/>
      <c r="CY42" s="419"/>
      <c r="CZ42" s="419"/>
      <c r="DA42" s="419"/>
      <c r="DB42" s="419"/>
      <c r="DC42" s="419"/>
      <c r="DD42" s="419"/>
      <c r="DE42" s="419"/>
      <c r="DF42" s="419"/>
      <c r="DG42" s="419"/>
      <c r="DH42" s="419"/>
      <c r="DI42" s="419"/>
      <c r="DJ42" s="419"/>
      <c r="DK42" s="419"/>
      <c r="DL42" s="419"/>
      <c r="DM42" s="419"/>
      <c r="DN42" s="419"/>
      <c r="DO42" s="419"/>
      <c r="DP42" s="419"/>
      <c r="DQ42" s="419"/>
      <c r="DR42" s="419"/>
      <c r="DS42" s="419"/>
      <c r="DT42" s="419"/>
    </row>
    <row r="43" spans="1:124" s="26" customFormat="1" ht="22.7" customHeight="1" x14ac:dyDescent="0.2">
      <c r="A43" s="327" t="s">
        <v>29</v>
      </c>
      <c r="B43" s="421"/>
      <c r="C43" s="130"/>
      <c r="D43" s="130"/>
      <c r="E43" s="231"/>
      <c r="F43" s="560"/>
      <c r="G43" s="231"/>
      <c r="H43" s="231"/>
      <c r="I43" s="132"/>
      <c r="J43" s="162"/>
      <c r="K43" s="130"/>
      <c r="L43" s="130"/>
      <c r="M43" s="130"/>
      <c r="N43" s="147">
        <f t="shared" si="25"/>
        <v>0</v>
      </c>
      <c r="O43" s="130">
        <f t="shared" si="25"/>
        <v>0</v>
      </c>
      <c r="P43" s="130">
        <f t="shared" si="25"/>
        <v>0</v>
      </c>
      <c r="Q43" s="132">
        <f t="shared" si="26"/>
        <v>0</v>
      </c>
      <c r="R43" s="163"/>
      <c r="S43" s="147"/>
      <c r="T43" s="231"/>
      <c r="U43" s="231"/>
      <c r="V43" s="132"/>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5"/>
      <c r="BR43" s="425"/>
      <c r="BS43" s="425"/>
      <c r="BT43" s="425"/>
      <c r="BU43" s="425"/>
      <c r="BV43" s="425"/>
      <c r="BW43" s="425"/>
      <c r="BX43" s="425"/>
      <c r="BY43" s="425"/>
      <c r="BZ43" s="425"/>
      <c r="CA43" s="425"/>
      <c r="CB43" s="425"/>
      <c r="CC43" s="425"/>
      <c r="CD43" s="425"/>
      <c r="CE43" s="425"/>
      <c r="CF43" s="425"/>
      <c r="CG43" s="425"/>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c r="DL43" s="425"/>
      <c r="DM43" s="425"/>
      <c r="DN43" s="425"/>
      <c r="DO43" s="425"/>
      <c r="DP43" s="425"/>
      <c r="DQ43" s="425"/>
      <c r="DR43" s="425"/>
      <c r="DS43" s="425"/>
      <c r="DT43" s="425"/>
    </row>
    <row r="44" spans="1:124" s="24" customFormat="1" ht="18" customHeight="1" x14ac:dyDescent="0.25">
      <c r="A44" s="329" t="s">
        <v>380</v>
      </c>
      <c r="B44" s="95">
        <f t="shared" ref="B44:D44" si="27">B42+B40+B34+B21+B17+B15+B12</f>
        <v>7301488</v>
      </c>
      <c r="C44" s="95">
        <f t="shared" ref="C44" si="28">C42+C40+C34+C21+C17+C15+C12</f>
        <v>16761488</v>
      </c>
      <c r="D44" s="95">
        <f t="shared" si="27"/>
        <v>16761488</v>
      </c>
      <c r="E44" s="134">
        <f t="shared" ref="E44:M44" si="29">E42+E40+E34+E21+E17+E15+E12</f>
        <v>0</v>
      </c>
      <c r="F44" s="561">
        <f t="shared" ref="F44:H44" si="30">F42+F40+F34+F21+F17+F15+F12</f>
        <v>181933270</v>
      </c>
      <c r="G44" s="134">
        <f t="shared" ref="G44" si="31">G42+G40+G34+G21+G17+G15+G12</f>
        <v>201713219</v>
      </c>
      <c r="H44" s="134">
        <f t="shared" si="30"/>
        <v>201713219</v>
      </c>
      <c r="I44" s="605">
        <f t="shared" si="29"/>
        <v>0</v>
      </c>
      <c r="J44" s="156">
        <f t="shared" ref="J44:L44" si="32">J42+J40+J34+J21+J17+J15+J12</f>
        <v>4433568</v>
      </c>
      <c r="K44" s="95">
        <f t="shared" ref="K44" si="33">K42+K40+K34+K21+K17+K15+K12</f>
        <v>4163568</v>
      </c>
      <c r="L44" s="95">
        <f t="shared" si="32"/>
        <v>4163568</v>
      </c>
      <c r="M44" s="95">
        <f t="shared" si="29"/>
        <v>0</v>
      </c>
      <c r="N44" s="146">
        <f t="shared" si="25"/>
        <v>193668326</v>
      </c>
      <c r="O44" s="95">
        <f t="shared" si="25"/>
        <v>222638275</v>
      </c>
      <c r="P44" s="95">
        <f t="shared" si="25"/>
        <v>222638275</v>
      </c>
      <c r="Q44" s="605">
        <f t="shared" si="26"/>
        <v>0</v>
      </c>
      <c r="R44" s="156" t="e">
        <f>R42+R40+R34+R21+R17+R15+R12</f>
        <v>#REF!</v>
      </c>
      <c r="S44" s="146">
        <f>S42+S40+S34+S21+S17+S15+S12</f>
        <v>64232559</v>
      </c>
      <c r="T44" s="95">
        <f>T42+T40+T34+T21+T17+T15+T12</f>
        <v>58166385</v>
      </c>
      <c r="U44" s="95">
        <f>U42+U40+U34+U21+U17+U15+U12</f>
        <v>58166385</v>
      </c>
      <c r="V44" s="605">
        <f>V42+V40+V34+V21+V17+V15+V12</f>
        <v>0</v>
      </c>
      <c r="W44" s="423"/>
      <c r="X44" s="423"/>
      <c r="Y44" s="423"/>
      <c r="Z44" s="419"/>
      <c r="AA44" s="419"/>
      <c r="AB44" s="419"/>
      <c r="AC44" s="419"/>
      <c r="AD44" s="419"/>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c r="BW44" s="419"/>
      <c r="BX44" s="419"/>
      <c r="BY44" s="419"/>
      <c r="BZ44" s="419"/>
      <c r="CA44" s="419"/>
      <c r="CB44" s="419"/>
      <c r="CC44" s="419"/>
      <c r="CD44" s="419"/>
      <c r="CE44" s="419"/>
      <c r="CF44" s="419"/>
      <c r="CG44" s="419"/>
      <c r="CH44" s="419"/>
      <c r="CI44" s="419"/>
      <c r="CJ44" s="419"/>
      <c r="CK44" s="419"/>
      <c r="CL44" s="419"/>
      <c r="CM44" s="419"/>
      <c r="CN44" s="419"/>
      <c r="CO44" s="419"/>
      <c r="CP44" s="419"/>
      <c r="CQ44" s="419"/>
      <c r="CR44" s="419"/>
      <c r="CS44" s="419"/>
      <c r="CT44" s="419"/>
      <c r="CU44" s="419"/>
      <c r="CV44" s="419"/>
      <c r="CW44" s="419"/>
      <c r="CX44" s="419"/>
      <c r="CY44" s="419"/>
      <c r="CZ44" s="419"/>
      <c r="DA44" s="419"/>
      <c r="DB44" s="419"/>
      <c r="DC44" s="419"/>
      <c r="DD44" s="419"/>
      <c r="DE44" s="419"/>
      <c r="DF44" s="419"/>
      <c r="DG44" s="419"/>
      <c r="DH44" s="419"/>
      <c r="DI44" s="419"/>
      <c r="DJ44" s="419"/>
      <c r="DK44" s="419"/>
      <c r="DL44" s="419"/>
      <c r="DM44" s="419"/>
      <c r="DN44" s="419"/>
      <c r="DO44" s="419"/>
      <c r="DP44" s="419"/>
      <c r="DQ44" s="419"/>
      <c r="DR44" s="419"/>
      <c r="DS44" s="419"/>
      <c r="DT44" s="419"/>
    </row>
    <row r="45" spans="1:124" s="24" customFormat="1" ht="18" customHeight="1" x14ac:dyDescent="0.25">
      <c r="A45" s="328" t="s">
        <v>381</v>
      </c>
      <c r="B45" s="95">
        <f t="shared" ref="B45:D45" si="34">B46+B49+B50</f>
        <v>67666747</v>
      </c>
      <c r="C45" s="95">
        <f t="shared" ref="C45" si="35">C46+C49+C50</f>
        <v>60626400</v>
      </c>
      <c r="D45" s="95">
        <f t="shared" si="34"/>
        <v>60437189</v>
      </c>
      <c r="E45" s="134">
        <f t="shared" ref="E45:M45" si="36">E46+E49+E50</f>
        <v>-189211</v>
      </c>
      <c r="F45" s="561">
        <f t="shared" ref="F45" si="37">F46+F49+F50</f>
        <v>79366730</v>
      </c>
      <c r="G45" s="134">
        <f>G46+G49+G50</f>
        <v>82575422</v>
      </c>
      <c r="H45" s="134">
        <f>H46+H49+H50</f>
        <v>82575728</v>
      </c>
      <c r="I45" s="605">
        <f>I46+I49+I50</f>
        <v>306</v>
      </c>
      <c r="J45" s="156">
        <f t="shared" ref="J45:L45" si="38">J46+J49+J50</f>
        <v>69147664</v>
      </c>
      <c r="K45" s="95">
        <f t="shared" ref="K45" si="39">K46+K49+K50</f>
        <v>69672904</v>
      </c>
      <c r="L45" s="95">
        <f t="shared" si="38"/>
        <v>69673903</v>
      </c>
      <c r="M45" s="95">
        <f t="shared" si="36"/>
        <v>999</v>
      </c>
      <c r="N45" s="146">
        <f t="shared" si="25"/>
        <v>216181141</v>
      </c>
      <c r="O45" s="95">
        <f t="shared" si="25"/>
        <v>212874726</v>
      </c>
      <c r="P45" s="95">
        <f t="shared" si="25"/>
        <v>212686820</v>
      </c>
      <c r="Q45" s="605">
        <f t="shared" si="26"/>
        <v>-187906</v>
      </c>
      <c r="R45" s="156" t="e">
        <f>R46+R49+R50</f>
        <v>#REF!</v>
      </c>
      <c r="S45" s="146">
        <f>S46+S49+S50</f>
        <v>418371475</v>
      </c>
      <c r="T45" s="95">
        <f>T46+T49+T50</f>
        <v>433300677</v>
      </c>
      <c r="U45" s="95">
        <f>U46+U49+U50</f>
        <v>433568848</v>
      </c>
      <c r="V45" s="605">
        <f>V46+V49+V50</f>
        <v>268171</v>
      </c>
      <c r="W45" s="423"/>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c r="BW45" s="419"/>
      <c r="BX45" s="419"/>
      <c r="BY45" s="419"/>
      <c r="BZ45" s="419"/>
      <c r="CA45" s="419"/>
      <c r="CB45" s="419"/>
      <c r="CC45" s="419"/>
      <c r="CD45" s="419"/>
      <c r="CE45" s="419"/>
      <c r="CF45" s="419"/>
      <c r="CG45" s="419"/>
      <c r="CH45" s="419"/>
      <c r="CI45" s="419"/>
      <c r="CJ45" s="419"/>
      <c r="CK45" s="419"/>
      <c r="CL45" s="419"/>
      <c r="CM45" s="419"/>
      <c r="CN45" s="419"/>
      <c r="CO45" s="419"/>
      <c r="CP45" s="419"/>
      <c r="CQ45" s="419"/>
      <c r="CR45" s="419"/>
      <c r="CS45" s="419"/>
      <c r="CT45" s="419"/>
      <c r="CU45" s="419"/>
      <c r="CV45" s="419"/>
      <c r="CW45" s="419"/>
      <c r="CX45" s="419"/>
      <c r="CY45" s="419"/>
      <c r="CZ45" s="419"/>
      <c r="DA45" s="419"/>
      <c r="DB45" s="419"/>
      <c r="DC45" s="419"/>
      <c r="DD45" s="419"/>
      <c r="DE45" s="419"/>
      <c r="DF45" s="419"/>
      <c r="DG45" s="419"/>
      <c r="DH45" s="419"/>
      <c r="DI45" s="419"/>
      <c r="DJ45" s="419"/>
      <c r="DK45" s="419"/>
      <c r="DL45" s="419"/>
      <c r="DM45" s="419"/>
      <c r="DN45" s="419"/>
      <c r="DO45" s="419"/>
      <c r="DP45" s="419"/>
      <c r="DQ45" s="419"/>
      <c r="DR45" s="419"/>
      <c r="DS45" s="419"/>
      <c r="DT45" s="419"/>
    </row>
    <row r="46" spans="1:124" s="24" customFormat="1" ht="28.5" customHeight="1" x14ac:dyDescent="0.25">
      <c r="A46" s="328" t="s">
        <v>30</v>
      </c>
      <c r="B46" s="95">
        <f t="shared" ref="B46" si="40">SUM(B47:B48)</f>
        <v>10526479</v>
      </c>
      <c r="C46" s="95">
        <f t="shared" ref="C46" si="41">SUM(C47:C48)</f>
        <v>12932260</v>
      </c>
      <c r="D46" s="95">
        <f t="shared" ref="D46" si="42">SUM(D47:D48)</f>
        <v>12743049</v>
      </c>
      <c r="E46" s="134">
        <f>SUM(E47:E48)</f>
        <v>-189211</v>
      </c>
      <c r="F46" s="561">
        <f t="shared" ref="F46:H46" si="43">SUM(F47:F48)</f>
        <v>0</v>
      </c>
      <c r="G46" s="134">
        <f t="shared" ref="G46" si="44">SUM(G47:G48)</f>
        <v>11085110</v>
      </c>
      <c r="H46" s="134">
        <f t="shared" si="43"/>
        <v>11085416</v>
      </c>
      <c r="I46" s="605">
        <f t="shared" ref="I46:Q46" si="45">SUM(I47:I48)</f>
        <v>306</v>
      </c>
      <c r="J46" s="156">
        <f t="shared" ref="J46:L46" si="46">SUM(J47:J48)</f>
        <v>178958</v>
      </c>
      <c r="K46" s="95">
        <f t="shared" ref="K46" si="47">SUM(K47:K48)</f>
        <v>4864290</v>
      </c>
      <c r="L46" s="95">
        <f t="shared" si="46"/>
        <v>4865289</v>
      </c>
      <c r="M46" s="95">
        <f t="shared" si="45"/>
        <v>999</v>
      </c>
      <c r="N46" s="146">
        <f t="shared" si="45"/>
        <v>10705437</v>
      </c>
      <c r="O46" s="95">
        <f t="shared" si="45"/>
        <v>28881660</v>
      </c>
      <c r="P46" s="95">
        <f t="shared" ref="P46" si="48">SUM(P47:P48)</f>
        <v>28693754</v>
      </c>
      <c r="Q46" s="605">
        <f t="shared" si="45"/>
        <v>-187906</v>
      </c>
      <c r="R46" s="164"/>
      <c r="S46" s="495">
        <f>SUM(S47:S48)</f>
        <v>0</v>
      </c>
      <c r="T46" s="426">
        <f>SUM(T47:T48)</f>
        <v>35572714</v>
      </c>
      <c r="U46" s="426">
        <f>SUM(U47:U48)</f>
        <v>35572194</v>
      </c>
      <c r="V46" s="724">
        <f>SUM(V47:V48)</f>
        <v>-520</v>
      </c>
      <c r="W46" s="419"/>
      <c r="X46" s="419"/>
      <c r="Y46" s="419"/>
      <c r="Z46" s="419"/>
      <c r="AA46" s="419"/>
      <c r="AB46" s="419"/>
      <c r="AC46" s="419"/>
      <c r="AD46" s="419"/>
      <c r="AE46" s="419"/>
      <c r="AF46" s="419"/>
      <c r="AG46" s="419"/>
      <c r="AH46" s="419"/>
      <c r="AI46" s="419"/>
      <c r="AJ46" s="419"/>
      <c r="AK46" s="419"/>
      <c r="AL46" s="419"/>
      <c r="AM46" s="419"/>
      <c r="AN46" s="419"/>
      <c r="AO46" s="419"/>
      <c r="AP46" s="419"/>
      <c r="AQ46" s="419"/>
      <c r="AR46" s="419"/>
      <c r="AS46" s="419"/>
      <c r="AT46" s="419"/>
      <c r="AU46" s="419"/>
      <c r="AV46" s="419"/>
      <c r="AW46" s="419"/>
      <c r="AX46" s="419"/>
      <c r="AY46" s="419"/>
      <c r="AZ46" s="419"/>
      <c r="BA46" s="419"/>
      <c r="BB46" s="419"/>
      <c r="BC46" s="419"/>
      <c r="BD46" s="419"/>
      <c r="BE46" s="419"/>
      <c r="BF46" s="419"/>
      <c r="BG46" s="419"/>
      <c r="BH46" s="419"/>
      <c r="BI46" s="419"/>
      <c r="BJ46" s="419"/>
      <c r="BK46" s="419"/>
      <c r="BL46" s="419"/>
      <c r="BM46" s="419"/>
      <c r="BN46" s="419"/>
      <c r="BO46" s="419"/>
      <c r="BP46" s="419"/>
      <c r="BQ46" s="419"/>
      <c r="BR46" s="419"/>
      <c r="BS46" s="419"/>
      <c r="BT46" s="419"/>
      <c r="BU46" s="419"/>
      <c r="BV46" s="419"/>
      <c r="BW46" s="419"/>
      <c r="BX46" s="419"/>
      <c r="BY46" s="419"/>
      <c r="BZ46" s="419"/>
      <c r="CA46" s="419"/>
      <c r="CB46" s="419"/>
      <c r="CC46" s="419"/>
      <c r="CD46" s="419"/>
      <c r="CE46" s="419"/>
      <c r="CF46" s="419"/>
      <c r="CG46" s="419"/>
      <c r="CH46" s="419"/>
      <c r="CI46" s="419"/>
      <c r="CJ46" s="419"/>
      <c r="CK46" s="419"/>
      <c r="CL46" s="419"/>
      <c r="CM46" s="419"/>
      <c r="CN46" s="419"/>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19"/>
      <c r="DL46" s="419"/>
      <c r="DM46" s="419"/>
      <c r="DN46" s="419"/>
      <c r="DO46" s="419"/>
      <c r="DP46" s="419"/>
      <c r="DQ46" s="419"/>
      <c r="DR46" s="419"/>
      <c r="DS46" s="419"/>
      <c r="DT46" s="419"/>
    </row>
    <row r="47" spans="1:124" s="26" customFormat="1" ht="24" customHeight="1" x14ac:dyDescent="0.2">
      <c r="A47" s="327" t="s">
        <v>364</v>
      </c>
      <c r="B47" s="421">
        <v>89479</v>
      </c>
      <c r="C47" s="130">
        <v>89479</v>
      </c>
      <c r="D47" s="130">
        <v>89479</v>
      </c>
      <c r="E47" s="231">
        <f>D47-C47</f>
        <v>0</v>
      </c>
      <c r="F47" s="560"/>
      <c r="G47" s="231">
        <v>9634640</v>
      </c>
      <c r="H47" s="231">
        <v>9634640</v>
      </c>
      <c r="I47" s="132">
        <f>H47-G47</f>
        <v>0</v>
      </c>
      <c r="J47" s="162">
        <v>178958</v>
      </c>
      <c r="K47" s="130">
        <v>4864290</v>
      </c>
      <c r="L47" s="130">
        <f>4864290+999</f>
        <v>4865289</v>
      </c>
      <c r="M47" s="130">
        <f>L47-K47</f>
        <v>999</v>
      </c>
      <c r="N47" s="560">
        <f t="shared" ref="N47:P48" si="49">B47+F47+J47</f>
        <v>268437</v>
      </c>
      <c r="O47" s="130">
        <f t="shared" si="49"/>
        <v>14588409</v>
      </c>
      <c r="P47" s="130">
        <f t="shared" si="49"/>
        <v>14589408</v>
      </c>
      <c r="Q47" s="132">
        <f t="shared" ref="Q47:Q48" si="50">E47+I47+M47</f>
        <v>999</v>
      </c>
      <c r="R47" s="163"/>
      <c r="S47" s="147"/>
      <c r="T47" s="231">
        <v>27144823</v>
      </c>
      <c r="U47" s="231">
        <f>27144823-520</f>
        <v>27144303</v>
      </c>
      <c r="V47" s="132">
        <f>U47-T47</f>
        <v>-520</v>
      </c>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5"/>
      <c r="BR47" s="425"/>
      <c r="BS47" s="425"/>
      <c r="BT47" s="425"/>
      <c r="BU47" s="425"/>
      <c r="BV47" s="425"/>
      <c r="BW47" s="425"/>
      <c r="BX47" s="425"/>
      <c r="BY47" s="425"/>
      <c r="BZ47" s="425"/>
      <c r="CA47" s="425"/>
      <c r="CB47" s="425"/>
      <c r="CC47" s="425"/>
      <c r="CD47" s="425"/>
      <c r="CE47" s="425"/>
      <c r="CF47" s="425"/>
      <c r="CG47" s="425"/>
      <c r="CH47" s="425"/>
      <c r="CI47" s="425"/>
      <c r="CJ47" s="425"/>
      <c r="CK47" s="425"/>
      <c r="CL47" s="425"/>
      <c r="CM47" s="425"/>
      <c r="CN47" s="425"/>
      <c r="CO47" s="425"/>
      <c r="CP47" s="425"/>
      <c r="CQ47" s="425"/>
      <c r="CR47" s="425"/>
      <c r="CS47" s="425"/>
      <c r="CT47" s="425"/>
      <c r="CU47" s="425"/>
      <c r="CV47" s="425"/>
      <c r="CW47" s="425"/>
      <c r="CX47" s="425"/>
      <c r="CY47" s="425"/>
      <c r="CZ47" s="425"/>
      <c r="DA47" s="425"/>
      <c r="DB47" s="425"/>
      <c r="DC47" s="425"/>
      <c r="DD47" s="425"/>
      <c r="DE47" s="425"/>
      <c r="DF47" s="425"/>
      <c r="DG47" s="425"/>
      <c r="DH47" s="425"/>
      <c r="DI47" s="425"/>
      <c r="DJ47" s="425"/>
      <c r="DK47" s="425"/>
      <c r="DL47" s="425"/>
      <c r="DM47" s="425"/>
      <c r="DN47" s="425"/>
      <c r="DO47" s="425"/>
      <c r="DP47" s="425"/>
      <c r="DQ47" s="425"/>
      <c r="DR47" s="425"/>
      <c r="DS47" s="425"/>
      <c r="DT47" s="425"/>
    </row>
    <row r="48" spans="1:124" s="26" customFormat="1" ht="24.75" customHeight="1" x14ac:dyDescent="0.2">
      <c r="A48" s="327" t="s">
        <v>31</v>
      </c>
      <c r="B48" s="421">
        <v>10437000</v>
      </c>
      <c r="C48" s="130">
        <v>12842781</v>
      </c>
      <c r="D48" s="130">
        <f>12842781-189211</f>
        <v>12653570</v>
      </c>
      <c r="E48" s="231">
        <f>D48-C48</f>
        <v>-189211</v>
      </c>
      <c r="F48" s="560"/>
      <c r="G48" s="575">
        <v>1450470</v>
      </c>
      <c r="H48" s="575">
        <f>1450470+306</f>
        <v>1450776</v>
      </c>
      <c r="I48" s="132">
        <f>H48-G48</f>
        <v>306</v>
      </c>
      <c r="J48" s="162"/>
      <c r="K48" s="576"/>
      <c r="L48" s="576"/>
      <c r="M48" s="130">
        <f>L48-K48</f>
        <v>0</v>
      </c>
      <c r="N48" s="560">
        <f t="shared" si="49"/>
        <v>10437000</v>
      </c>
      <c r="O48" s="130">
        <f t="shared" si="49"/>
        <v>14293251</v>
      </c>
      <c r="P48" s="130">
        <f t="shared" si="49"/>
        <v>14104346</v>
      </c>
      <c r="Q48" s="132">
        <f t="shared" si="50"/>
        <v>-188905</v>
      </c>
      <c r="R48" s="163"/>
      <c r="S48" s="147"/>
      <c r="T48" s="231">
        <v>8427891</v>
      </c>
      <c r="U48" s="231">
        <v>8427891</v>
      </c>
      <c r="V48" s="132">
        <f>U48-T48</f>
        <v>0</v>
      </c>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5"/>
      <c r="BR48" s="425"/>
      <c r="BS48" s="425"/>
      <c r="BT48" s="425"/>
      <c r="BU48" s="425"/>
      <c r="BV48" s="425"/>
      <c r="BW48" s="425"/>
      <c r="BX48" s="425"/>
      <c r="BY48" s="425"/>
      <c r="BZ48" s="425"/>
      <c r="CA48" s="425"/>
      <c r="CB48" s="425"/>
      <c r="CC48" s="425"/>
      <c r="CD48" s="425"/>
      <c r="CE48" s="425"/>
      <c r="CF48" s="425"/>
      <c r="CG48" s="425"/>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c r="DL48" s="425"/>
      <c r="DM48" s="425"/>
      <c r="DN48" s="425"/>
      <c r="DO48" s="425"/>
      <c r="DP48" s="425"/>
      <c r="DQ48" s="425"/>
      <c r="DR48" s="425"/>
      <c r="DS48" s="425"/>
      <c r="DT48" s="425"/>
    </row>
    <row r="49" spans="1:198" s="24" customFormat="1" ht="24" customHeight="1" x14ac:dyDescent="0.25">
      <c r="A49" s="328" t="s">
        <v>32</v>
      </c>
      <c r="B49" s="422"/>
      <c r="C49" s="95"/>
      <c r="D49" s="95"/>
      <c r="E49" s="134"/>
      <c r="F49" s="561"/>
      <c r="G49" s="134"/>
      <c r="H49" s="134"/>
      <c r="I49" s="605"/>
      <c r="J49" s="156"/>
      <c r="K49" s="95"/>
      <c r="L49" s="95"/>
      <c r="M49" s="95"/>
      <c r="N49" s="146">
        <f>B49+F49+J49</f>
        <v>0</v>
      </c>
      <c r="O49" s="134"/>
      <c r="P49" s="134"/>
      <c r="Q49" s="605"/>
      <c r="R49" s="164"/>
      <c r="S49" s="146"/>
      <c r="T49" s="134"/>
      <c r="U49" s="134"/>
      <c r="V49" s="605"/>
      <c r="W49" s="419"/>
      <c r="X49" s="419"/>
      <c r="Y49" s="419"/>
      <c r="Z49" s="419"/>
      <c r="AA49" s="419"/>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19"/>
      <c r="CF49" s="419"/>
      <c r="CG49" s="419"/>
      <c r="CH49" s="419"/>
      <c r="CI49" s="419"/>
      <c r="CJ49" s="419"/>
      <c r="CK49" s="419"/>
      <c r="CL49" s="419"/>
      <c r="CM49" s="419"/>
      <c r="CN49" s="419"/>
      <c r="CO49" s="419"/>
      <c r="CP49" s="419"/>
      <c r="CQ49" s="419"/>
      <c r="CR49" s="419"/>
      <c r="CS49" s="419"/>
      <c r="CT49" s="419"/>
      <c r="CU49" s="419"/>
      <c r="CV49" s="419"/>
      <c r="CW49" s="419"/>
      <c r="CX49" s="419"/>
      <c r="CY49" s="419"/>
      <c r="CZ49" s="419"/>
      <c r="DA49" s="419"/>
      <c r="DB49" s="419"/>
      <c r="DC49" s="419"/>
      <c r="DD49" s="419"/>
      <c r="DE49" s="419"/>
      <c r="DF49" s="419"/>
      <c r="DG49" s="419"/>
      <c r="DH49" s="419"/>
      <c r="DI49" s="419"/>
      <c r="DJ49" s="419"/>
      <c r="DK49" s="419"/>
      <c r="DL49" s="419"/>
      <c r="DM49" s="419"/>
      <c r="DN49" s="419"/>
      <c r="DO49" s="419"/>
      <c r="DP49" s="419"/>
      <c r="DQ49" s="419"/>
      <c r="DR49" s="419"/>
      <c r="DS49" s="419"/>
      <c r="DT49" s="419"/>
    </row>
    <row r="50" spans="1:198" s="20" customFormat="1" ht="15" x14ac:dyDescent="0.25">
      <c r="A50" s="329" t="s">
        <v>47</v>
      </c>
      <c r="B50" s="422">
        <f>'4.sz.tábla '!AS6-'2.a tábla ÚJ '!B44-'2.a tábla ÚJ '!B46</f>
        <v>57140268</v>
      </c>
      <c r="C50" s="422">
        <f>'4.sz.tábla '!AT6-'2.a tábla ÚJ '!C44-'2.a tábla ÚJ '!C46</f>
        <v>47694140</v>
      </c>
      <c r="D50" s="422">
        <f>'4.sz.tábla '!AU6-'2.a tábla ÚJ '!D44-'2.a tábla ÚJ '!D46</f>
        <v>47694140</v>
      </c>
      <c r="E50" s="134">
        <f>D50-C50</f>
        <v>0</v>
      </c>
      <c r="F50" s="561">
        <f>'4.sz.tábla '!AS7-'2.a tábla ÚJ '!F44-'2.a tábla ÚJ '!F46</f>
        <v>79366730</v>
      </c>
      <c r="G50" s="605">
        <f>'4.sz.tábla '!AT7-'2.a tábla ÚJ '!G44-'2.a tábla ÚJ '!G46</f>
        <v>71490312</v>
      </c>
      <c r="H50" s="605">
        <f>'4.sz.tábla '!AU7-'2.a tábla ÚJ '!H44-'2.a tábla ÚJ '!H46</f>
        <v>71490312</v>
      </c>
      <c r="I50" s="605">
        <f>H50-G50</f>
        <v>0</v>
      </c>
      <c r="J50" s="156">
        <f>'4.sz.tábla '!AS8-'2.a tábla ÚJ '!J44-'2.a tábla ÚJ '!J46</f>
        <v>68968706</v>
      </c>
      <c r="K50" s="95">
        <f>'4.sz.tábla '!AT8-'2.a tábla ÚJ '!K44-'2.a tábla ÚJ '!K46</f>
        <v>64808614</v>
      </c>
      <c r="L50" s="95">
        <f>'4.sz.tábla '!AU8-'2.a tábla ÚJ '!L44-'2.a tábla ÚJ '!L46</f>
        <v>64808614</v>
      </c>
      <c r="M50" s="95">
        <f>L50-K50</f>
        <v>0</v>
      </c>
      <c r="N50" s="146">
        <f>B50+F50+J50</f>
        <v>205475704</v>
      </c>
      <c r="O50" s="95">
        <f>C50+G50+K50</f>
        <v>183993066</v>
      </c>
      <c r="P50" s="95">
        <f>D50+H50+L50</f>
        <v>183993066</v>
      </c>
      <c r="Q50" s="605">
        <f>E50+I50+M50</f>
        <v>0</v>
      </c>
      <c r="R50" s="156" t="e">
        <f>SUM(#REF!)</f>
        <v>#REF!</v>
      </c>
      <c r="S50" s="95">
        <f>'5.tábla (2)'!B44-'2.a tábla ÚJ '!S44-'2.a tábla ÚJ '!S46</f>
        <v>418371475</v>
      </c>
      <c r="T50" s="95">
        <f>'5.tábla (2)'!C44-'2.a tábla ÚJ '!T44-'2.a tábla ÚJ '!T46</f>
        <v>397727963</v>
      </c>
      <c r="U50" s="95">
        <f>'5.tábla (2)'!D44-'2.a tábla ÚJ '!U44-'2.a tábla ÚJ '!U46</f>
        <v>397996654</v>
      </c>
      <c r="V50" s="605">
        <f>'5.tábla (2)'!E44-'2.a tábla ÚJ '!V44-'2.a tábla ÚJ '!V46</f>
        <v>268691</v>
      </c>
      <c r="W50" s="427"/>
      <c r="X50" s="427"/>
      <c r="Y50" s="420"/>
      <c r="Z50" s="420"/>
      <c r="AA50" s="420"/>
      <c r="AB50" s="420"/>
      <c r="AC50" s="420"/>
      <c r="AD50" s="420"/>
      <c r="AE50" s="420"/>
      <c r="AF50" s="420"/>
      <c r="AG50" s="420"/>
      <c r="AH50" s="420"/>
      <c r="AI50" s="420"/>
      <c r="AJ50" s="420"/>
      <c r="AK50" s="420"/>
      <c r="AL50" s="420"/>
      <c r="AM50" s="420"/>
      <c r="AN50" s="420"/>
      <c r="AO50" s="420"/>
      <c r="AP50" s="420"/>
      <c r="AQ50" s="420"/>
      <c r="AR50" s="420"/>
      <c r="AS50" s="420"/>
      <c r="AT50" s="420"/>
      <c r="AU50" s="420"/>
      <c r="AV50" s="420"/>
      <c r="AW50" s="420"/>
      <c r="AX50" s="420"/>
      <c r="AY50" s="420"/>
      <c r="AZ50" s="420"/>
      <c r="BA50" s="420"/>
      <c r="BB50" s="420"/>
      <c r="BC50" s="420"/>
      <c r="BD50" s="420"/>
      <c r="BE50" s="420"/>
      <c r="BF50" s="420"/>
      <c r="BG50" s="420"/>
      <c r="BH50" s="420"/>
      <c r="BI50" s="420"/>
      <c r="BJ50" s="420"/>
      <c r="BK50" s="420"/>
      <c r="BL50" s="420"/>
      <c r="BM50" s="420"/>
      <c r="BN50" s="420"/>
      <c r="BO50" s="420"/>
      <c r="BP50" s="420"/>
      <c r="BQ50" s="420"/>
      <c r="BR50" s="420"/>
      <c r="BS50" s="420"/>
      <c r="BT50" s="420"/>
      <c r="BU50" s="420"/>
      <c r="BV50" s="420"/>
      <c r="BW50" s="420"/>
      <c r="BX50" s="420"/>
      <c r="BY50" s="420"/>
      <c r="BZ50" s="420"/>
      <c r="CA50" s="420"/>
      <c r="CB50" s="420"/>
      <c r="CC50" s="420"/>
      <c r="CD50" s="420"/>
      <c r="CE50" s="420"/>
      <c r="CF50" s="420"/>
      <c r="CG50" s="420"/>
      <c r="CH50" s="420"/>
      <c r="CI50" s="420"/>
      <c r="CJ50" s="420"/>
      <c r="CK50" s="420"/>
      <c r="CL50" s="420"/>
      <c r="CM50" s="420"/>
      <c r="CN50" s="420"/>
      <c r="CO50" s="420"/>
      <c r="CP50" s="420"/>
      <c r="CQ50" s="420"/>
      <c r="CR50" s="420"/>
      <c r="CS50" s="420"/>
      <c r="CT50" s="420"/>
      <c r="CU50" s="420"/>
      <c r="CV50" s="420"/>
      <c r="CW50" s="420"/>
      <c r="CX50" s="420"/>
      <c r="CY50" s="420"/>
      <c r="CZ50" s="420"/>
      <c r="DA50" s="420"/>
      <c r="DB50" s="420"/>
      <c r="DC50" s="420"/>
      <c r="DD50" s="420"/>
      <c r="DE50" s="420"/>
      <c r="DF50" s="420"/>
      <c r="DG50" s="420"/>
      <c r="DH50" s="420"/>
      <c r="DI50" s="420"/>
      <c r="DJ50" s="420"/>
      <c r="DK50" s="420"/>
      <c r="DL50" s="420"/>
      <c r="DM50" s="420"/>
      <c r="DN50" s="420"/>
      <c r="DO50" s="420"/>
      <c r="DP50" s="420"/>
      <c r="DQ50" s="420"/>
      <c r="DR50" s="420"/>
      <c r="DS50" s="420"/>
      <c r="DT50" s="420"/>
    </row>
    <row r="51" spans="1:198" s="24" customFormat="1" ht="15" customHeight="1" x14ac:dyDescent="0.25">
      <c r="A51" s="329" t="s">
        <v>42</v>
      </c>
      <c r="B51" s="95">
        <f t="shared" ref="B51:D51" si="51">B45+B44</f>
        <v>74968235</v>
      </c>
      <c r="C51" s="95">
        <f t="shared" ref="C51" si="52">C45+C44</f>
        <v>77387888</v>
      </c>
      <c r="D51" s="95">
        <f t="shared" si="51"/>
        <v>77198677</v>
      </c>
      <c r="E51" s="134">
        <f t="shared" ref="E51:R51" si="53">E45+E44</f>
        <v>-189211</v>
      </c>
      <c r="F51" s="561">
        <f t="shared" ref="F51:H51" si="54">F45+F44</f>
        <v>261300000</v>
      </c>
      <c r="G51" s="134">
        <f t="shared" ref="G51" si="55">G45+G44</f>
        <v>284288641</v>
      </c>
      <c r="H51" s="134">
        <f t="shared" si="54"/>
        <v>284288947</v>
      </c>
      <c r="I51" s="605">
        <f>H51-G51</f>
        <v>306</v>
      </c>
      <c r="J51" s="156">
        <f t="shared" ref="J51" si="56">J45+J44</f>
        <v>73581232</v>
      </c>
      <c r="K51" s="95">
        <f t="shared" ref="K51" si="57">K45+K44</f>
        <v>73836472</v>
      </c>
      <c r="L51" s="95">
        <f>L45+L44</f>
        <v>73837471</v>
      </c>
      <c r="M51" s="95">
        <f>L51-K51</f>
        <v>999</v>
      </c>
      <c r="N51" s="146">
        <f t="shared" si="53"/>
        <v>409849467</v>
      </c>
      <c r="O51" s="95">
        <f>O45+O44</f>
        <v>435513001</v>
      </c>
      <c r="P51" s="95">
        <f>P45+P44</f>
        <v>435325095</v>
      </c>
      <c r="Q51" s="605">
        <f t="shared" si="53"/>
        <v>-187906</v>
      </c>
      <c r="R51" s="156" t="e">
        <f t="shared" si="53"/>
        <v>#REF!</v>
      </c>
      <c r="S51" s="146">
        <f t="shared" ref="S51:V51" si="58">S45+S44</f>
        <v>482604034</v>
      </c>
      <c r="T51" s="95">
        <f>T45+T44</f>
        <v>491467062</v>
      </c>
      <c r="U51" s="95">
        <f t="shared" ref="U51" si="59">U45+U44</f>
        <v>491735233</v>
      </c>
      <c r="V51" s="605">
        <f t="shared" si="58"/>
        <v>268171</v>
      </c>
      <c r="W51" s="423"/>
      <c r="X51" s="423"/>
      <c r="Y51" s="423"/>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19"/>
      <c r="BJ51" s="419"/>
      <c r="BK51" s="419"/>
      <c r="BL51" s="419"/>
      <c r="BM51" s="419"/>
      <c r="BN51" s="419"/>
      <c r="BO51" s="419"/>
      <c r="BP51" s="419"/>
      <c r="BQ51" s="419"/>
      <c r="BR51" s="419"/>
      <c r="BS51" s="419"/>
      <c r="BT51" s="419"/>
      <c r="BU51" s="419"/>
      <c r="BV51" s="419"/>
      <c r="BW51" s="419"/>
      <c r="BX51" s="419"/>
      <c r="BY51" s="419"/>
      <c r="BZ51" s="419"/>
      <c r="CA51" s="419"/>
      <c r="CB51" s="419"/>
      <c r="CC51" s="419"/>
      <c r="CD51" s="419"/>
      <c r="CE51" s="419"/>
      <c r="CF51" s="419"/>
      <c r="CG51" s="419"/>
      <c r="CH51" s="419"/>
      <c r="CI51" s="419"/>
      <c r="CJ51" s="419"/>
      <c r="CK51" s="419"/>
      <c r="CL51" s="419"/>
      <c r="CM51" s="419"/>
      <c r="CN51" s="419"/>
      <c r="CO51" s="419"/>
      <c r="CP51" s="419"/>
      <c r="CQ51" s="419"/>
      <c r="CR51" s="419"/>
      <c r="CS51" s="419"/>
      <c r="CT51" s="419"/>
      <c r="CU51" s="419"/>
      <c r="CV51" s="419"/>
      <c r="CW51" s="419"/>
      <c r="CX51" s="419"/>
      <c r="CY51" s="419"/>
      <c r="CZ51" s="419"/>
      <c r="DA51" s="419"/>
      <c r="DB51" s="419"/>
      <c r="DC51" s="419"/>
      <c r="DD51" s="419"/>
      <c r="DE51" s="419"/>
      <c r="DF51" s="419"/>
      <c r="DG51" s="419"/>
      <c r="DH51" s="419"/>
      <c r="DI51" s="419"/>
      <c r="DJ51" s="419"/>
      <c r="DK51" s="419"/>
      <c r="DL51" s="419"/>
      <c r="DM51" s="419"/>
      <c r="DN51" s="419"/>
      <c r="DO51" s="419"/>
      <c r="DP51" s="419"/>
      <c r="DQ51" s="419"/>
      <c r="DR51" s="419"/>
      <c r="DS51" s="419"/>
      <c r="DT51" s="419"/>
    </row>
    <row r="52" spans="1:198" s="1" customFormat="1" ht="15" x14ac:dyDescent="0.25">
      <c r="A52" s="335" t="s">
        <v>48</v>
      </c>
      <c r="B52" s="422"/>
      <c r="C52" s="95"/>
      <c r="D52" s="95"/>
      <c r="E52" s="134"/>
      <c r="F52" s="561"/>
      <c r="G52" s="568"/>
      <c r="H52" s="568"/>
      <c r="I52" s="606"/>
      <c r="J52" s="156"/>
      <c r="K52" s="635"/>
      <c r="L52" s="635"/>
      <c r="M52" s="635"/>
      <c r="N52" s="146"/>
      <c r="O52" s="568"/>
      <c r="P52" s="568"/>
      <c r="Q52" s="606"/>
      <c r="R52" s="165"/>
      <c r="S52" s="146"/>
      <c r="T52" s="134"/>
      <c r="U52" s="134"/>
      <c r="V52" s="605"/>
      <c r="W52" s="428"/>
      <c r="X52" s="428"/>
      <c r="Y52" s="428"/>
      <c r="Z52" s="428"/>
      <c r="AA52" s="428"/>
      <c r="AB52" s="428"/>
      <c r="AC52" s="428"/>
      <c r="AD52" s="428"/>
      <c r="AE52" s="428"/>
      <c r="AF52" s="428"/>
      <c r="AG52" s="428"/>
      <c r="AH52" s="428"/>
      <c r="AI52" s="428"/>
      <c r="AJ52" s="428"/>
      <c r="AK52" s="428"/>
      <c r="AL52" s="428"/>
      <c r="AM52" s="428"/>
      <c r="AN52" s="428"/>
      <c r="AO52" s="428"/>
      <c r="AP52" s="428"/>
      <c r="AQ52" s="428"/>
      <c r="AR52" s="428"/>
      <c r="AS52" s="428"/>
      <c r="AT52" s="428"/>
      <c r="AU52" s="428"/>
      <c r="AV52" s="428"/>
      <c r="AW52" s="428"/>
      <c r="AX52" s="428"/>
      <c r="AY52" s="428"/>
      <c r="AZ52" s="428"/>
      <c r="BA52" s="428"/>
      <c r="BB52" s="428"/>
      <c r="BC52" s="428"/>
      <c r="BD52" s="428"/>
      <c r="BE52" s="428"/>
      <c r="BF52" s="428"/>
      <c r="BG52" s="428"/>
      <c r="BH52" s="428"/>
      <c r="BI52" s="428"/>
      <c r="BJ52" s="428"/>
      <c r="BK52" s="428"/>
      <c r="BL52" s="428"/>
      <c r="BM52" s="428"/>
      <c r="BN52" s="428"/>
      <c r="BO52" s="428"/>
      <c r="BP52" s="428"/>
      <c r="BQ52" s="428"/>
      <c r="BR52" s="428"/>
      <c r="BS52" s="428"/>
      <c r="BT52" s="428"/>
      <c r="BU52" s="428"/>
      <c r="BV52" s="428"/>
      <c r="BW52" s="428"/>
      <c r="BX52" s="428"/>
      <c r="BY52" s="428"/>
      <c r="BZ52" s="428"/>
      <c r="CA52" s="428"/>
      <c r="CB52" s="428"/>
      <c r="CC52" s="428"/>
      <c r="CD52" s="428"/>
      <c r="CE52" s="428"/>
      <c r="CF52" s="428"/>
      <c r="CG52" s="428"/>
      <c r="CH52" s="428"/>
      <c r="CI52" s="428"/>
      <c r="CJ52" s="428"/>
      <c r="CK52" s="428"/>
      <c r="CL52" s="428"/>
      <c r="CM52" s="428"/>
      <c r="CN52" s="428"/>
      <c r="CO52" s="428"/>
      <c r="CP52" s="428"/>
      <c r="CQ52" s="428"/>
      <c r="CR52" s="428"/>
      <c r="CS52" s="428"/>
      <c r="CT52" s="428"/>
      <c r="CU52" s="428"/>
      <c r="CV52" s="428"/>
      <c r="CW52" s="428"/>
      <c r="CX52" s="428"/>
      <c r="CY52" s="428"/>
      <c r="CZ52" s="428"/>
      <c r="DA52" s="428"/>
      <c r="DB52" s="428"/>
      <c r="DC52" s="428"/>
      <c r="DD52" s="428"/>
      <c r="DE52" s="428"/>
      <c r="DF52" s="428"/>
      <c r="DG52" s="428"/>
      <c r="DH52" s="428"/>
      <c r="DI52" s="428"/>
      <c r="DJ52" s="428"/>
      <c r="DK52" s="428"/>
      <c r="DL52" s="428"/>
      <c r="DM52" s="428"/>
      <c r="DN52" s="428"/>
      <c r="DO52" s="428"/>
      <c r="DP52" s="428"/>
      <c r="DQ52" s="428"/>
      <c r="DR52" s="428"/>
      <c r="DS52" s="428"/>
      <c r="DT52" s="428"/>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row>
    <row r="53" spans="1:198" x14ac:dyDescent="0.2">
      <c r="A53" s="336" t="s">
        <v>49</v>
      </c>
      <c r="B53" s="250">
        <v>1.5</v>
      </c>
      <c r="C53" s="131">
        <v>1.5</v>
      </c>
      <c r="D53" s="131">
        <v>1.5</v>
      </c>
      <c r="E53" s="232">
        <f>D53-C53</f>
        <v>0</v>
      </c>
      <c r="F53" s="293">
        <v>12</v>
      </c>
      <c r="G53" s="1381">
        <v>12</v>
      </c>
      <c r="H53" s="1381">
        <v>12</v>
      </c>
      <c r="I53" s="569">
        <f>H53-G53</f>
        <v>0</v>
      </c>
      <c r="J53" s="157">
        <v>5</v>
      </c>
      <c r="K53" s="636">
        <v>5</v>
      </c>
      <c r="L53" s="636">
        <v>5</v>
      </c>
      <c r="M53" s="636">
        <f>L53-K53</f>
        <v>0</v>
      </c>
      <c r="N53" s="148">
        <f>B53+F53+J53</f>
        <v>18.5</v>
      </c>
      <c r="O53" s="131">
        <f>C53+G53+K53</f>
        <v>18.5</v>
      </c>
      <c r="P53" s="131">
        <f>D53+H53+L53</f>
        <v>18.5</v>
      </c>
      <c r="Q53" s="356">
        <f t="shared" ref="Q53:Q56" si="60">E53+I53+M53</f>
        <v>0</v>
      </c>
      <c r="R53" s="157" t="e">
        <f>#REF!+#REF!+#REF!+#REF!+#REF!+#REF!+#REF!+#REF!+#REF!+#REF!</f>
        <v>#REF!</v>
      </c>
      <c r="S53" s="293">
        <v>7</v>
      </c>
      <c r="T53" s="131">
        <v>7</v>
      </c>
      <c r="U53" s="131">
        <v>7</v>
      </c>
      <c r="V53" s="356">
        <f>U53-T53</f>
        <v>0</v>
      </c>
      <c r="W53" s="429"/>
    </row>
    <row r="54" spans="1:198" x14ac:dyDescent="0.2">
      <c r="A54" s="336" t="s">
        <v>50</v>
      </c>
      <c r="B54" s="250">
        <v>9.5</v>
      </c>
      <c r="C54" s="131">
        <v>9.5</v>
      </c>
      <c r="D54" s="131">
        <v>9.5</v>
      </c>
      <c r="E54" s="232">
        <f t="shared" ref="E54:E57" si="61">D54-C54</f>
        <v>0</v>
      </c>
      <c r="F54" s="293">
        <v>18</v>
      </c>
      <c r="G54" s="1381">
        <v>18</v>
      </c>
      <c r="H54" s="1381">
        <v>18</v>
      </c>
      <c r="I54" s="569">
        <f t="shared" ref="I54:I57" si="62">H54-G54</f>
        <v>0</v>
      </c>
      <c r="J54" s="157">
        <v>9</v>
      </c>
      <c r="K54" s="636">
        <v>9</v>
      </c>
      <c r="L54" s="636">
        <v>9</v>
      </c>
      <c r="M54" s="636">
        <f t="shared" ref="M54:M57" si="63">L54-K54</f>
        <v>0</v>
      </c>
      <c r="N54" s="148">
        <f>B54+F54+J54</f>
        <v>36.5</v>
      </c>
      <c r="O54" s="131">
        <f t="shared" ref="O54:P57" si="64">C54+G54+K54</f>
        <v>36.5</v>
      </c>
      <c r="P54" s="131">
        <f t="shared" si="64"/>
        <v>36.5</v>
      </c>
      <c r="Q54" s="356">
        <f t="shared" si="60"/>
        <v>0</v>
      </c>
      <c r="R54" s="157" t="e">
        <f>#REF!+#REF!+#REF!+#REF!+#REF!+#REF!+#REF!+#REF!+#REF!+#REF!</f>
        <v>#REF!</v>
      </c>
      <c r="S54" s="293">
        <v>66</v>
      </c>
      <c r="T54" s="131">
        <f>66-1</f>
        <v>65</v>
      </c>
      <c r="U54" s="131">
        <v>61</v>
      </c>
      <c r="V54" s="356">
        <f t="shared" ref="V54:V60" si="65">U54-T54</f>
        <v>-4</v>
      </c>
      <c r="W54" s="429"/>
    </row>
    <row r="55" spans="1:198" s="66" customFormat="1" ht="25.5" x14ac:dyDescent="0.2">
      <c r="A55" s="1188" t="s">
        <v>940</v>
      </c>
      <c r="B55" s="250"/>
      <c r="C55" s="130"/>
      <c r="D55" s="130"/>
      <c r="E55" s="232"/>
      <c r="F55" s="293">
        <v>0</v>
      </c>
      <c r="G55" s="1381">
        <v>0</v>
      </c>
      <c r="H55" s="1381">
        <v>0</v>
      </c>
      <c r="I55" s="569"/>
      <c r="J55" s="157"/>
      <c r="K55" s="636"/>
      <c r="L55" s="636"/>
      <c r="M55" s="636"/>
      <c r="N55" s="148">
        <f>B55+F55+J55</f>
        <v>0</v>
      </c>
      <c r="O55" s="131">
        <f t="shared" si="64"/>
        <v>0</v>
      </c>
      <c r="P55" s="131">
        <f t="shared" si="64"/>
        <v>0</v>
      </c>
      <c r="Q55" s="356">
        <f t="shared" si="60"/>
        <v>0</v>
      </c>
      <c r="R55" s="157" t="e">
        <f>#REF!+#REF!+#REF!+#REF!+#REF!+#REF!+#REF!+#REF!+#REF!+#REF!</f>
        <v>#REF!</v>
      </c>
      <c r="S55" s="293">
        <v>0.5</v>
      </c>
      <c r="T55" s="131">
        <v>0.5</v>
      </c>
      <c r="U55" s="131">
        <v>0.5</v>
      </c>
      <c r="V55" s="356">
        <f t="shared" si="65"/>
        <v>0</v>
      </c>
      <c r="W55" s="1189"/>
      <c r="X55" s="1190"/>
      <c r="Y55" s="1190"/>
      <c r="Z55" s="1190"/>
      <c r="AA55" s="1190"/>
      <c r="AB55" s="1190"/>
      <c r="AC55" s="1190"/>
      <c r="AD55" s="1190"/>
      <c r="AE55" s="1190"/>
      <c r="AF55" s="1190"/>
      <c r="AG55" s="1190"/>
      <c r="AH55" s="1190"/>
      <c r="AI55" s="1190"/>
      <c r="AJ55" s="1190"/>
      <c r="AK55" s="1190"/>
      <c r="AL55" s="1190"/>
      <c r="AM55" s="1190"/>
      <c r="AN55" s="1190"/>
      <c r="AO55" s="1190"/>
      <c r="AP55" s="1190"/>
      <c r="AQ55" s="1190"/>
      <c r="AR55" s="1190"/>
      <c r="AS55" s="1190"/>
      <c r="AT55" s="1190"/>
      <c r="AU55" s="1190"/>
      <c r="AV55" s="1190"/>
      <c r="AW55" s="1190"/>
      <c r="AX55" s="1190"/>
      <c r="AY55" s="1190"/>
      <c r="AZ55" s="1190"/>
      <c r="BA55" s="1190"/>
      <c r="BB55" s="1190"/>
      <c r="BC55" s="1190"/>
      <c r="BD55" s="1190"/>
      <c r="BE55" s="1190"/>
      <c r="BF55" s="1190"/>
      <c r="BG55" s="1190"/>
      <c r="BH55" s="1190"/>
      <c r="BI55" s="1190"/>
      <c r="BJ55" s="1190"/>
      <c r="BK55" s="1190"/>
      <c r="BL55" s="1190"/>
      <c r="BM55" s="1190"/>
      <c r="BN55" s="1190"/>
      <c r="BO55" s="1190"/>
      <c r="BP55" s="1190"/>
      <c r="BQ55" s="1190"/>
      <c r="BR55" s="1190"/>
      <c r="BS55" s="1190"/>
      <c r="BT55" s="1190"/>
      <c r="BU55" s="1190"/>
      <c r="BV55" s="1190"/>
      <c r="BW55" s="1190"/>
      <c r="BX55" s="1190"/>
      <c r="BY55" s="1190"/>
      <c r="BZ55" s="1190"/>
      <c r="CA55" s="1190"/>
      <c r="CB55" s="1190"/>
      <c r="CC55" s="1190"/>
      <c r="CD55" s="1190"/>
      <c r="CE55" s="1190"/>
      <c r="CF55" s="1190"/>
      <c r="CG55" s="1190"/>
      <c r="CH55" s="1190"/>
      <c r="CI55" s="1190"/>
      <c r="CJ55" s="1190"/>
      <c r="CK55" s="1190"/>
      <c r="CL55" s="1190"/>
      <c r="CM55" s="1190"/>
      <c r="CN55" s="1190"/>
      <c r="CO55" s="1190"/>
      <c r="CP55" s="1190"/>
      <c r="CQ55" s="1190"/>
      <c r="CR55" s="1190"/>
      <c r="CS55" s="1190"/>
      <c r="CT55" s="1190"/>
      <c r="CU55" s="1190"/>
      <c r="CV55" s="1190"/>
      <c r="CW55" s="1190"/>
      <c r="CX55" s="1190"/>
      <c r="CY55" s="1190"/>
      <c r="CZ55" s="1190"/>
      <c r="DA55" s="1190"/>
      <c r="DB55" s="1190"/>
      <c r="DC55" s="1190"/>
      <c r="DD55" s="1190"/>
      <c r="DE55" s="1190"/>
      <c r="DF55" s="1190"/>
      <c r="DG55" s="1190"/>
      <c r="DH55" s="1190"/>
      <c r="DI55" s="1190"/>
      <c r="DJ55" s="1190"/>
      <c r="DK55" s="1190"/>
      <c r="DL55" s="1190"/>
      <c r="DM55" s="1190"/>
      <c r="DN55" s="1190"/>
      <c r="DO55" s="1190"/>
      <c r="DP55" s="1190"/>
      <c r="DQ55" s="1190"/>
      <c r="DR55" s="1190"/>
      <c r="DS55" s="1190"/>
      <c r="DT55" s="1190"/>
      <c r="DU55" s="1191"/>
      <c r="DV55" s="1191"/>
      <c r="DW55" s="1191"/>
      <c r="DX55" s="1191"/>
      <c r="DY55" s="1191"/>
      <c r="DZ55" s="1191"/>
      <c r="EA55" s="1191"/>
      <c r="EB55" s="1191"/>
      <c r="EC55" s="1191"/>
      <c r="ED55" s="1191"/>
      <c r="EE55" s="1191"/>
      <c r="EF55" s="1191"/>
      <c r="EG55" s="1191"/>
      <c r="EH55" s="1191"/>
      <c r="EI55" s="1191"/>
      <c r="EJ55" s="1191"/>
      <c r="EK55" s="1191"/>
      <c r="EL55" s="1191"/>
      <c r="EM55" s="1191"/>
      <c r="EN55" s="1191"/>
      <c r="EO55" s="1191"/>
      <c r="EP55" s="1191"/>
      <c r="EQ55" s="1191"/>
      <c r="ER55" s="1191"/>
      <c r="ES55" s="1191"/>
      <c r="ET55" s="1191"/>
      <c r="EU55" s="1191"/>
      <c r="EV55" s="1191"/>
      <c r="EW55" s="1191"/>
      <c r="EX55" s="1191"/>
      <c r="EY55" s="1191"/>
      <c r="EZ55" s="1191"/>
      <c r="FA55" s="1191"/>
      <c r="FB55" s="1191"/>
      <c r="FC55" s="1191"/>
      <c r="FD55" s="1191"/>
      <c r="FE55" s="1191"/>
      <c r="FF55" s="1191"/>
      <c r="FG55" s="1191"/>
      <c r="FH55" s="1191"/>
      <c r="FI55" s="1191"/>
      <c r="FJ55" s="1191"/>
      <c r="FK55" s="1191"/>
      <c r="FL55" s="1191"/>
      <c r="FM55" s="1191"/>
      <c r="FN55" s="1191"/>
      <c r="FO55" s="1191"/>
      <c r="FP55" s="1191"/>
      <c r="FQ55" s="1191"/>
      <c r="FR55" s="1191"/>
      <c r="FS55" s="1191"/>
      <c r="FT55" s="1191"/>
      <c r="FU55" s="1191"/>
      <c r="FV55" s="1191"/>
      <c r="FW55" s="1191"/>
      <c r="FX55" s="1191"/>
      <c r="FY55" s="1191"/>
      <c r="FZ55" s="1191"/>
      <c r="GA55" s="1191"/>
      <c r="GB55" s="1191"/>
      <c r="GC55" s="1191"/>
      <c r="GD55" s="1191"/>
      <c r="GE55" s="1191"/>
      <c r="GF55" s="1191"/>
      <c r="GG55" s="1191"/>
      <c r="GH55" s="1191"/>
      <c r="GI55" s="1191"/>
      <c r="GJ55" s="1191"/>
      <c r="GK55" s="1191"/>
      <c r="GL55" s="1191"/>
      <c r="GM55" s="1191"/>
      <c r="GN55" s="1191"/>
      <c r="GO55" s="1191"/>
      <c r="GP55" s="1191"/>
    </row>
    <row r="56" spans="1:198" x14ac:dyDescent="0.2">
      <c r="A56" s="336" t="s">
        <v>51</v>
      </c>
      <c r="B56" s="250">
        <v>1</v>
      </c>
      <c r="C56" s="131">
        <v>1</v>
      </c>
      <c r="D56" s="131">
        <v>1</v>
      </c>
      <c r="E56" s="232">
        <f t="shared" si="61"/>
        <v>0</v>
      </c>
      <c r="F56" s="293">
        <v>2</v>
      </c>
      <c r="G56" s="1381">
        <v>2</v>
      </c>
      <c r="H56" s="1381">
        <v>2</v>
      </c>
      <c r="I56" s="569">
        <f t="shared" si="62"/>
        <v>0</v>
      </c>
      <c r="J56" s="157">
        <v>2</v>
      </c>
      <c r="K56" s="636">
        <v>2</v>
      </c>
      <c r="L56" s="636">
        <v>2</v>
      </c>
      <c r="M56" s="636">
        <f t="shared" si="63"/>
        <v>0</v>
      </c>
      <c r="N56" s="148">
        <f>B56+F56+J56</f>
        <v>5</v>
      </c>
      <c r="O56" s="131">
        <f t="shared" si="64"/>
        <v>5</v>
      </c>
      <c r="P56" s="131">
        <f t="shared" si="64"/>
        <v>5</v>
      </c>
      <c r="Q56" s="356">
        <f t="shared" si="60"/>
        <v>0</v>
      </c>
      <c r="R56" s="157" t="e">
        <f>#REF!+#REF!+#REF!+#REF!+#REF!+#REF!+#REF!+#REF!+#REF!+#REF!</f>
        <v>#REF!</v>
      </c>
      <c r="S56" s="293"/>
      <c r="T56" s="131"/>
      <c r="U56" s="131"/>
      <c r="V56" s="356">
        <f t="shared" si="65"/>
        <v>0</v>
      </c>
      <c r="W56" s="429"/>
    </row>
    <row r="57" spans="1:198" x14ac:dyDescent="0.2">
      <c r="A57" s="336" t="s">
        <v>52</v>
      </c>
      <c r="B57" s="131">
        <f t="shared" ref="B57:D57" si="66">SUM(B53:B56)</f>
        <v>12</v>
      </c>
      <c r="C57" s="131">
        <f t="shared" ref="C57" si="67">SUM(C53:C56)</f>
        <v>12</v>
      </c>
      <c r="D57" s="131">
        <f t="shared" si="66"/>
        <v>12</v>
      </c>
      <c r="E57" s="232">
        <f t="shared" si="61"/>
        <v>0</v>
      </c>
      <c r="F57" s="293">
        <f t="shared" ref="F57" si="68">SUM(F53:F56)</f>
        <v>32</v>
      </c>
      <c r="G57" s="232">
        <f>SUM(G53:G56)</f>
        <v>32</v>
      </c>
      <c r="H57" s="232">
        <f>SUM(H53:H56)</f>
        <v>32</v>
      </c>
      <c r="I57" s="569">
        <f t="shared" si="62"/>
        <v>0</v>
      </c>
      <c r="J57" s="157">
        <f t="shared" ref="J57" si="69">SUM(J53:J56)</f>
        <v>16</v>
      </c>
      <c r="K57" s="131">
        <f>SUM(K53:K56)</f>
        <v>16</v>
      </c>
      <c r="L57" s="131">
        <f>SUM(L53:L56)</f>
        <v>16</v>
      </c>
      <c r="M57" s="636">
        <f t="shared" si="63"/>
        <v>0</v>
      </c>
      <c r="N57" s="148">
        <f>SUM(N53:N56)</f>
        <v>60</v>
      </c>
      <c r="O57" s="131">
        <f t="shared" si="64"/>
        <v>60</v>
      </c>
      <c r="P57" s="131">
        <f t="shared" si="64"/>
        <v>60</v>
      </c>
      <c r="Q57" s="356">
        <f>SUM(Q53:Q56)</f>
        <v>0</v>
      </c>
      <c r="R57" s="157" t="e">
        <f t="shared" ref="R57" si="70">SUM(R53:R56)</f>
        <v>#REF!</v>
      </c>
      <c r="S57" s="148">
        <f>SUM(S53:S56)</f>
        <v>73.5</v>
      </c>
      <c r="T57" s="131">
        <f>SUM(T53:T56)</f>
        <v>72.5</v>
      </c>
      <c r="U57" s="131">
        <f>SUM(U53:U56)</f>
        <v>68.5</v>
      </c>
      <c r="V57" s="356">
        <f t="shared" si="65"/>
        <v>-4</v>
      </c>
      <c r="W57" s="429"/>
    </row>
    <row r="58" spans="1:198" x14ac:dyDescent="0.2">
      <c r="A58" s="336" t="s">
        <v>53</v>
      </c>
      <c r="B58" s="421"/>
      <c r="C58" s="130"/>
      <c r="D58" s="130"/>
      <c r="E58" s="231"/>
      <c r="F58" s="560"/>
      <c r="G58" s="582"/>
      <c r="H58" s="582"/>
      <c r="I58" s="678"/>
      <c r="J58" s="162"/>
      <c r="K58" s="636"/>
      <c r="L58" s="636"/>
      <c r="M58" s="636"/>
      <c r="N58" s="147"/>
      <c r="O58" s="231"/>
      <c r="P58" s="231"/>
      <c r="Q58" s="132"/>
      <c r="R58" s="157" t="e">
        <f>#REF!+#REF!+#REF!+#REF!+#REF!+#REF!+#REF!+#REF!+#REF!+#REF!</f>
        <v>#REF!</v>
      </c>
      <c r="S58" s="148">
        <v>8</v>
      </c>
      <c r="T58" s="232">
        <v>8</v>
      </c>
      <c r="U58" s="232">
        <v>8</v>
      </c>
      <c r="V58" s="356">
        <f t="shared" si="65"/>
        <v>0</v>
      </c>
      <c r="W58" s="429"/>
    </row>
    <row r="59" spans="1:198" x14ac:dyDescent="0.2">
      <c r="A59" s="361" t="s">
        <v>490</v>
      </c>
      <c r="B59" s="421"/>
      <c r="C59" s="130"/>
      <c r="D59" s="130"/>
      <c r="E59" s="231"/>
      <c r="F59" s="560"/>
      <c r="G59" s="231"/>
      <c r="H59" s="231"/>
      <c r="I59" s="132"/>
      <c r="J59" s="162"/>
      <c r="K59" s="131"/>
      <c r="L59" s="131"/>
      <c r="M59" s="131"/>
      <c r="N59" s="147"/>
      <c r="O59" s="231"/>
      <c r="P59" s="231"/>
      <c r="Q59" s="132"/>
      <c r="R59" s="157"/>
      <c r="S59" s="148">
        <v>2</v>
      </c>
      <c r="T59" s="232">
        <v>2</v>
      </c>
      <c r="U59" s="232">
        <v>2</v>
      </c>
      <c r="V59" s="356">
        <f t="shared" si="65"/>
        <v>0</v>
      </c>
      <c r="W59" s="429"/>
    </row>
    <row r="60" spans="1:198" ht="15.75" thickBot="1" x14ac:dyDescent="0.3">
      <c r="A60" s="337" t="s">
        <v>54</v>
      </c>
      <c r="B60" s="430"/>
      <c r="C60" s="634"/>
      <c r="D60" s="634"/>
      <c r="E60" s="1583"/>
      <c r="F60" s="562"/>
      <c r="G60" s="431"/>
      <c r="H60" s="431"/>
      <c r="I60" s="679"/>
      <c r="J60" s="677"/>
      <c r="K60" s="432"/>
      <c r="L60" s="432"/>
      <c r="M60" s="432"/>
      <c r="N60" s="149"/>
      <c r="O60" s="431"/>
      <c r="P60" s="431"/>
      <c r="Q60" s="679"/>
      <c r="R60" s="251" t="e">
        <f>#REF!+#REF!+#REF!+#REF!+#REF!+#REF!+#REF!+#REF!+#REF!+#REF!</f>
        <v>#REF!</v>
      </c>
      <c r="S60" s="168">
        <v>15</v>
      </c>
      <c r="T60" s="432">
        <v>15</v>
      </c>
      <c r="U60" s="432">
        <v>15</v>
      </c>
      <c r="V60" s="1528">
        <f t="shared" si="65"/>
        <v>0</v>
      </c>
      <c r="W60" s="429"/>
    </row>
    <row r="61" spans="1:198" x14ac:dyDescent="0.2">
      <c r="W61" s="429"/>
    </row>
  </sheetData>
  <sheetProtection selectLockedCells="1" selectUnlockedCells="1"/>
  <mergeCells count="7">
    <mergeCell ref="A6:V6"/>
    <mergeCell ref="A10:A11"/>
    <mergeCell ref="B10:E10"/>
    <mergeCell ref="F10:I10"/>
    <mergeCell ref="J10:M10"/>
    <mergeCell ref="N10:Q10"/>
    <mergeCell ref="S10:V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 6/2021. (III.05.) önkormányzati rendelethez
 az önkormányzat 2020. évi költségvetéséről szóló 6/2020. (III.06.) önkormányzati rendelet 
2/a. mellékletének helyébe a következő 2/a. melléklet lép:  :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95"/>
  <sheetViews>
    <sheetView view="pageLayout" topLeftCell="B1" zoomScaleNormal="100" zoomScaleSheetLayoutView="78" workbookViewId="0">
      <selection activeCell="H8" sqref="H8"/>
    </sheetView>
  </sheetViews>
  <sheetFormatPr defaultRowHeight="14.25" x14ac:dyDescent="0.2"/>
  <cols>
    <col min="1" max="1" width="77.5703125" style="101" customWidth="1"/>
    <col min="2" max="2" width="10.85546875" style="101" bestFit="1" customWidth="1"/>
    <col min="3" max="3" width="10.85546875" style="658" customWidth="1"/>
    <col min="4" max="4" width="12.140625" style="101" bestFit="1" customWidth="1"/>
    <col min="5" max="5" width="16.28515625" style="483" customWidth="1"/>
    <col min="6" max="6" width="14.140625" customWidth="1"/>
    <col min="7" max="7" width="13.7109375" customWidth="1"/>
    <col min="8" max="8" width="13.7109375" style="638" customWidth="1"/>
    <col min="9" max="9" width="14.5703125" customWidth="1"/>
    <col min="10" max="10" width="13.42578125" customWidth="1"/>
    <col min="11" max="11" width="14.28515625" bestFit="1" customWidth="1"/>
    <col min="12" max="12" width="12.42578125" style="483" customWidth="1"/>
    <col min="13" max="13" width="15.7109375" style="101" customWidth="1"/>
  </cols>
  <sheetData>
    <row r="1" spans="1:13" ht="15.75" x14ac:dyDescent="0.25">
      <c r="A1" s="1655" t="s">
        <v>653</v>
      </c>
      <c r="B1" s="1655"/>
      <c r="C1" s="1655"/>
      <c r="D1" s="1655"/>
      <c r="E1" s="1655"/>
    </row>
    <row r="2" spans="1:13" ht="15" thickBot="1" x14ac:dyDescent="0.25"/>
    <row r="3" spans="1:13" ht="26.45" customHeight="1" x14ac:dyDescent="0.2">
      <c r="A3" s="1656" t="s">
        <v>301</v>
      </c>
      <c r="B3" s="1658" t="s">
        <v>55</v>
      </c>
      <c r="C3" s="1660" t="s">
        <v>56</v>
      </c>
      <c r="D3" s="1662" t="s">
        <v>57</v>
      </c>
      <c r="E3" s="1664" t="s">
        <v>277</v>
      </c>
      <c r="F3" s="1670" t="s">
        <v>985</v>
      </c>
      <c r="G3" s="1672" t="s">
        <v>986</v>
      </c>
      <c r="H3" s="1666" t="s">
        <v>1017</v>
      </c>
      <c r="I3" s="1668" t="s">
        <v>1018</v>
      </c>
      <c r="J3" s="1666" t="s">
        <v>1042</v>
      </c>
      <c r="K3" s="1668" t="s">
        <v>1043</v>
      </c>
      <c r="L3" s="1651" t="s">
        <v>1097</v>
      </c>
      <c r="M3" s="1653" t="s">
        <v>1098</v>
      </c>
    </row>
    <row r="4" spans="1:13" ht="13.9" customHeight="1" thickBot="1" x14ac:dyDescent="0.25">
      <c r="A4" s="1657"/>
      <c r="B4" s="1659"/>
      <c r="C4" s="1661"/>
      <c r="D4" s="1663"/>
      <c r="E4" s="1665"/>
      <c r="F4" s="1671"/>
      <c r="G4" s="1673"/>
      <c r="H4" s="1667"/>
      <c r="I4" s="1669"/>
      <c r="J4" s="1667"/>
      <c r="K4" s="1669"/>
      <c r="L4" s="1652"/>
      <c r="M4" s="1654"/>
    </row>
    <row r="5" spans="1:13" ht="15" x14ac:dyDescent="0.25">
      <c r="A5" s="741" t="s">
        <v>314</v>
      </c>
      <c r="B5" s="398"/>
      <c r="C5" s="399"/>
      <c r="D5" s="1539"/>
      <c r="E5" s="1540">
        <f>E6+E29</f>
        <v>508615472</v>
      </c>
      <c r="F5" s="1541">
        <f>F6+F29</f>
        <v>-178887517</v>
      </c>
      <c r="G5" s="1542">
        <f t="shared" ref="G5:I7" si="0">E5+F5</f>
        <v>329727955</v>
      </c>
      <c r="H5" s="1543">
        <f>H6+H29</f>
        <v>985035</v>
      </c>
      <c r="I5" s="1544">
        <f t="shared" si="0"/>
        <v>330712990</v>
      </c>
      <c r="J5" s="1543">
        <f>J6+J29</f>
        <v>0</v>
      </c>
      <c r="K5" s="1607">
        <f t="shared" ref="K5" si="1">I5+J5</f>
        <v>330712990</v>
      </c>
      <c r="L5" s="1614">
        <v>2247621</v>
      </c>
      <c r="M5" s="1544">
        <f t="shared" ref="M5:M28" si="2">L5+K5</f>
        <v>332960611</v>
      </c>
    </row>
    <row r="6" spans="1:13" ht="15" x14ac:dyDescent="0.25">
      <c r="A6" s="102" t="s">
        <v>367</v>
      </c>
      <c r="B6" s="100"/>
      <c r="C6" s="117"/>
      <c r="D6" s="104"/>
      <c r="E6" s="1314">
        <f>E7+E11+E21+E22+E24+E25+E27+E28</f>
        <v>508615472</v>
      </c>
      <c r="F6" s="1328">
        <f>F7+F11+F21+F22+F24+F25+F27+F28</f>
        <v>-178887517</v>
      </c>
      <c r="G6" s="1456">
        <f>E6+F6</f>
        <v>329727955</v>
      </c>
      <c r="H6" s="1463">
        <f>H7+H11+H21+H22+H24+H25+H27+H28</f>
        <v>985035</v>
      </c>
      <c r="I6" s="1333">
        <f>G6+H6</f>
        <v>330712990</v>
      </c>
      <c r="J6" s="1463">
        <f>J7+J11+J21+J22+J24+J25+J27+J28</f>
        <v>0</v>
      </c>
      <c r="K6" s="1325">
        <f>I6+J6</f>
        <v>330712990</v>
      </c>
      <c r="L6" s="639">
        <f>L29</f>
        <v>2247621</v>
      </c>
      <c r="M6" s="282">
        <f t="shared" si="2"/>
        <v>332960611</v>
      </c>
    </row>
    <row r="7" spans="1:13" ht="15" x14ac:dyDescent="0.25">
      <c r="A7" s="102" t="s">
        <v>58</v>
      </c>
      <c r="B7" s="100"/>
      <c r="C7" s="117"/>
      <c r="D7" s="104"/>
      <c r="E7" s="1315">
        <f>E8</f>
        <v>179444400</v>
      </c>
      <c r="F7" s="1329">
        <f>F8</f>
        <v>35293127</v>
      </c>
      <c r="G7" s="1456">
        <f t="shared" si="0"/>
        <v>214737527</v>
      </c>
      <c r="H7" s="1463">
        <f>H8+H10</f>
        <v>985035</v>
      </c>
      <c r="I7" s="1333">
        <f t="shared" si="0"/>
        <v>215722562</v>
      </c>
      <c r="J7" s="1463">
        <f>J8</f>
        <v>0</v>
      </c>
      <c r="K7" s="1325">
        <f t="shared" ref="K7" si="3">I7+J7</f>
        <v>215722562</v>
      </c>
      <c r="L7" s="639"/>
      <c r="M7" s="282">
        <f t="shared" si="2"/>
        <v>215722562</v>
      </c>
    </row>
    <row r="8" spans="1:13" ht="15" x14ac:dyDescent="0.25">
      <c r="A8" s="97" t="s">
        <v>59</v>
      </c>
      <c r="B8" s="100"/>
      <c r="C8" s="111">
        <v>39.18</v>
      </c>
      <c r="D8" s="96">
        <v>4580000</v>
      </c>
      <c r="E8" s="1316">
        <f>C8*D8</f>
        <v>179444400</v>
      </c>
      <c r="F8" s="1330">
        <v>35293127</v>
      </c>
      <c r="G8" s="1456">
        <f>E8+F8</f>
        <v>214737527</v>
      </c>
      <c r="H8" s="1459"/>
      <c r="I8" s="1333">
        <f>G8+H8</f>
        <v>214737527</v>
      </c>
      <c r="J8" s="1462"/>
      <c r="K8" s="1325">
        <f>I8+J8</f>
        <v>214737527</v>
      </c>
      <c r="L8" s="639"/>
      <c r="M8" s="282">
        <f t="shared" si="2"/>
        <v>214737527</v>
      </c>
    </row>
    <row r="9" spans="1:13" ht="15" x14ac:dyDescent="0.25">
      <c r="A9" s="97" t="s">
        <v>61</v>
      </c>
      <c r="B9" s="100"/>
      <c r="C9" s="117"/>
      <c r="D9" s="104"/>
      <c r="E9" s="1317">
        <v>0</v>
      </c>
      <c r="F9" s="1330"/>
      <c r="G9" s="1457"/>
      <c r="H9" s="1459"/>
      <c r="I9" s="1333">
        <f t="shared" ref="I9" si="4">G9+H9</f>
        <v>0</v>
      </c>
      <c r="J9" s="1462"/>
      <c r="K9" s="1325">
        <f t="shared" ref="K9" si="5">I9+J9</f>
        <v>0</v>
      </c>
      <c r="L9" s="639"/>
      <c r="M9" s="282">
        <f t="shared" si="2"/>
        <v>0</v>
      </c>
    </row>
    <row r="10" spans="1:13" ht="15" x14ac:dyDescent="0.25">
      <c r="A10" s="97" t="s">
        <v>1019</v>
      </c>
      <c r="B10" s="100"/>
      <c r="C10" s="117"/>
      <c r="D10" s="104"/>
      <c r="E10" s="1317"/>
      <c r="F10" s="1330"/>
      <c r="G10" s="1457"/>
      <c r="H10" s="1459">
        <v>985035</v>
      </c>
      <c r="I10" s="1333">
        <f t="shared" ref="I10" si="6">G10+H10</f>
        <v>985035</v>
      </c>
      <c r="J10" s="1462"/>
      <c r="K10" s="1325">
        <f t="shared" ref="K10" si="7">I10+J10</f>
        <v>985035</v>
      </c>
      <c r="L10" s="639"/>
      <c r="M10" s="282">
        <f t="shared" si="2"/>
        <v>985035</v>
      </c>
    </row>
    <row r="11" spans="1:13" ht="15" x14ac:dyDescent="0.25">
      <c r="A11" s="283" t="s">
        <v>344</v>
      </c>
      <c r="B11" s="100"/>
      <c r="C11" s="117"/>
      <c r="D11" s="104"/>
      <c r="E11" s="1315">
        <f>E12+E13+E14+E15+E16+E17+E18+E19</f>
        <v>0</v>
      </c>
      <c r="F11" s="1330"/>
      <c r="G11" s="1457"/>
      <c r="H11" s="1459"/>
      <c r="I11" s="1333">
        <v>0</v>
      </c>
      <c r="J11" s="1462"/>
      <c r="K11" s="1325">
        <v>0</v>
      </c>
      <c r="L11" s="639"/>
      <c r="M11" s="282">
        <f t="shared" si="2"/>
        <v>0</v>
      </c>
    </row>
    <row r="12" spans="1:13" ht="15" x14ac:dyDescent="0.25">
      <c r="A12" s="107" t="s">
        <v>453</v>
      </c>
      <c r="B12" s="100"/>
      <c r="C12" s="111">
        <v>705.7</v>
      </c>
      <c r="D12" s="96">
        <v>25200</v>
      </c>
      <c r="E12" s="1316">
        <f>C12*D12</f>
        <v>17783640</v>
      </c>
      <c r="F12" s="1330"/>
      <c r="G12" s="1316">
        <f>E12*F12</f>
        <v>0</v>
      </c>
      <c r="H12" s="1460"/>
      <c r="I12" s="661">
        <f>G12*H12</f>
        <v>0</v>
      </c>
      <c r="J12" s="1460"/>
      <c r="K12" s="1316">
        <f>I12*J12</f>
        <v>0</v>
      </c>
      <c r="L12" s="639"/>
      <c r="M12" s="282">
        <f t="shared" si="2"/>
        <v>0</v>
      </c>
    </row>
    <row r="13" spans="1:13" ht="15" x14ac:dyDescent="0.25">
      <c r="A13" s="107" t="s">
        <v>61</v>
      </c>
      <c r="B13" s="100"/>
      <c r="C13" s="117"/>
      <c r="D13" s="104"/>
      <c r="E13" s="1317">
        <f>-E12</f>
        <v>-17783640</v>
      </c>
      <c r="F13" s="1330"/>
      <c r="G13" s="1317">
        <f>-G12</f>
        <v>0</v>
      </c>
      <c r="H13" s="1461"/>
      <c r="I13" s="662">
        <f>-I12</f>
        <v>0</v>
      </c>
      <c r="J13" s="1461"/>
      <c r="K13" s="1317">
        <f>-K12</f>
        <v>0</v>
      </c>
      <c r="L13" s="639"/>
      <c r="M13" s="282">
        <f t="shared" si="2"/>
        <v>0</v>
      </c>
    </row>
    <row r="14" spans="1:13" ht="15" x14ac:dyDescent="0.25">
      <c r="A14" s="107" t="s">
        <v>62</v>
      </c>
      <c r="B14" s="100"/>
      <c r="C14" s="117"/>
      <c r="D14" s="104"/>
      <c r="E14" s="687">
        <v>58760000</v>
      </c>
      <c r="F14" s="1330"/>
      <c r="G14" s="1325">
        <v>58760000</v>
      </c>
      <c r="H14" s="1462"/>
      <c r="I14" s="282">
        <v>58760000</v>
      </c>
      <c r="J14" s="1462"/>
      <c r="K14" s="1325">
        <v>58760000</v>
      </c>
      <c r="L14" s="639"/>
      <c r="M14" s="282">
        <f t="shared" si="2"/>
        <v>58760000</v>
      </c>
    </row>
    <row r="15" spans="1:13" ht="15" x14ac:dyDescent="0.25">
      <c r="A15" s="107" t="s">
        <v>61</v>
      </c>
      <c r="B15" s="100"/>
      <c r="C15" s="117"/>
      <c r="D15" s="104"/>
      <c r="E15" s="1317">
        <f>-E14</f>
        <v>-58760000</v>
      </c>
      <c r="F15" s="1330"/>
      <c r="G15" s="1317">
        <f>-G14</f>
        <v>-58760000</v>
      </c>
      <c r="H15" s="1461"/>
      <c r="I15" s="662">
        <f>-I14</f>
        <v>-58760000</v>
      </c>
      <c r="J15" s="1461"/>
      <c r="K15" s="1317">
        <f>-K14</f>
        <v>-58760000</v>
      </c>
      <c r="L15" s="639"/>
      <c r="M15" s="282">
        <f t="shared" si="2"/>
        <v>-58760000</v>
      </c>
    </row>
    <row r="16" spans="1:13" ht="15" x14ac:dyDescent="0.25">
      <c r="A16" s="107" t="s">
        <v>63</v>
      </c>
      <c r="B16" s="100"/>
      <c r="C16" s="117"/>
      <c r="D16" s="104"/>
      <c r="E16" s="687">
        <v>2176616</v>
      </c>
      <c r="F16" s="1330"/>
      <c r="G16" s="1325">
        <v>2176616</v>
      </c>
      <c r="H16" s="1462"/>
      <c r="I16" s="282">
        <v>2176616</v>
      </c>
      <c r="J16" s="1462"/>
      <c r="K16" s="1325">
        <v>2176616</v>
      </c>
      <c r="L16" s="639"/>
      <c r="M16" s="282">
        <f t="shared" si="2"/>
        <v>2176616</v>
      </c>
    </row>
    <row r="17" spans="1:13" ht="15" x14ac:dyDescent="0.25">
      <c r="A17" s="107" t="s">
        <v>61</v>
      </c>
      <c r="B17" s="100"/>
      <c r="C17" s="117"/>
      <c r="D17" s="104"/>
      <c r="E17" s="1317">
        <f>-E16</f>
        <v>-2176616</v>
      </c>
      <c r="F17" s="1330"/>
      <c r="G17" s="1317">
        <f>-G16</f>
        <v>-2176616</v>
      </c>
      <c r="H17" s="1461"/>
      <c r="I17" s="662">
        <f>-I16</f>
        <v>-2176616</v>
      </c>
      <c r="J17" s="1461"/>
      <c r="K17" s="1317">
        <f>-K16</f>
        <v>-2176616</v>
      </c>
      <c r="L17" s="639"/>
      <c r="M17" s="282">
        <f t="shared" si="2"/>
        <v>-2176616</v>
      </c>
    </row>
    <row r="18" spans="1:13" ht="15" x14ac:dyDescent="0.25">
      <c r="A18" s="107" t="s">
        <v>64</v>
      </c>
      <c r="B18" s="100"/>
      <c r="C18" s="117"/>
      <c r="D18" s="104"/>
      <c r="E18" s="1316">
        <v>22310850</v>
      </c>
      <c r="F18" s="1330"/>
      <c r="G18" s="1316">
        <v>22310850</v>
      </c>
      <c r="H18" s="1460"/>
      <c r="I18" s="661">
        <v>22310850</v>
      </c>
      <c r="J18" s="1460"/>
      <c r="K18" s="1316">
        <v>22310850</v>
      </c>
      <c r="L18" s="639"/>
      <c r="M18" s="282">
        <f t="shared" si="2"/>
        <v>22310850</v>
      </c>
    </row>
    <row r="19" spans="1:13" ht="15" x14ac:dyDescent="0.25">
      <c r="A19" s="107" t="s">
        <v>61</v>
      </c>
      <c r="B19" s="100"/>
      <c r="C19" s="117"/>
      <c r="D19" s="104"/>
      <c r="E19" s="1317">
        <f>-E18</f>
        <v>-22310850</v>
      </c>
      <c r="F19" s="1330"/>
      <c r="G19" s="1317">
        <f>-G18</f>
        <v>-22310850</v>
      </c>
      <c r="H19" s="1461"/>
      <c r="I19" s="662">
        <f>-I18</f>
        <v>-22310850</v>
      </c>
      <c r="J19" s="1461"/>
      <c r="K19" s="1317">
        <f>-K18</f>
        <v>-22310850</v>
      </c>
      <c r="L19" s="639"/>
      <c r="M19" s="282">
        <f t="shared" si="2"/>
        <v>-22310850</v>
      </c>
    </row>
    <row r="20" spans="1:13" ht="15" x14ac:dyDescent="0.25">
      <c r="A20" s="102" t="s">
        <v>345</v>
      </c>
      <c r="B20" s="100"/>
      <c r="C20" s="117"/>
      <c r="D20" s="104"/>
      <c r="E20" s="1314">
        <f>E21+E22</f>
        <v>0</v>
      </c>
      <c r="F20" s="1330"/>
      <c r="G20" s="1314">
        <f>G21+G22</f>
        <v>0</v>
      </c>
      <c r="H20" s="1463"/>
      <c r="I20" s="659">
        <f>I21+I22</f>
        <v>0</v>
      </c>
      <c r="J20" s="1463"/>
      <c r="K20" s="1314">
        <f>K21+K22</f>
        <v>0</v>
      </c>
      <c r="L20" s="1328"/>
      <c r="M20" s="282">
        <f t="shared" si="2"/>
        <v>0</v>
      </c>
    </row>
    <row r="21" spans="1:13" x14ac:dyDescent="0.2">
      <c r="A21" s="97" t="s">
        <v>304</v>
      </c>
      <c r="B21" s="99"/>
      <c r="C21" s="111">
        <v>13637</v>
      </c>
      <c r="D21" s="96">
        <v>2700</v>
      </c>
      <c r="E21" s="687">
        <v>36819900</v>
      </c>
      <c r="F21" s="1330"/>
      <c r="G21" s="1325">
        <v>36819900</v>
      </c>
      <c r="H21" s="1462"/>
      <c r="I21" s="282">
        <v>36819900</v>
      </c>
      <c r="J21" s="1462"/>
      <c r="K21" s="1325">
        <v>36819900</v>
      </c>
      <c r="L21" s="639"/>
      <c r="M21" s="282">
        <f t="shared" si="2"/>
        <v>36819900</v>
      </c>
    </row>
    <row r="22" spans="1:13" ht="15" x14ac:dyDescent="0.25">
      <c r="A22" s="107" t="s">
        <v>61</v>
      </c>
      <c r="B22" s="100"/>
      <c r="C22" s="111"/>
      <c r="D22" s="96"/>
      <c r="E22" s="1316">
        <f>-E21</f>
        <v>-36819900</v>
      </c>
      <c r="F22" s="1330"/>
      <c r="G22" s="1316">
        <f>-G21</f>
        <v>-36819900</v>
      </c>
      <c r="H22" s="1460"/>
      <c r="I22" s="661">
        <f>-I21</f>
        <v>-36819900</v>
      </c>
      <c r="J22" s="1460"/>
      <c r="K22" s="1316">
        <f>-K21</f>
        <v>-36819900</v>
      </c>
      <c r="L22" s="1611"/>
      <c r="M22" s="282">
        <f t="shared" si="2"/>
        <v>-36819900</v>
      </c>
    </row>
    <row r="23" spans="1:13" ht="15" x14ac:dyDescent="0.25">
      <c r="A23" s="102" t="s">
        <v>346</v>
      </c>
      <c r="B23" s="100"/>
      <c r="C23" s="111"/>
      <c r="D23" s="96"/>
      <c r="E23" s="1315">
        <f>E24+E25</f>
        <v>0</v>
      </c>
      <c r="F23" s="1330"/>
      <c r="G23" s="1315">
        <f>G24+G25</f>
        <v>0</v>
      </c>
      <c r="H23" s="1464"/>
      <c r="I23" s="660">
        <f>I24+I25</f>
        <v>0</v>
      </c>
      <c r="J23" s="1464"/>
      <c r="K23" s="1315">
        <f>K24+K25</f>
        <v>0</v>
      </c>
      <c r="L23" s="1328"/>
      <c r="M23" s="282">
        <f t="shared" si="2"/>
        <v>0</v>
      </c>
    </row>
    <row r="24" spans="1:13" ht="15" x14ac:dyDescent="0.25">
      <c r="A24" s="97" t="s">
        <v>82</v>
      </c>
      <c r="B24" s="100"/>
      <c r="C24" s="111">
        <v>114</v>
      </c>
      <c r="D24" s="109">
        <v>2550</v>
      </c>
      <c r="E24" s="1318">
        <v>290700</v>
      </c>
      <c r="F24" s="1330"/>
      <c r="G24" s="1318">
        <v>290700</v>
      </c>
      <c r="H24" s="1465"/>
      <c r="I24" s="663">
        <v>290700</v>
      </c>
      <c r="J24" s="1465"/>
      <c r="K24" s="1318">
        <v>290700</v>
      </c>
      <c r="L24" s="639"/>
      <c r="M24" s="282">
        <f t="shared" si="2"/>
        <v>290700</v>
      </c>
    </row>
    <row r="25" spans="1:13" ht="15" x14ac:dyDescent="0.25">
      <c r="A25" s="107" t="s">
        <v>61</v>
      </c>
      <c r="B25" s="100"/>
      <c r="C25" s="117"/>
      <c r="D25" s="281"/>
      <c r="E25" s="1319">
        <f>-E24</f>
        <v>-290700</v>
      </c>
      <c r="F25" s="1330"/>
      <c r="G25" s="1319">
        <f>-G24</f>
        <v>-290700</v>
      </c>
      <c r="H25" s="287"/>
      <c r="I25" s="648">
        <f>-I24</f>
        <v>-290700</v>
      </c>
      <c r="J25" s="287"/>
      <c r="K25" s="1319">
        <f>-K24</f>
        <v>-290700</v>
      </c>
      <c r="L25" s="1611"/>
      <c r="M25" s="282">
        <f t="shared" si="2"/>
        <v>-290700</v>
      </c>
    </row>
    <row r="26" spans="1:13" ht="15" x14ac:dyDescent="0.25">
      <c r="A26" s="284" t="s">
        <v>347</v>
      </c>
      <c r="B26" s="100"/>
      <c r="C26" s="111"/>
      <c r="D26" s="96"/>
      <c r="E26" s="1320">
        <f>SUM(E27:E28)</f>
        <v>329171072</v>
      </c>
      <c r="F26" s="1331">
        <f>SUM(F27:F28)</f>
        <v>-214180644</v>
      </c>
      <c r="G26" s="1456">
        <f>E26+F26</f>
        <v>114990428</v>
      </c>
      <c r="H26" s="1459"/>
      <c r="I26" s="1333">
        <f>G26+H26</f>
        <v>114990428</v>
      </c>
      <c r="J26" s="1462"/>
      <c r="K26" s="1325">
        <f>I26+J26</f>
        <v>114990428</v>
      </c>
      <c r="L26" s="639"/>
      <c r="M26" s="282">
        <f t="shared" si="2"/>
        <v>114990428</v>
      </c>
    </row>
    <row r="27" spans="1:13" ht="15" x14ac:dyDescent="0.25">
      <c r="A27" s="110" t="s">
        <v>348</v>
      </c>
      <c r="B27" s="100"/>
      <c r="C27" s="111"/>
      <c r="D27" s="96"/>
      <c r="E27" s="687">
        <v>398121613</v>
      </c>
      <c r="F27" s="637">
        <v>-214180644</v>
      </c>
      <c r="G27" s="1456">
        <f>E27+F27</f>
        <v>183940969</v>
      </c>
      <c r="H27" s="1459"/>
      <c r="I27" s="1333">
        <f>G27+H27</f>
        <v>183940969</v>
      </c>
      <c r="J27" s="1462"/>
      <c r="K27" s="1325">
        <f>I27+J27</f>
        <v>183940969</v>
      </c>
      <c r="L27" s="639"/>
      <c r="M27" s="282">
        <f t="shared" si="2"/>
        <v>183940969</v>
      </c>
    </row>
    <row r="28" spans="1:13" ht="15" x14ac:dyDescent="0.25">
      <c r="A28" s="107" t="s">
        <v>61</v>
      </c>
      <c r="B28" s="100"/>
      <c r="C28" s="111"/>
      <c r="D28" s="96"/>
      <c r="E28" s="1316">
        <v>-68950541</v>
      </c>
      <c r="F28" s="1330"/>
      <c r="G28" s="1456">
        <f>E28+F28</f>
        <v>-68950541</v>
      </c>
      <c r="H28" s="1459"/>
      <c r="I28" s="1333">
        <f>G28+H28</f>
        <v>-68950541</v>
      </c>
      <c r="J28" s="1462"/>
      <c r="K28" s="1325">
        <f>I28+J28</f>
        <v>-68950541</v>
      </c>
      <c r="L28" s="639"/>
      <c r="M28" s="282">
        <f t="shared" si="2"/>
        <v>-68950541</v>
      </c>
    </row>
    <row r="29" spans="1:13" ht="15" x14ac:dyDescent="0.25">
      <c r="A29" s="283" t="s">
        <v>1087</v>
      </c>
      <c r="B29" s="100"/>
      <c r="C29" s="117"/>
      <c r="D29" s="104"/>
      <c r="E29" s="1315">
        <v>0</v>
      </c>
      <c r="F29" s="1330"/>
      <c r="G29" s="1457"/>
      <c r="H29" s="1459"/>
      <c r="I29" s="1334"/>
      <c r="J29" s="1462"/>
      <c r="K29" s="1608"/>
      <c r="L29" s="639">
        <v>2247621</v>
      </c>
      <c r="M29" s="282">
        <f>L29+K29</f>
        <v>2247621</v>
      </c>
    </row>
    <row r="30" spans="1:13" ht="15" x14ac:dyDescent="0.25">
      <c r="A30" s="107"/>
      <c r="B30" s="100"/>
      <c r="C30" s="111"/>
      <c r="D30" s="124"/>
      <c r="E30" s="1316"/>
      <c r="F30" s="1330"/>
      <c r="G30" s="1457"/>
      <c r="H30" s="1459"/>
      <c r="I30" s="1334"/>
      <c r="J30" s="1462"/>
      <c r="K30" s="1608"/>
      <c r="L30" s="639"/>
      <c r="M30" s="1534"/>
    </row>
    <row r="31" spans="1:13" ht="15" x14ac:dyDescent="0.25">
      <c r="A31" s="102" t="s">
        <v>349</v>
      </c>
      <c r="B31" s="100"/>
      <c r="C31" s="111"/>
      <c r="D31" s="96"/>
      <c r="E31" s="1321"/>
      <c r="F31" s="104"/>
      <c r="G31" s="1321"/>
      <c r="H31" s="1466"/>
      <c r="I31" s="665"/>
      <c r="J31" s="1466"/>
      <c r="K31" s="1321"/>
      <c r="L31" s="639"/>
      <c r="M31" s="1534"/>
    </row>
    <row r="32" spans="1:13" ht="15" x14ac:dyDescent="0.25">
      <c r="A32" s="97" t="s">
        <v>643</v>
      </c>
      <c r="B32" s="100"/>
      <c r="C32" s="111"/>
      <c r="D32" s="96"/>
      <c r="E32" s="1321">
        <f>SUM(E33:E37)</f>
        <v>258054470</v>
      </c>
      <c r="F32" s="104">
        <f t="shared" ref="F32:G32" si="8">SUM(F33:F37)</f>
        <v>-14344836</v>
      </c>
      <c r="G32" s="1321">
        <f t="shared" si="8"/>
        <v>243709634</v>
      </c>
      <c r="H32" s="1466">
        <f>SUM(H33:H39)</f>
        <v>18286516</v>
      </c>
      <c r="I32" s="665">
        <f>SUM(I33:I39)</f>
        <v>261996150</v>
      </c>
      <c r="J32" s="1466">
        <f>SUM(J33:J38)</f>
        <v>6393830</v>
      </c>
      <c r="K32" s="1321">
        <f>SUM(K33:K39)</f>
        <v>268389980</v>
      </c>
      <c r="L32" s="639"/>
      <c r="M32" s="282">
        <f>L32+K32</f>
        <v>268389980</v>
      </c>
    </row>
    <row r="33" spans="1:13" x14ac:dyDescent="0.2">
      <c r="A33" s="97" t="s">
        <v>644</v>
      </c>
      <c r="B33" s="99">
        <v>34.9</v>
      </c>
      <c r="C33" s="111">
        <v>34.9</v>
      </c>
      <c r="D33" s="96">
        <v>4371500</v>
      </c>
      <c r="E33" s="1322">
        <f>B33*D33</f>
        <v>152565350</v>
      </c>
      <c r="F33" s="637">
        <v>-4371500</v>
      </c>
      <c r="G33" s="1456">
        <f>E33+F33</f>
        <v>148193850</v>
      </c>
      <c r="H33" s="1459"/>
      <c r="I33" s="1333">
        <f>G33+H33</f>
        <v>148193850</v>
      </c>
      <c r="J33" s="1462">
        <v>437150</v>
      </c>
      <c r="K33" s="1325">
        <f>I33+J33</f>
        <v>148631000</v>
      </c>
      <c r="L33" s="639"/>
      <c r="M33" s="282">
        <f t="shared" ref="M33:M74" si="9">L33+K33</f>
        <v>148631000</v>
      </c>
    </row>
    <row r="34" spans="1:13" x14ac:dyDescent="0.2">
      <c r="A34" s="97" t="s">
        <v>1044</v>
      </c>
      <c r="B34" s="99">
        <v>26</v>
      </c>
      <c r="C34" s="111">
        <v>26</v>
      </c>
      <c r="D34" s="96">
        <v>2400000</v>
      </c>
      <c r="E34" s="1322">
        <f>B34*D34</f>
        <v>62400000</v>
      </c>
      <c r="F34" s="637">
        <v>-9600000</v>
      </c>
      <c r="G34" s="1456">
        <f t="shared" ref="G34" si="10">E34+F34</f>
        <v>52800000</v>
      </c>
      <c r="H34" s="1459"/>
      <c r="I34" s="1333">
        <f t="shared" ref="I34" si="11">G34+H34</f>
        <v>52800000</v>
      </c>
      <c r="J34" s="1462">
        <v>6480000</v>
      </c>
      <c r="K34" s="1325">
        <f t="shared" ref="K34" si="12">I34+J34</f>
        <v>59280000</v>
      </c>
      <c r="L34" s="639"/>
      <c r="M34" s="282">
        <f t="shared" si="9"/>
        <v>59280000</v>
      </c>
    </row>
    <row r="35" spans="1:13" x14ac:dyDescent="0.2">
      <c r="A35" s="110" t="s">
        <v>654</v>
      </c>
      <c r="B35" s="99">
        <v>381.3</v>
      </c>
      <c r="C35" s="111">
        <v>391.3</v>
      </c>
      <c r="D35" s="96">
        <v>97400</v>
      </c>
      <c r="E35" s="1322">
        <f>B35*D35</f>
        <v>37138620</v>
      </c>
      <c r="F35" s="637">
        <v>-1100620</v>
      </c>
      <c r="G35" s="1456">
        <f t="shared" ref="G35" si="13">E35+F35</f>
        <v>36038000</v>
      </c>
      <c r="H35" s="1459"/>
      <c r="I35" s="1333">
        <f t="shared" ref="I35" si="14">G35+H35</f>
        <v>36038000</v>
      </c>
      <c r="J35" s="1462">
        <v>-126620</v>
      </c>
      <c r="K35" s="1325">
        <f t="shared" ref="K35" si="15">I35+J35</f>
        <v>35911380</v>
      </c>
      <c r="L35" s="639"/>
      <c r="M35" s="282">
        <f t="shared" si="9"/>
        <v>35911380</v>
      </c>
    </row>
    <row r="36" spans="1:13" ht="28.5" x14ac:dyDescent="0.2">
      <c r="A36" s="744" t="s">
        <v>655</v>
      </c>
      <c r="B36" s="99">
        <v>15</v>
      </c>
      <c r="C36" s="111">
        <v>15</v>
      </c>
      <c r="D36" s="96">
        <v>396700</v>
      </c>
      <c r="E36" s="1322">
        <f t="shared" ref="E36" si="16">C36*D36</f>
        <v>5950500</v>
      </c>
      <c r="F36" s="1330"/>
      <c r="G36" s="1456">
        <f t="shared" ref="G36" si="17">E36+F36</f>
        <v>5950500</v>
      </c>
      <c r="H36" s="1459"/>
      <c r="I36" s="1333">
        <f t="shared" ref="I36" si="18">G36+H36</f>
        <v>5950500</v>
      </c>
      <c r="J36" s="1462">
        <v>-396700</v>
      </c>
      <c r="K36" s="1325">
        <f t="shared" ref="K36" si="19">I36+J36</f>
        <v>5553800</v>
      </c>
      <c r="L36" s="639"/>
      <c r="M36" s="282">
        <f t="shared" si="9"/>
        <v>5553800</v>
      </c>
    </row>
    <row r="37" spans="1:13" x14ac:dyDescent="0.2">
      <c r="A37" s="745" t="s">
        <v>1019</v>
      </c>
      <c r="B37" s="99">
        <v>0</v>
      </c>
      <c r="C37" s="111">
        <v>0</v>
      </c>
      <c r="D37" s="96">
        <v>363642</v>
      </c>
      <c r="E37" s="1322">
        <f t="shared" ref="E37" si="20">C37*D37</f>
        <v>0</v>
      </c>
      <c r="F37" s="637">
        <v>727284</v>
      </c>
      <c r="G37" s="1456">
        <f t="shared" ref="G37" si="21">E37+F37</f>
        <v>727284</v>
      </c>
      <c r="H37" s="1459"/>
      <c r="I37" s="1333">
        <f t="shared" ref="I37" si="22">G37+H37</f>
        <v>727284</v>
      </c>
      <c r="J37" s="1462"/>
      <c r="K37" s="1325">
        <f t="shared" ref="K37" si="23">I37+J37</f>
        <v>727284</v>
      </c>
      <c r="L37" s="639"/>
      <c r="M37" s="282">
        <f t="shared" si="9"/>
        <v>727284</v>
      </c>
    </row>
    <row r="38" spans="1:13" ht="12.75" customHeight="1" x14ac:dyDescent="0.2">
      <c r="A38" s="745"/>
      <c r="B38" s="746"/>
      <c r="C38" s="742"/>
      <c r="D38" s="743"/>
      <c r="E38" s="1323"/>
      <c r="F38" s="1330"/>
      <c r="G38" s="1457"/>
      <c r="H38" s="1459">
        <v>18286516</v>
      </c>
      <c r="I38" s="1333">
        <f t="shared" ref="I38" si="24">G38+H38</f>
        <v>18286516</v>
      </c>
      <c r="J38" s="1462"/>
      <c r="K38" s="1325">
        <f t="shared" ref="K38" si="25">I38+J38</f>
        <v>18286516</v>
      </c>
      <c r="L38" s="639"/>
      <c r="M38" s="282">
        <f t="shared" si="9"/>
        <v>18286516</v>
      </c>
    </row>
    <row r="39" spans="1:13" ht="12.75" customHeight="1" x14ac:dyDescent="0.25">
      <c r="A39" s="741" t="s">
        <v>315</v>
      </c>
      <c r="B39" s="398"/>
      <c r="C39" s="742"/>
      <c r="D39" s="743"/>
      <c r="E39" s="1324"/>
      <c r="F39" s="104"/>
      <c r="G39" s="1321"/>
      <c r="H39" s="1466"/>
      <c r="I39" s="665"/>
      <c r="J39" s="1466"/>
      <c r="K39" s="1321"/>
      <c r="L39" s="639"/>
      <c r="M39" s="282">
        <f t="shared" si="9"/>
        <v>0</v>
      </c>
    </row>
    <row r="40" spans="1:13" ht="15" x14ac:dyDescent="0.25">
      <c r="A40" s="102" t="s">
        <v>65</v>
      </c>
      <c r="B40" s="100"/>
      <c r="C40" s="111"/>
      <c r="D40" s="96"/>
      <c r="E40" s="1324">
        <f t="shared" ref="E40:L40" si="26">E41+E43+E57+E62</f>
        <v>231000305</v>
      </c>
      <c r="F40" s="104">
        <f t="shared" si="26"/>
        <v>-32404376</v>
      </c>
      <c r="G40" s="1321">
        <f t="shared" si="26"/>
        <v>198595929</v>
      </c>
      <c r="H40" s="1525">
        <f t="shared" si="26"/>
        <v>14895420</v>
      </c>
      <c r="I40" s="665">
        <f t="shared" si="26"/>
        <v>213491349</v>
      </c>
      <c r="J40" s="1525">
        <f t="shared" si="26"/>
        <v>-540170</v>
      </c>
      <c r="K40" s="1321">
        <f t="shared" si="26"/>
        <v>212951179</v>
      </c>
      <c r="L40" s="104">
        <f t="shared" si="26"/>
        <v>32880823</v>
      </c>
      <c r="M40" s="282">
        <f t="shared" si="9"/>
        <v>245832002</v>
      </c>
    </row>
    <row r="41" spans="1:13" ht="15" x14ac:dyDescent="0.25">
      <c r="A41" s="97" t="s">
        <v>306</v>
      </c>
      <c r="B41" s="100"/>
      <c r="C41" s="111"/>
      <c r="D41" s="96"/>
      <c r="E41" s="1322"/>
      <c r="F41" s="1330"/>
      <c r="G41" s="1457"/>
      <c r="H41" s="1459"/>
      <c r="I41" s="1334"/>
      <c r="J41" s="1462"/>
      <c r="K41" s="1608"/>
      <c r="L41" s="639"/>
      <c r="M41" s="282">
        <f t="shared" si="9"/>
        <v>0</v>
      </c>
    </row>
    <row r="42" spans="1:13" ht="15" x14ac:dyDescent="0.25">
      <c r="A42" s="97" t="s">
        <v>305</v>
      </c>
      <c r="B42" s="100"/>
      <c r="C42" s="111"/>
      <c r="D42" s="96"/>
      <c r="E42" s="1322"/>
      <c r="F42" s="1330"/>
      <c r="G42" s="1457"/>
      <c r="H42" s="1459"/>
      <c r="I42" s="1334"/>
      <c r="J42" s="1462"/>
      <c r="K42" s="1608"/>
      <c r="L42" s="639"/>
      <c r="M42" s="282">
        <f t="shared" si="9"/>
        <v>0</v>
      </c>
    </row>
    <row r="43" spans="1:13" ht="15" x14ac:dyDescent="0.25">
      <c r="A43" s="102" t="s">
        <v>66</v>
      </c>
      <c r="B43" s="99"/>
      <c r="C43" s="111"/>
      <c r="D43" s="96"/>
      <c r="E43" s="1321">
        <f>E44+E45+E47+E48+E50+E51+E49+E56</f>
        <v>109193010</v>
      </c>
      <c r="F43" s="104">
        <f>F44+F45+F47+F48+F50+F51+F49+F56</f>
        <v>-8679780</v>
      </c>
      <c r="G43" s="1321">
        <f>G44+G45+G47+G48+G50+G51+G49+G56</f>
        <v>100513230</v>
      </c>
      <c r="H43" s="1525">
        <f>H44+H45+H47+H48+H50+H51+H49+H56+H46+H55</f>
        <v>7759300</v>
      </c>
      <c r="I43" s="665">
        <f>I44+I45+I47+I48+I50+I51+I49+I56+I46+I55</f>
        <v>108272530</v>
      </c>
      <c r="J43" s="1525">
        <f>J44+J45+J47+J48+J50+J51+J49+J56+J46+J55</f>
        <v>-457520</v>
      </c>
      <c r="K43" s="1321">
        <f>K44+K45+K47+K48+K50+K51+K49+K56+K46+K55</f>
        <v>107815010</v>
      </c>
      <c r="L43" s="104">
        <f>L44+L45+L47+L48+L50+L51+L49+L56+L46+L55+L66</f>
        <v>32880823</v>
      </c>
      <c r="M43" s="282">
        <f t="shared" si="9"/>
        <v>140695833</v>
      </c>
    </row>
    <row r="44" spans="1:13" x14ac:dyDescent="0.2">
      <c r="A44" s="285" t="s">
        <v>350</v>
      </c>
      <c r="B44" s="99"/>
      <c r="C44" s="111"/>
      <c r="D44" s="637">
        <v>3400000</v>
      </c>
      <c r="E44" s="1325">
        <v>25840000</v>
      </c>
      <c r="F44" s="1330">
        <v>2132000</v>
      </c>
      <c r="G44" s="1456">
        <f>E44+F44</f>
        <v>27972000</v>
      </c>
      <c r="H44" s="1459"/>
      <c r="I44" s="1333">
        <f>G44+H44</f>
        <v>27972000</v>
      </c>
      <c r="J44" s="1462"/>
      <c r="K44" s="1325">
        <f>I44+J44</f>
        <v>27972000</v>
      </c>
      <c r="L44" s="639"/>
      <c r="M44" s="282">
        <f t="shared" si="9"/>
        <v>27972000</v>
      </c>
    </row>
    <row r="45" spans="1:13" x14ac:dyDescent="0.2">
      <c r="A45" s="285" t="s">
        <v>351</v>
      </c>
      <c r="B45" s="99"/>
      <c r="C45" s="111">
        <f>E44/D44</f>
        <v>7.6</v>
      </c>
      <c r="D45" s="637">
        <v>3300000</v>
      </c>
      <c r="E45" s="1325">
        <v>15510000</v>
      </c>
      <c r="F45" s="1330"/>
      <c r="G45" s="1456">
        <f t="shared" ref="G45:G65" si="27">E45+F45</f>
        <v>15510000</v>
      </c>
      <c r="H45" s="1459"/>
      <c r="I45" s="1333">
        <f t="shared" ref="I45:I66" si="28">G45+H45</f>
        <v>15510000</v>
      </c>
      <c r="J45" s="1462"/>
      <c r="K45" s="1325">
        <f t="shared" ref="K45:K66" si="29">I45+J45</f>
        <v>15510000</v>
      </c>
      <c r="L45" s="639"/>
      <c r="M45" s="282">
        <f t="shared" si="9"/>
        <v>15510000</v>
      </c>
    </row>
    <row r="46" spans="1:13" x14ac:dyDescent="0.2">
      <c r="A46" s="97" t="s">
        <v>1020</v>
      </c>
      <c r="B46" s="99"/>
      <c r="C46" s="111">
        <v>4.7</v>
      </c>
      <c r="D46" s="637"/>
      <c r="E46" s="1325"/>
      <c r="F46" s="1330"/>
      <c r="G46" s="1456"/>
      <c r="H46" s="1459">
        <v>4013000</v>
      </c>
      <c r="I46" s="1333">
        <f t="shared" si="28"/>
        <v>4013000</v>
      </c>
      <c r="J46" s="1462"/>
      <c r="K46" s="1325">
        <f t="shared" si="29"/>
        <v>4013000</v>
      </c>
      <c r="L46" s="639"/>
      <c r="M46" s="282">
        <f t="shared" si="9"/>
        <v>4013000</v>
      </c>
    </row>
    <row r="47" spans="1:13" x14ac:dyDescent="0.2">
      <c r="A47" s="97" t="s">
        <v>70</v>
      </c>
      <c r="B47" s="99"/>
      <c r="C47" s="111"/>
      <c r="D47" s="96">
        <v>65360</v>
      </c>
      <c r="E47" s="1322">
        <f>C48*D47</f>
        <v>5163440</v>
      </c>
      <c r="F47" s="1330"/>
      <c r="G47" s="1456">
        <f t="shared" si="27"/>
        <v>5163440</v>
      </c>
      <c r="H47" s="1459"/>
      <c r="I47" s="1333">
        <f t="shared" si="28"/>
        <v>5163440</v>
      </c>
      <c r="J47" s="1462">
        <v>-457520</v>
      </c>
      <c r="K47" s="1325">
        <f t="shared" si="29"/>
        <v>4705920</v>
      </c>
      <c r="L47" s="639"/>
      <c r="M47" s="282">
        <f t="shared" si="9"/>
        <v>4705920</v>
      </c>
    </row>
    <row r="48" spans="1:13" x14ac:dyDescent="0.2">
      <c r="A48" s="97" t="s">
        <v>454</v>
      </c>
      <c r="B48" s="99">
        <v>79</v>
      </c>
      <c r="C48" s="111">
        <v>79</v>
      </c>
      <c r="D48" s="96">
        <v>25000</v>
      </c>
      <c r="E48" s="1322">
        <f>C49*D48</f>
        <v>50000</v>
      </c>
      <c r="F48" s="1330">
        <v>-25000</v>
      </c>
      <c r="G48" s="1456">
        <f t="shared" si="27"/>
        <v>25000</v>
      </c>
      <c r="H48" s="1459"/>
      <c r="I48" s="1333">
        <f t="shared" si="28"/>
        <v>25000</v>
      </c>
      <c r="J48" s="1462"/>
      <c r="K48" s="1325">
        <f t="shared" si="29"/>
        <v>25000</v>
      </c>
      <c r="L48" s="639"/>
      <c r="M48" s="282">
        <f t="shared" si="9"/>
        <v>25000</v>
      </c>
    </row>
    <row r="49" spans="1:13" x14ac:dyDescent="0.2">
      <c r="A49" s="97" t="s">
        <v>510</v>
      </c>
      <c r="B49" s="99">
        <v>2</v>
      </c>
      <c r="C49" s="111">
        <v>2</v>
      </c>
      <c r="D49" s="96">
        <v>429000</v>
      </c>
      <c r="E49" s="1322">
        <f>D49*C50</f>
        <v>12012000</v>
      </c>
      <c r="F49" s="1330">
        <v>-3432000</v>
      </c>
      <c r="G49" s="1456">
        <f t="shared" si="27"/>
        <v>8580000</v>
      </c>
      <c r="H49" s="1459"/>
      <c r="I49" s="1333">
        <f t="shared" si="28"/>
        <v>8580000</v>
      </c>
      <c r="J49" s="1462"/>
      <c r="K49" s="1325">
        <f t="shared" si="29"/>
        <v>8580000</v>
      </c>
      <c r="L49" s="639"/>
      <c r="M49" s="282">
        <f t="shared" si="9"/>
        <v>8580000</v>
      </c>
    </row>
    <row r="50" spans="1:13" x14ac:dyDescent="0.2">
      <c r="A50" s="113" t="s">
        <v>352</v>
      </c>
      <c r="B50" s="99">
        <v>28</v>
      </c>
      <c r="C50" s="111">
        <v>28</v>
      </c>
      <c r="D50" s="109">
        <v>285000</v>
      </c>
      <c r="E50" s="1322">
        <f>C51*D50</f>
        <v>12255000</v>
      </c>
      <c r="F50" s="1330">
        <v>-1140000</v>
      </c>
      <c r="G50" s="1456">
        <f t="shared" si="27"/>
        <v>11115000</v>
      </c>
      <c r="H50" s="1459"/>
      <c r="I50" s="1333">
        <f t="shared" si="28"/>
        <v>11115000</v>
      </c>
      <c r="J50" s="1462"/>
      <c r="K50" s="1325">
        <f t="shared" si="29"/>
        <v>11115000</v>
      </c>
      <c r="L50" s="639"/>
      <c r="M50" s="282">
        <f t="shared" si="9"/>
        <v>11115000</v>
      </c>
    </row>
    <row r="51" spans="1:13" x14ac:dyDescent="0.2">
      <c r="A51" s="285" t="s">
        <v>71</v>
      </c>
      <c r="B51" s="99">
        <v>43</v>
      </c>
      <c r="C51" s="111">
        <v>43</v>
      </c>
      <c r="D51" s="116"/>
      <c r="E51" s="1322">
        <f>E52+E53+E54</f>
        <v>25920180</v>
      </c>
      <c r="F51" s="1330">
        <v>-6214780</v>
      </c>
      <c r="G51" s="1456">
        <f t="shared" si="27"/>
        <v>19705400</v>
      </c>
      <c r="H51" s="1459"/>
      <c r="I51" s="1333">
        <f t="shared" si="28"/>
        <v>19705400</v>
      </c>
      <c r="J51" s="1462"/>
      <c r="K51" s="1325">
        <f t="shared" si="29"/>
        <v>19705400</v>
      </c>
      <c r="L51" s="639"/>
      <c r="M51" s="282">
        <f t="shared" si="9"/>
        <v>19705400</v>
      </c>
    </row>
    <row r="52" spans="1:13" x14ac:dyDescent="0.2">
      <c r="A52" s="97" t="s">
        <v>316</v>
      </c>
      <c r="B52" s="114"/>
      <c r="C52" s="666"/>
      <c r="D52" s="637">
        <v>757900</v>
      </c>
      <c r="E52" s="1322">
        <f>C53*D52</f>
        <v>15158000</v>
      </c>
      <c r="F52" s="1330">
        <v>-3789500</v>
      </c>
      <c r="G52" s="1456">
        <f t="shared" si="27"/>
        <v>11368500</v>
      </c>
      <c r="H52" s="1459"/>
      <c r="I52" s="1333">
        <f t="shared" si="28"/>
        <v>11368500</v>
      </c>
      <c r="J52" s="1462"/>
      <c r="K52" s="1325">
        <f t="shared" si="29"/>
        <v>11368500</v>
      </c>
      <c r="L52" s="639"/>
      <c r="M52" s="282">
        <f t="shared" si="9"/>
        <v>11368500</v>
      </c>
    </row>
    <row r="53" spans="1:13" ht="28.5" x14ac:dyDescent="0.2">
      <c r="A53" s="113" t="s">
        <v>73</v>
      </c>
      <c r="B53" s="99">
        <v>20</v>
      </c>
      <c r="C53" s="111">
        <v>20</v>
      </c>
      <c r="D53" s="637">
        <v>454740</v>
      </c>
      <c r="E53" s="1322">
        <f>C54*D53</f>
        <v>7730580</v>
      </c>
      <c r="F53" s="1330">
        <v>-909480</v>
      </c>
      <c r="G53" s="1456">
        <f t="shared" si="27"/>
        <v>6821100</v>
      </c>
      <c r="H53" s="1459"/>
      <c r="I53" s="1333">
        <f t="shared" si="28"/>
        <v>6821100</v>
      </c>
      <c r="J53" s="1462"/>
      <c r="K53" s="1325">
        <f t="shared" si="29"/>
        <v>6821100</v>
      </c>
      <c r="L53" s="639"/>
      <c r="M53" s="282">
        <f t="shared" si="9"/>
        <v>6821100</v>
      </c>
    </row>
    <row r="54" spans="1:13" x14ac:dyDescent="0.2">
      <c r="A54" s="110" t="s">
        <v>656</v>
      </c>
      <c r="B54" s="99">
        <v>17</v>
      </c>
      <c r="C54" s="111">
        <v>17</v>
      </c>
      <c r="D54" s="637">
        <v>757900</v>
      </c>
      <c r="E54" s="1322">
        <f>C55*D54</f>
        <v>3031600</v>
      </c>
      <c r="F54" s="1330">
        <v>-1515800</v>
      </c>
      <c r="G54" s="1456">
        <f t="shared" si="27"/>
        <v>1515800</v>
      </c>
      <c r="H54" s="1459"/>
      <c r="I54" s="1333">
        <f t="shared" si="28"/>
        <v>1515800</v>
      </c>
      <c r="J54" s="1462"/>
      <c r="K54" s="1325">
        <f t="shared" si="29"/>
        <v>1515800</v>
      </c>
      <c r="L54" s="639"/>
      <c r="M54" s="282">
        <f t="shared" si="9"/>
        <v>1515800</v>
      </c>
    </row>
    <row r="55" spans="1:13" x14ac:dyDescent="0.2">
      <c r="A55" s="110" t="s">
        <v>1021</v>
      </c>
      <c r="B55" s="99">
        <v>4</v>
      </c>
      <c r="C55" s="111">
        <v>4</v>
      </c>
      <c r="D55" s="686"/>
      <c r="E55" s="1322"/>
      <c r="F55" s="1330"/>
      <c r="G55" s="1456"/>
      <c r="H55" s="1459">
        <v>3746300</v>
      </c>
      <c r="I55" s="1333">
        <f t="shared" si="28"/>
        <v>3746300</v>
      </c>
      <c r="J55" s="1462"/>
      <c r="K55" s="1325">
        <f t="shared" si="29"/>
        <v>3746300</v>
      </c>
      <c r="L55" s="639"/>
      <c r="M55" s="282">
        <f t="shared" si="9"/>
        <v>3746300</v>
      </c>
    </row>
    <row r="56" spans="1:13" x14ac:dyDescent="0.2">
      <c r="A56" s="110" t="s">
        <v>526</v>
      </c>
      <c r="B56" s="99"/>
      <c r="C56" s="111"/>
      <c r="D56" s="96"/>
      <c r="E56" s="1322">
        <v>12442390</v>
      </c>
      <c r="F56" s="1330"/>
      <c r="G56" s="1456">
        <f t="shared" si="27"/>
        <v>12442390</v>
      </c>
      <c r="H56" s="1459"/>
      <c r="I56" s="1333">
        <f t="shared" si="28"/>
        <v>12442390</v>
      </c>
      <c r="J56" s="1462"/>
      <c r="K56" s="1325">
        <f t="shared" si="29"/>
        <v>12442390</v>
      </c>
      <c r="L56" s="639"/>
      <c r="M56" s="282">
        <f t="shared" si="9"/>
        <v>12442390</v>
      </c>
    </row>
    <row r="57" spans="1:13" ht="15" x14ac:dyDescent="0.25">
      <c r="A57" s="102" t="s">
        <v>74</v>
      </c>
      <c r="B57" s="99"/>
      <c r="C57" s="111"/>
      <c r="D57" s="104"/>
      <c r="E57" s="1321">
        <f>E58+E59+E60</f>
        <v>80567795</v>
      </c>
      <c r="F57" s="104">
        <f>F58+F59+F60</f>
        <v>-21617596</v>
      </c>
      <c r="G57" s="1326">
        <f t="shared" si="27"/>
        <v>58950199</v>
      </c>
      <c r="H57" s="1516">
        <f>H58+H59+H60+H61</f>
        <v>3013120</v>
      </c>
      <c r="I57" s="1517">
        <f t="shared" si="28"/>
        <v>61963319</v>
      </c>
      <c r="J57" s="1516">
        <f>J58+J59+J60+J61</f>
        <v>-82650</v>
      </c>
      <c r="K57" s="1326">
        <f t="shared" si="29"/>
        <v>61880669</v>
      </c>
      <c r="L57" s="639"/>
      <c r="M57" s="1517">
        <f t="shared" si="9"/>
        <v>61880669</v>
      </c>
    </row>
    <row r="58" spans="1:13" ht="15" x14ac:dyDescent="0.25">
      <c r="A58" s="97" t="s">
        <v>75</v>
      </c>
      <c r="B58" s="100"/>
      <c r="C58" s="117"/>
      <c r="D58" s="96">
        <v>2200000</v>
      </c>
      <c r="E58" s="1322">
        <f>C59*D58</f>
        <v>52580000</v>
      </c>
      <c r="F58" s="1330">
        <v>-14916000</v>
      </c>
      <c r="G58" s="1456">
        <f t="shared" si="27"/>
        <v>37664000</v>
      </c>
      <c r="H58" s="1459"/>
      <c r="I58" s="1333">
        <f t="shared" si="28"/>
        <v>37664000</v>
      </c>
      <c r="J58" s="1462"/>
      <c r="K58" s="1325">
        <f t="shared" si="29"/>
        <v>37664000</v>
      </c>
      <c r="L58" s="639"/>
      <c r="M58" s="282">
        <f t="shared" si="9"/>
        <v>37664000</v>
      </c>
    </row>
    <row r="59" spans="1:13" x14ac:dyDescent="0.2">
      <c r="A59" s="97" t="s">
        <v>76</v>
      </c>
      <c r="B59" s="99"/>
      <c r="C59" s="111">
        <v>23.9</v>
      </c>
      <c r="D59" s="96"/>
      <c r="E59" s="687">
        <v>27819645</v>
      </c>
      <c r="F59" s="1330">
        <v>-6701596</v>
      </c>
      <c r="G59" s="1456">
        <f t="shared" si="27"/>
        <v>21118049</v>
      </c>
      <c r="H59" s="1459"/>
      <c r="I59" s="1333">
        <f t="shared" si="28"/>
        <v>21118049</v>
      </c>
      <c r="J59" s="1462"/>
      <c r="K59" s="1325">
        <f t="shared" si="29"/>
        <v>21118049</v>
      </c>
      <c r="L59" s="639"/>
      <c r="M59" s="282">
        <f t="shared" si="9"/>
        <v>21118049</v>
      </c>
    </row>
    <row r="60" spans="1:13" x14ac:dyDescent="0.2">
      <c r="A60" s="97" t="s">
        <v>353</v>
      </c>
      <c r="B60" s="99"/>
      <c r="C60" s="111">
        <v>1043</v>
      </c>
      <c r="D60" s="96">
        <v>285</v>
      </c>
      <c r="E60" s="1322">
        <f>C61*D60</f>
        <v>168150</v>
      </c>
      <c r="F60" s="1330"/>
      <c r="G60" s="1456">
        <f t="shared" si="27"/>
        <v>168150</v>
      </c>
      <c r="H60" s="1459"/>
      <c r="I60" s="1333">
        <f t="shared" si="28"/>
        <v>168150</v>
      </c>
      <c r="J60" s="1462">
        <v>-82650</v>
      </c>
      <c r="K60" s="1325">
        <f t="shared" si="29"/>
        <v>85500</v>
      </c>
      <c r="L60" s="639"/>
      <c r="M60" s="282">
        <f t="shared" si="9"/>
        <v>85500</v>
      </c>
    </row>
    <row r="61" spans="1:13" ht="15" x14ac:dyDescent="0.25">
      <c r="A61" s="97" t="s">
        <v>1019</v>
      </c>
      <c r="B61" s="100"/>
      <c r="C61" s="111">
        <v>590</v>
      </c>
      <c r="D61" s="96"/>
      <c r="E61" s="1322"/>
      <c r="F61" s="1330"/>
      <c r="G61" s="1456"/>
      <c r="H61" s="1459">
        <v>3013120</v>
      </c>
      <c r="I61" s="1333">
        <f t="shared" si="28"/>
        <v>3013120</v>
      </c>
      <c r="J61" s="1462"/>
      <c r="K61" s="1325">
        <f t="shared" si="29"/>
        <v>3013120</v>
      </c>
      <c r="L61" s="639"/>
      <c r="M61" s="282">
        <f t="shared" si="9"/>
        <v>3013120</v>
      </c>
    </row>
    <row r="62" spans="1:13" ht="15" x14ac:dyDescent="0.25">
      <c r="A62" s="102" t="s">
        <v>527</v>
      </c>
      <c r="B62" s="100"/>
      <c r="C62" s="111"/>
      <c r="D62" s="104"/>
      <c r="E62" s="1321">
        <f>E64+E65+E63</f>
        <v>41239500</v>
      </c>
      <c r="F62" s="104">
        <f>F64+F65+F63</f>
        <v>-2107000</v>
      </c>
      <c r="G62" s="1326">
        <f t="shared" si="27"/>
        <v>39132500</v>
      </c>
      <c r="H62" s="1516">
        <f>H63+H64+H65+H66+H67+H68</f>
        <v>4123000</v>
      </c>
      <c r="I62" s="1517">
        <f t="shared" si="28"/>
        <v>43255500</v>
      </c>
      <c r="J62" s="1516">
        <f>J63+J64+J65+J66+J67+J68</f>
        <v>0</v>
      </c>
      <c r="K62" s="1325">
        <f t="shared" si="29"/>
        <v>43255500</v>
      </c>
      <c r="L62" s="639"/>
      <c r="M62" s="282">
        <f t="shared" si="9"/>
        <v>43255500</v>
      </c>
    </row>
    <row r="63" spans="1:13" ht="29.25" x14ac:dyDescent="0.25">
      <c r="A63" s="113" t="s">
        <v>465</v>
      </c>
      <c r="B63" s="100"/>
      <c r="C63" s="117"/>
      <c r="D63" s="639">
        <v>4419000</v>
      </c>
      <c r="E63" s="1322">
        <f>C64*D63</f>
        <v>13257000</v>
      </c>
      <c r="F63" s="1330"/>
      <c r="G63" s="1456">
        <f t="shared" si="27"/>
        <v>13257000</v>
      </c>
      <c r="H63" s="1459"/>
      <c r="I63" s="1333">
        <f t="shared" ref="I63:I65" si="30">G63+H63</f>
        <v>13257000</v>
      </c>
      <c r="J63" s="1462"/>
      <c r="K63" s="1325">
        <f t="shared" si="29"/>
        <v>13257000</v>
      </c>
      <c r="L63" s="639"/>
      <c r="M63" s="282">
        <f t="shared" si="9"/>
        <v>13257000</v>
      </c>
    </row>
    <row r="64" spans="1:13" ht="29.25" x14ac:dyDescent="0.25">
      <c r="A64" s="113" t="s">
        <v>466</v>
      </c>
      <c r="B64" s="100"/>
      <c r="C64" s="111">
        <v>3</v>
      </c>
      <c r="D64" s="687">
        <v>2993000</v>
      </c>
      <c r="E64" s="1322">
        <f>C65*D64</f>
        <v>16461500</v>
      </c>
      <c r="F64" s="1330"/>
      <c r="G64" s="1456">
        <f t="shared" si="27"/>
        <v>16461500</v>
      </c>
      <c r="H64" s="1459"/>
      <c r="I64" s="1333">
        <f t="shared" si="30"/>
        <v>16461500</v>
      </c>
      <c r="J64" s="1462"/>
      <c r="K64" s="1325">
        <f t="shared" si="29"/>
        <v>16461500</v>
      </c>
      <c r="L64" s="639"/>
      <c r="M64" s="282">
        <f t="shared" si="9"/>
        <v>16461500</v>
      </c>
    </row>
    <row r="65" spans="1:13" ht="15" x14ac:dyDescent="0.25">
      <c r="A65" s="97" t="s">
        <v>528</v>
      </c>
      <c r="B65" s="100"/>
      <c r="C65" s="111">
        <v>5.5</v>
      </c>
      <c r="D65" s="96"/>
      <c r="E65" s="639">
        <v>11521000</v>
      </c>
      <c r="F65" s="1330">
        <v>-2107000</v>
      </c>
      <c r="G65" s="1456">
        <f t="shared" si="27"/>
        <v>9414000</v>
      </c>
      <c r="H65" s="1459"/>
      <c r="I65" s="1333">
        <f t="shared" si="30"/>
        <v>9414000</v>
      </c>
      <c r="J65" s="1462"/>
      <c r="K65" s="1325">
        <f t="shared" si="29"/>
        <v>9414000</v>
      </c>
      <c r="L65" s="639"/>
      <c r="M65" s="282">
        <f t="shared" si="9"/>
        <v>9414000</v>
      </c>
    </row>
    <row r="66" spans="1:13" ht="15" x14ac:dyDescent="0.25">
      <c r="A66" s="113" t="s">
        <v>529</v>
      </c>
      <c r="B66" s="100"/>
      <c r="C66" s="111"/>
      <c r="D66" s="96"/>
      <c r="E66" s="639"/>
      <c r="F66" s="1330"/>
      <c r="G66" s="1456">
        <f t="shared" ref="G66" si="31">E66+F66</f>
        <v>0</v>
      </c>
      <c r="H66" s="1459"/>
      <c r="I66" s="1333">
        <f t="shared" si="28"/>
        <v>0</v>
      </c>
      <c r="J66" s="1462"/>
      <c r="K66" s="1325">
        <f t="shared" si="29"/>
        <v>0</v>
      </c>
      <c r="L66" s="639">
        <v>32880823</v>
      </c>
      <c r="M66" s="282">
        <f t="shared" si="9"/>
        <v>32880823</v>
      </c>
    </row>
    <row r="67" spans="1:13" x14ac:dyDescent="0.2">
      <c r="A67" s="113" t="s">
        <v>1023</v>
      </c>
      <c r="B67" s="99"/>
      <c r="C67" s="111"/>
      <c r="D67" s="96"/>
      <c r="E67" s="687"/>
      <c r="F67" s="1330"/>
      <c r="G67" s="1456"/>
      <c r="H67" s="1459">
        <v>1252000</v>
      </c>
      <c r="I67" s="1333">
        <f>H67+G67</f>
        <v>1252000</v>
      </c>
      <c r="J67" s="1462"/>
      <c r="K67" s="1325">
        <f>J67+I67</f>
        <v>1252000</v>
      </c>
      <c r="L67" s="639"/>
      <c r="M67" s="282">
        <f t="shared" si="9"/>
        <v>1252000</v>
      </c>
    </row>
    <row r="68" spans="1:13" x14ac:dyDescent="0.2">
      <c r="A68" s="97" t="s">
        <v>1025</v>
      </c>
      <c r="B68" s="99"/>
      <c r="C68" s="111"/>
      <c r="D68" s="96"/>
      <c r="E68" s="1318"/>
      <c r="F68" s="1330"/>
      <c r="G68" s="1456">
        <f t="shared" ref="G68:I74" si="32">E68+F68</f>
        <v>0</v>
      </c>
      <c r="H68" s="1459">
        <v>2871000</v>
      </c>
      <c r="I68" s="1333">
        <f t="shared" si="32"/>
        <v>2871000</v>
      </c>
      <c r="J68" s="1462"/>
      <c r="K68" s="1325">
        <f t="shared" ref="K68" si="33">I68+J68</f>
        <v>2871000</v>
      </c>
      <c r="L68" s="639"/>
      <c r="M68" s="282">
        <f t="shared" si="9"/>
        <v>2871000</v>
      </c>
    </row>
    <row r="69" spans="1:13" x14ac:dyDescent="0.2">
      <c r="A69" s="97"/>
      <c r="B69" s="99"/>
      <c r="C69" s="111"/>
      <c r="D69" s="96"/>
      <c r="E69" s="1318"/>
      <c r="F69" s="1330"/>
      <c r="G69" s="1456"/>
      <c r="H69" s="1459"/>
      <c r="I69" s="1333"/>
      <c r="J69" s="1462"/>
      <c r="K69" s="1325"/>
      <c r="L69" s="639"/>
      <c r="M69" s="282">
        <f t="shared" si="9"/>
        <v>0</v>
      </c>
    </row>
    <row r="70" spans="1:13" ht="15" x14ac:dyDescent="0.25">
      <c r="A70" s="286" t="s">
        <v>79</v>
      </c>
      <c r="B70" s="99"/>
      <c r="C70" s="111"/>
      <c r="D70" s="280"/>
      <c r="E70" s="1320">
        <f>E71</f>
        <v>17059887</v>
      </c>
      <c r="F70" s="1332"/>
      <c r="G70" s="1511">
        <f t="shared" si="32"/>
        <v>17059887</v>
      </c>
      <c r="H70" s="1514">
        <f>H71+H72+H73+H74</f>
        <v>5863910</v>
      </c>
      <c r="I70" s="1515">
        <f t="shared" si="32"/>
        <v>22923797</v>
      </c>
      <c r="J70" s="1516">
        <f>J71+J72+J73+J74</f>
        <v>0</v>
      </c>
      <c r="K70" s="1326">
        <f t="shared" ref="K70:K74" si="34">I70+J70</f>
        <v>22923797</v>
      </c>
      <c r="L70" s="1612">
        <f>L71+L72+L73+L74</f>
        <v>4785270</v>
      </c>
      <c r="M70" s="1517">
        <f t="shared" si="9"/>
        <v>27709067</v>
      </c>
    </row>
    <row r="71" spans="1:13" ht="15" x14ac:dyDescent="0.25">
      <c r="A71" s="287" t="s">
        <v>80</v>
      </c>
      <c r="B71" s="280"/>
      <c r="C71" s="667"/>
      <c r="D71" s="96">
        <v>1251</v>
      </c>
      <c r="E71" s="686">
        <v>17059887</v>
      </c>
      <c r="F71" s="1330"/>
      <c r="G71" s="1456">
        <f t="shared" si="32"/>
        <v>17059887</v>
      </c>
      <c r="H71" s="1459"/>
      <c r="I71" s="1333">
        <f t="shared" si="32"/>
        <v>17059887</v>
      </c>
      <c r="J71" s="1462"/>
      <c r="K71" s="1325">
        <f t="shared" si="34"/>
        <v>17059887</v>
      </c>
      <c r="L71" s="639"/>
      <c r="M71" s="282">
        <f t="shared" si="9"/>
        <v>17059887</v>
      </c>
    </row>
    <row r="72" spans="1:13" x14ac:dyDescent="0.2">
      <c r="A72" s="110" t="s">
        <v>530</v>
      </c>
      <c r="B72" s="108"/>
      <c r="C72" s="111">
        <f>E71/D71</f>
        <v>13637</v>
      </c>
      <c r="D72" s="96"/>
      <c r="E72" s="1318"/>
      <c r="F72" s="1330"/>
      <c r="G72" s="1457"/>
      <c r="H72" s="1459"/>
      <c r="I72" s="1333">
        <f t="shared" si="32"/>
        <v>0</v>
      </c>
      <c r="J72" s="1462"/>
      <c r="K72" s="1325">
        <f t="shared" si="34"/>
        <v>0</v>
      </c>
      <c r="L72" s="639">
        <v>3507270</v>
      </c>
      <c r="M72" s="282">
        <f t="shared" si="9"/>
        <v>3507270</v>
      </c>
    </row>
    <row r="73" spans="1:13" x14ac:dyDescent="0.2">
      <c r="A73" s="110" t="s">
        <v>368</v>
      </c>
      <c r="B73" s="108"/>
      <c r="C73" s="111"/>
      <c r="D73" s="96"/>
      <c r="E73" s="1318"/>
      <c r="F73" s="1330"/>
      <c r="G73" s="1457"/>
      <c r="H73" s="1459"/>
      <c r="I73" s="1333">
        <f t="shared" si="32"/>
        <v>0</v>
      </c>
      <c r="J73" s="1462"/>
      <c r="K73" s="1325">
        <f t="shared" si="34"/>
        <v>0</v>
      </c>
      <c r="L73" s="639">
        <v>1278000</v>
      </c>
      <c r="M73" s="282">
        <f t="shared" si="9"/>
        <v>1278000</v>
      </c>
    </row>
    <row r="74" spans="1:13" x14ac:dyDescent="0.2">
      <c r="A74" s="287" t="s">
        <v>1022</v>
      </c>
      <c r="B74" s="108"/>
      <c r="C74" s="111"/>
      <c r="D74" s="96"/>
      <c r="E74" s="1318"/>
      <c r="F74" s="1330"/>
      <c r="G74" s="1457"/>
      <c r="H74" s="1459">
        <v>5863910</v>
      </c>
      <c r="I74" s="1333">
        <f t="shared" si="32"/>
        <v>5863910</v>
      </c>
      <c r="J74" s="1462"/>
      <c r="K74" s="1325">
        <f t="shared" si="34"/>
        <v>5863910</v>
      </c>
      <c r="L74" s="639"/>
      <c r="M74" s="282">
        <f t="shared" si="9"/>
        <v>5863910</v>
      </c>
    </row>
    <row r="75" spans="1:13" x14ac:dyDescent="0.2">
      <c r="A75" s="110"/>
      <c r="B75" s="108"/>
      <c r="C75" s="111"/>
      <c r="D75" s="96"/>
      <c r="E75" s="1318"/>
      <c r="F75" s="1330"/>
      <c r="G75" s="1457"/>
      <c r="H75" s="1459"/>
      <c r="I75" s="1334"/>
      <c r="J75" s="1462"/>
      <c r="K75" s="1608"/>
      <c r="L75" s="639"/>
      <c r="M75" s="1534"/>
    </row>
    <row r="76" spans="1:13" ht="15" x14ac:dyDescent="0.25">
      <c r="A76" s="284" t="s">
        <v>335</v>
      </c>
      <c r="B76" s="108"/>
      <c r="C76" s="111"/>
      <c r="D76" s="104"/>
      <c r="E76" s="1320">
        <f>SUM(E77:E82)</f>
        <v>0</v>
      </c>
      <c r="F76" s="1331">
        <f t="shared" ref="F76:G76" si="35">SUM(F77:F82)</f>
        <v>20269925</v>
      </c>
      <c r="G76" s="1320">
        <f t="shared" si="35"/>
        <v>20269925</v>
      </c>
      <c r="H76" s="1467">
        <f>H77+H78+H79+H80+H81+H82+H83</f>
        <v>281982288</v>
      </c>
      <c r="I76" s="664">
        <f>SUM(I77:I83)</f>
        <v>302252213</v>
      </c>
      <c r="J76" s="1467">
        <f>J77+J78+J79+J80+J81+J82+J83</f>
        <v>4257071</v>
      </c>
      <c r="K76" s="1320">
        <f>SUM(K77:K83)</f>
        <v>306509284</v>
      </c>
      <c r="L76" s="1331">
        <f>SUM(L77:L83)</f>
        <v>-39913714</v>
      </c>
      <c r="M76" s="282">
        <f>K76+L76</f>
        <v>266595570</v>
      </c>
    </row>
    <row r="77" spans="1:13" ht="15" x14ac:dyDescent="0.25">
      <c r="A77" s="107" t="s">
        <v>987</v>
      </c>
      <c r="B77" s="103"/>
      <c r="C77" s="117"/>
      <c r="D77" s="104"/>
      <c r="E77" s="1320"/>
      <c r="F77" s="637">
        <v>1201800</v>
      </c>
      <c r="G77" s="1456">
        <f>F77+E77</f>
        <v>1201800</v>
      </c>
      <c r="H77" s="1459">
        <f>357664+176831</f>
        <v>534495</v>
      </c>
      <c r="I77" s="1333">
        <f>H77+G77</f>
        <v>1736295</v>
      </c>
      <c r="J77" s="1462">
        <v>511326</v>
      </c>
      <c r="K77" s="1325">
        <f>J77+I77</f>
        <v>2247621</v>
      </c>
      <c r="L77" s="639">
        <v>-2247621</v>
      </c>
      <c r="M77" s="282">
        <f>K77+L77</f>
        <v>0</v>
      </c>
    </row>
    <row r="78" spans="1:13" ht="15" x14ac:dyDescent="0.25">
      <c r="A78" s="107" t="s">
        <v>530</v>
      </c>
      <c r="B78" s="103"/>
      <c r="C78" s="117"/>
      <c r="D78" s="104"/>
      <c r="E78" s="1320"/>
      <c r="F78" s="637">
        <v>1755855</v>
      </c>
      <c r="G78" s="1456">
        <f t="shared" ref="G78:I81" si="36">F78+E78</f>
        <v>1755855</v>
      </c>
      <c r="H78" s="1459">
        <f>579715+300993</f>
        <v>880708</v>
      </c>
      <c r="I78" s="1333">
        <f t="shared" si="36"/>
        <v>2636563</v>
      </c>
      <c r="J78" s="1462">
        <v>870707</v>
      </c>
      <c r="K78" s="1325">
        <f t="shared" ref="K78:K79" si="37">J78+I78</f>
        <v>3507270</v>
      </c>
      <c r="L78" s="639">
        <v>-3507270</v>
      </c>
      <c r="M78" s="282">
        <f t="shared" ref="M78:M83" si="38">K78+L78</f>
        <v>0</v>
      </c>
    </row>
    <row r="79" spans="1:13" ht="15" x14ac:dyDescent="0.25">
      <c r="A79" s="110" t="s">
        <v>368</v>
      </c>
      <c r="B79" s="103"/>
      <c r="C79" s="117"/>
      <c r="D79" s="104"/>
      <c r="E79" s="1320"/>
      <c r="F79" s="637">
        <v>1278000</v>
      </c>
      <c r="G79" s="1456">
        <f t="shared" si="36"/>
        <v>1278000</v>
      </c>
      <c r="H79" s="1459"/>
      <c r="I79" s="1333">
        <f t="shared" si="36"/>
        <v>1278000</v>
      </c>
      <c r="J79" s="1462"/>
      <c r="K79" s="1325">
        <f t="shared" si="37"/>
        <v>1278000</v>
      </c>
      <c r="L79" s="639">
        <v>-1278000</v>
      </c>
      <c r="M79" s="282">
        <f t="shared" si="38"/>
        <v>0</v>
      </c>
    </row>
    <row r="80" spans="1:13" ht="15" x14ac:dyDescent="0.25">
      <c r="A80" s="113" t="s">
        <v>529</v>
      </c>
      <c r="B80" s="103"/>
      <c r="C80" s="117"/>
      <c r="D80" s="104"/>
      <c r="E80" s="1320"/>
      <c r="F80" s="637">
        <v>16034270</v>
      </c>
      <c r="G80" s="1456">
        <f t="shared" si="36"/>
        <v>16034270</v>
      </c>
      <c r="H80" s="1459">
        <f>5620003+2664692</f>
        <v>8284695</v>
      </c>
      <c r="I80" s="1333">
        <f>H80+G80</f>
        <v>24318965</v>
      </c>
      <c r="J80" s="1462">
        <v>8561858</v>
      </c>
      <c r="K80" s="1325">
        <f>J80+I80</f>
        <v>32880823</v>
      </c>
      <c r="L80" s="639">
        <v>-32880823</v>
      </c>
      <c r="M80" s="282">
        <f t="shared" si="38"/>
        <v>0</v>
      </c>
    </row>
    <row r="81" spans="1:13" s="152" customFormat="1" ht="15" x14ac:dyDescent="0.25">
      <c r="A81" s="110" t="s">
        <v>531</v>
      </c>
      <c r="B81" s="103"/>
      <c r="C81" s="117"/>
      <c r="D81" s="96"/>
      <c r="E81" s="1318"/>
      <c r="F81" s="1332"/>
      <c r="G81" s="1456">
        <f t="shared" si="36"/>
        <v>0</v>
      </c>
      <c r="H81" s="1459"/>
      <c r="I81" s="1333">
        <f t="shared" si="36"/>
        <v>0</v>
      </c>
      <c r="J81" s="1462">
        <v>17278800</v>
      </c>
      <c r="K81" s="1325">
        <f t="shared" ref="K81" si="39">J81+I81</f>
        <v>17278800</v>
      </c>
      <c r="L81" s="1612"/>
      <c r="M81" s="282">
        <f t="shared" si="38"/>
        <v>17278800</v>
      </c>
    </row>
    <row r="82" spans="1:13" s="152" customFormat="1" ht="15" x14ac:dyDescent="0.25">
      <c r="A82" s="110" t="s">
        <v>165</v>
      </c>
      <c r="B82" s="108"/>
      <c r="C82" s="111"/>
      <c r="D82" s="96"/>
      <c r="E82" s="1318"/>
      <c r="F82" s="1332"/>
      <c r="G82" s="1458"/>
      <c r="H82" s="1514"/>
      <c r="I82" s="1335"/>
      <c r="J82" s="1516"/>
      <c r="K82" s="1609"/>
      <c r="L82" s="1612"/>
      <c r="M82" s="282">
        <f t="shared" si="38"/>
        <v>0</v>
      </c>
    </row>
    <row r="83" spans="1:13" s="152" customFormat="1" ht="15" x14ac:dyDescent="0.25">
      <c r="A83" s="110" t="s">
        <v>1024</v>
      </c>
      <c r="B83" s="108"/>
      <c r="C83" s="111"/>
      <c r="D83" s="96"/>
      <c r="E83" s="1318"/>
      <c r="F83" s="1332"/>
      <c r="G83" s="1458"/>
      <c r="H83" s="1512">
        <f>28282390+244000000</f>
        <v>272282390</v>
      </c>
      <c r="I83" s="1513">
        <f>G83+H83</f>
        <v>272282390</v>
      </c>
      <c r="J83" s="1462">
        <v>-22965620</v>
      </c>
      <c r="K83" s="1325">
        <f>I83+J83</f>
        <v>249316770</v>
      </c>
      <c r="L83" s="1612"/>
      <c r="M83" s="282">
        <f t="shared" si="38"/>
        <v>249316770</v>
      </c>
    </row>
    <row r="84" spans="1:13" x14ac:dyDescent="0.2">
      <c r="A84" s="110"/>
      <c r="B84" s="108"/>
      <c r="C84" s="111"/>
      <c r="D84" s="96"/>
      <c r="E84" s="1318"/>
      <c r="F84" s="1330"/>
      <c r="G84" s="1457"/>
      <c r="H84" s="1459"/>
      <c r="I84" s="1334"/>
      <c r="J84" s="1462"/>
      <c r="K84" s="1608"/>
      <c r="L84" s="639"/>
      <c r="M84" s="1534"/>
    </row>
    <row r="85" spans="1:13" ht="15" x14ac:dyDescent="0.25">
      <c r="A85" s="284" t="s">
        <v>333</v>
      </c>
      <c r="B85" s="108"/>
      <c r="C85" s="111"/>
      <c r="D85" s="104"/>
      <c r="E85" s="1320"/>
      <c r="F85" s="1330"/>
      <c r="G85" s="1457"/>
      <c r="H85" s="1459"/>
      <c r="I85" s="1334"/>
      <c r="J85" s="1462"/>
      <c r="K85" s="1608"/>
      <c r="L85" s="639"/>
      <c r="M85" s="1534"/>
    </row>
    <row r="86" spans="1:13" ht="15" x14ac:dyDescent="0.25">
      <c r="A86" s="284"/>
      <c r="B86" s="103"/>
      <c r="C86" s="117"/>
      <c r="D86" s="104"/>
      <c r="E86" s="1320"/>
      <c r="F86" s="1330"/>
      <c r="G86" s="1457"/>
      <c r="H86" s="1459"/>
      <c r="I86" s="1334"/>
      <c r="J86" s="1462"/>
      <c r="K86" s="1608"/>
      <c r="L86" s="639"/>
      <c r="M86" s="1534"/>
    </row>
    <row r="87" spans="1:13" s="152" customFormat="1" ht="15" x14ac:dyDescent="0.25">
      <c r="A87" s="284"/>
      <c r="B87" s="103"/>
      <c r="C87" s="117"/>
      <c r="D87" s="104"/>
      <c r="E87" s="1320"/>
      <c r="F87" s="1332"/>
      <c r="G87" s="1458"/>
      <c r="H87" s="1514"/>
      <c r="I87" s="1335"/>
      <c r="J87" s="1516"/>
      <c r="K87" s="1609"/>
      <c r="L87" s="1612"/>
      <c r="M87" s="1535"/>
    </row>
    <row r="88" spans="1:13" s="152" customFormat="1" ht="15" x14ac:dyDescent="0.25">
      <c r="A88" s="284" t="s">
        <v>168</v>
      </c>
      <c r="B88" s="103"/>
      <c r="C88" s="117"/>
      <c r="D88" s="104"/>
      <c r="E88" s="1326">
        <f>SUM(E89:E89)</f>
        <v>0</v>
      </c>
      <c r="F88" s="1332"/>
      <c r="G88" s="1458"/>
      <c r="H88" s="1514"/>
      <c r="I88" s="1335"/>
      <c r="J88" s="1516">
        <f>J89+J90+J91</f>
        <v>43215050</v>
      </c>
      <c r="K88" s="1326">
        <f>I88+J88</f>
        <v>43215050</v>
      </c>
      <c r="L88" s="1612"/>
      <c r="M88" s="1517">
        <f>K88+L88</f>
        <v>43215050</v>
      </c>
    </row>
    <row r="89" spans="1:13" s="152" customFormat="1" ht="15" x14ac:dyDescent="0.25">
      <c r="A89" s="110" t="s">
        <v>1045</v>
      </c>
      <c r="B89" s="103"/>
      <c r="C89" s="117"/>
      <c r="D89" s="104"/>
      <c r="E89" s="1318"/>
      <c r="F89" s="1332"/>
      <c r="G89" s="1458"/>
      <c r="H89" s="1514"/>
      <c r="I89" s="1335"/>
      <c r="J89" s="1462">
        <v>39999050</v>
      </c>
      <c r="K89" s="1326">
        <f>I89+J89</f>
        <v>39999050</v>
      </c>
      <c r="L89" s="1612"/>
      <c r="M89" s="1517">
        <f t="shared" ref="M89:M91" si="40">K89+L89</f>
        <v>39999050</v>
      </c>
    </row>
    <row r="90" spans="1:13" s="152" customFormat="1" ht="15" x14ac:dyDescent="0.25">
      <c r="A90" s="110" t="s">
        <v>652</v>
      </c>
      <c r="B90" s="103"/>
      <c r="C90" s="117"/>
      <c r="D90" s="96"/>
      <c r="E90" s="1318"/>
      <c r="F90" s="1332"/>
      <c r="G90" s="1458"/>
      <c r="H90" s="1514"/>
      <c r="I90" s="1335"/>
      <c r="J90" s="1462">
        <v>216000</v>
      </c>
      <c r="K90" s="1325">
        <f>I90+J90</f>
        <v>216000</v>
      </c>
      <c r="L90" s="1612"/>
      <c r="M90" s="1517">
        <f t="shared" si="40"/>
        <v>216000</v>
      </c>
    </row>
    <row r="91" spans="1:13" s="152" customFormat="1" ht="15" x14ac:dyDescent="0.25">
      <c r="A91" s="668" t="s">
        <v>1046</v>
      </c>
      <c r="B91" s="108"/>
      <c r="C91" s="111"/>
      <c r="D91" s="96"/>
      <c r="E91" s="1318"/>
      <c r="F91" s="1332"/>
      <c r="G91" s="1458"/>
      <c r="H91" s="1514"/>
      <c r="I91" s="1335"/>
      <c r="J91" s="1462">
        <v>3000000</v>
      </c>
      <c r="K91" s="1325">
        <f>I91+J91</f>
        <v>3000000</v>
      </c>
      <c r="L91" s="1612"/>
      <c r="M91" s="1517">
        <f t="shared" si="40"/>
        <v>3000000</v>
      </c>
    </row>
    <row r="92" spans="1:13" s="94" customFormat="1" ht="15.75" thickBot="1" x14ac:dyDescent="0.3">
      <c r="A92" s="287"/>
      <c r="B92" s="108"/>
      <c r="C92" s="111"/>
      <c r="D92" s="289"/>
      <c r="E92" s="1601"/>
      <c r="F92" s="1602"/>
      <c r="G92" s="1603"/>
      <c r="H92" s="1604"/>
      <c r="I92" s="1605"/>
      <c r="J92" s="1606"/>
      <c r="K92" s="1610"/>
      <c r="L92" s="1612"/>
      <c r="M92" s="1517"/>
    </row>
    <row r="93" spans="1:13" s="94" customFormat="1" ht="15.75" thickBot="1" x14ac:dyDescent="0.3">
      <c r="A93" s="288" t="s">
        <v>83</v>
      </c>
      <c r="B93" s="289"/>
      <c r="C93" s="669"/>
      <c r="D93" s="1613"/>
      <c r="E93" s="1327">
        <f>E70+E40+E31+E5+E88+E76</f>
        <v>756675664</v>
      </c>
      <c r="F93" s="1336">
        <f>F70+F40+F31+F5+F88+F76</f>
        <v>-191021968</v>
      </c>
      <c r="G93" s="1327">
        <f>G70+G40+G31+G5+G88+G76</f>
        <v>565653696</v>
      </c>
      <c r="H93" s="1526">
        <f t="shared" ref="H93:M93" si="41">H70+H40+H32+H5+H88+H76</f>
        <v>322013169</v>
      </c>
      <c r="I93" s="1527">
        <f t="shared" si="41"/>
        <v>1131376499</v>
      </c>
      <c r="J93" s="1526">
        <f t="shared" si="41"/>
        <v>53325781</v>
      </c>
      <c r="K93" s="1527">
        <f t="shared" si="41"/>
        <v>1184702280</v>
      </c>
      <c r="L93" s="1527">
        <f t="shared" si="41"/>
        <v>0</v>
      </c>
      <c r="M93" s="1527">
        <f t="shared" si="41"/>
        <v>1184702280</v>
      </c>
    </row>
    <row r="94" spans="1:13" x14ac:dyDescent="0.2">
      <c r="J94" s="101"/>
      <c r="K94" s="483">
        <f>I93-K93</f>
        <v>-53325781</v>
      </c>
    </row>
    <row r="95" spans="1:13" x14ac:dyDescent="0.2">
      <c r="J95" s="101"/>
      <c r="K95" s="101"/>
    </row>
  </sheetData>
  <mergeCells count="14">
    <mergeCell ref="L3:L4"/>
    <mergeCell ref="M3:M4"/>
    <mergeCell ref="A1:E1"/>
    <mergeCell ref="A3:A4"/>
    <mergeCell ref="B3:B4"/>
    <mergeCell ref="C3:C4"/>
    <mergeCell ref="D3:D4"/>
    <mergeCell ref="E3:E4"/>
    <mergeCell ref="J3:J4"/>
    <mergeCell ref="K3:K4"/>
    <mergeCell ref="H3:H4"/>
    <mergeCell ref="I3:I4"/>
    <mergeCell ref="F3:F4"/>
    <mergeCell ref="G3:G4"/>
  </mergeCells>
  <pageMargins left="0.7" right="0.7" top="0.75" bottom="0.75" header="0.3" footer="0.3"/>
  <pageSetup paperSize="9" scale="37" orientation="portrait" r:id="rId1"/>
  <headerFooter alignWithMargins="0">
    <oddHeader>&amp;C2/b. melléklet
a 6/2021. (III.05.) önkormányzati rendelethez
 az önkormányzat 2020. évi költségvetéséről szóló 6/2020. (III.06.) önkormányzati rendelet 
2/b. mellékletének helyébe a következő 2/b. melléklet lép: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127"/>
  <sheetViews>
    <sheetView view="pageLayout" topLeftCell="H82" zoomScaleNormal="100" zoomScaleSheetLayoutView="148" workbookViewId="0">
      <selection activeCell="O95" sqref="O95:P95"/>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43" customWidth="1"/>
    <col min="9" max="9" width="13.42578125" style="1339" customWidth="1"/>
    <col min="10" max="10" width="12.42578125" style="1339" customWidth="1"/>
    <col min="11" max="11" width="13.28515625" style="579" customWidth="1"/>
    <col min="12" max="12" width="14.7109375" customWidth="1"/>
    <col min="13" max="13" width="13.42578125" customWidth="1"/>
    <col min="14" max="14" width="14.7109375" customWidth="1"/>
    <col min="15" max="15" width="11.5703125" customWidth="1"/>
    <col min="16" max="16" width="14" customWidth="1"/>
    <col min="17" max="17" width="10.140625" bestFit="1" customWidth="1"/>
  </cols>
  <sheetData>
    <row r="1" spans="1:17" ht="15.75" x14ac:dyDescent="0.25">
      <c r="C1" s="1655" t="s">
        <v>979</v>
      </c>
      <c r="D1" s="1655"/>
      <c r="E1" s="1655"/>
      <c r="F1" s="1655"/>
      <c r="G1" s="1655"/>
      <c r="H1" s="1340"/>
      <c r="I1" s="1338"/>
      <c r="J1" s="1338"/>
    </row>
    <row r="2" spans="1:17" ht="15" thickBot="1" x14ac:dyDescent="0.25">
      <c r="A2" s="263"/>
      <c r="B2" s="264"/>
      <c r="C2" s="263"/>
      <c r="D2" s="265"/>
      <c r="E2" s="263"/>
      <c r="F2" s="263"/>
      <c r="G2" s="266"/>
      <c r="H2" s="1341"/>
      <c r="I2" s="1337"/>
      <c r="J2" s="1337"/>
    </row>
    <row r="3" spans="1:17" ht="30.75" thickBot="1" x14ac:dyDescent="0.3">
      <c r="A3" s="1553" t="s">
        <v>84</v>
      </c>
      <c r="B3" s="1554" t="s">
        <v>85</v>
      </c>
      <c r="C3" s="1555" t="s">
        <v>86</v>
      </c>
      <c r="D3" s="1556" t="s">
        <v>467</v>
      </c>
      <c r="E3" s="1557" t="s">
        <v>56</v>
      </c>
      <c r="F3" s="1558" t="s">
        <v>57</v>
      </c>
      <c r="G3" s="1559" t="s">
        <v>331</v>
      </c>
      <c r="H3" s="1560" t="s">
        <v>988</v>
      </c>
      <c r="I3" s="1561" t="s">
        <v>985</v>
      </c>
      <c r="J3" s="1562" t="s">
        <v>986</v>
      </c>
      <c r="K3" s="1563" t="s">
        <v>1017</v>
      </c>
      <c r="L3" s="1564" t="s">
        <v>1018</v>
      </c>
      <c r="M3" s="1563" t="s">
        <v>1042</v>
      </c>
      <c r="N3" s="1564" t="s">
        <v>1043</v>
      </c>
      <c r="O3" s="1563" t="s">
        <v>1097</v>
      </c>
      <c r="P3" s="1564" t="s">
        <v>1098</v>
      </c>
    </row>
    <row r="4" spans="1:17" x14ac:dyDescent="0.2">
      <c r="A4" s="1545">
        <v>2</v>
      </c>
      <c r="B4" s="1546" t="s">
        <v>87</v>
      </c>
      <c r="C4" s="746" t="s">
        <v>643</v>
      </c>
      <c r="D4" s="742">
        <v>14.2</v>
      </c>
      <c r="E4" s="742">
        <v>14.2</v>
      </c>
      <c r="F4" s="743">
        <v>4371500</v>
      </c>
      <c r="G4" s="1547">
        <f t="shared" ref="G4:G9" si="0">E4*F4</f>
        <v>62075300</v>
      </c>
      <c r="H4" s="1548">
        <v>14.1</v>
      </c>
      <c r="I4" s="1549">
        <v>-437150</v>
      </c>
      <c r="J4" s="1550">
        <f>I4+G4</f>
        <v>61638150</v>
      </c>
      <c r="K4" s="1551"/>
      <c r="L4" s="1552">
        <f>J4+K4</f>
        <v>61638150</v>
      </c>
      <c r="M4" s="1551"/>
      <c r="N4" s="1552">
        <f>L4+M4</f>
        <v>61638150</v>
      </c>
      <c r="O4" s="1551"/>
      <c r="P4" s="1552">
        <f>N4+O4</f>
        <v>61638150</v>
      </c>
    </row>
    <row r="5" spans="1:17" x14ac:dyDescent="0.2">
      <c r="A5" s="362">
        <v>2</v>
      </c>
      <c r="B5" s="647" t="s">
        <v>87</v>
      </c>
      <c r="C5" s="99" t="s">
        <v>644</v>
      </c>
      <c r="D5" s="111">
        <v>10</v>
      </c>
      <c r="E5" s="111">
        <v>10</v>
      </c>
      <c r="F5" s="96">
        <v>2400000</v>
      </c>
      <c r="G5" s="1344">
        <f t="shared" si="0"/>
        <v>24000000</v>
      </c>
      <c r="H5" s="1350">
        <v>10</v>
      </c>
      <c r="I5" s="1351"/>
      <c r="J5" s="1469">
        <f t="shared" ref="J5:J14" si="1">I5+G5</f>
        <v>24000000</v>
      </c>
      <c r="K5" s="1472"/>
      <c r="L5" s="1449">
        <f t="shared" ref="L5:L13" si="2">J5+K5</f>
        <v>24000000</v>
      </c>
      <c r="M5" s="1472"/>
      <c r="N5" s="1449">
        <f t="shared" ref="N5:N13" si="3">L5+M5</f>
        <v>24000000</v>
      </c>
      <c r="O5" s="1472"/>
      <c r="P5" s="1449">
        <f t="shared" ref="P5:P13" si="4">N5+O5</f>
        <v>24000000</v>
      </c>
    </row>
    <row r="6" spans="1:17" x14ac:dyDescent="0.2">
      <c r="A6" s="362">
        <v>2</v>
      </c>
      <c r="B6" s="647" t="s">
        <v>88</v>
      </c>
      <c r="C6" s="99" t="s">
        <v>645</v>
      </c>
      <c r="D6" s="111">
        <f>((163*8)+(154*4))/12</f>
        <v>160</v>
      </c>
      <c r="E6" s="119">
        <v>160</v>
      </c>
      <c r="F6" s="108">
        <v>97400</v>
      </c>
      <c r="G6" s="1344">
        <f t="shared" si="0"/>
        <v>15584000</v>
      </c>
      <c r="H6" s="1350">
        <v>158</v>
      </c>
      <c r="I6" s="1351">
        <v>-194800</v>
      </c>
      <c r="J6" s="1469">
        <f t="shared" si="1"/>
        <v>15389200</v>
      </c>
      <c r="K6" s="1472"/>
      <c r="L6" s="1449">
        <f t="shared" si="2"/>
        <v>15389200</v>
      </c>
      <c r="M6" s="1472">
        <v>-97400</v>
      </c>
      <c r="N6" s="1449">
        <f t="shared" si="3"/>
        <v>15291800</v>
      </c>
      <c r="O6" s="1472"/>
      <c r="P6" s="1449">
        <f t="shared" si="4"/>
        <v>15291800</v>
      </c>
    </row>
    <row r="7" spans="1:17" x14ac:dyDescent="0.2">
      <c r="A7" s="362">
        <v>2</v>
      </c>
      <c r="B7" s="647" t="s">
        <v>468</v>
      </c>
      <c r="C7" s="98" t="s">
        <v>308</v>
      </c>
      <c r="D7" s="111"/>
      <c r="E7" s="106">
        <v>6</v>
      </c>
      <c r="F7" s="108">
        <v>396700</v>
      </c>
      <c r="G7" s="1344">
        <f t="shared" si="0"/>
        <v>2380200</v>
      </c>
      <c r="H7" s="1350">
        <v>6</v>
      </c>
      <c r="I7" s="1351"/>
      <c r="J7" s="1469">
        <f t="shared" si="1"/>
        <v>2380200</v>
      </c>
      <c r="K7" s="1472"/>
      <c r="L7" s="1449">
        <f t="shared" si="2"/>
        <v>2380200</v>
      </c>
      <c r="M7" s="1472">
        <v>-396700</v>
      </c>
      <c r="N7" s="1449">
        <f t="shared" si="3"/>
        <v>1983500</v>
      </c>
      <c r="O7" s="1472"/>
      <c r="P7" s="1449">
        <f t="shared" si="4"/>
        <v>1983500</v>
      </c>
    </row>
    <row r="8" spans="1:17" x14ac:dyDescent="0.2">
      <c r="A8" s="362">
        <v>2</v>
      </c>
      <c r="B8" s="647" t="s">
        <v>489</v>
      </c>
      <c r="C8" s="98" t="s">
        <v>308</v>
      </c>
      <c r="D8" s="111"/>
      <c r="E8" s="106">
        <v>0</v>
      </c>
      <c r="F8" s="108">
        <v>363642</v>
      </c>
      <c r="G8" s="1344">
        <f t="shared" si="0"/>
        <v>0</v>
      </c>
      <c r="H8" s="1350">
        <v>2</v>
      </c>
      <c r="I8" s="1351">
        <v>727284</v>
      </c>
      <c r="J8" s="1469">
        <f t="shared" si="1"/>
        <v>727284</v>
      </c>
      <c r="K8" s="1472"/>
      <c r="L8" s="1449">
        <f t="shared" si="2"/>
        <v>727284</v>
      </c>
      <c r="M8" s="1472"/>
      <c r="N8" s="1449">
        <f t="shared" si="3"/>
        <v>727284</v>
      </c>
      <c r="O8" s="1472"/>
      <c r="P8" s="1449">
        <f t="shared" si="4"/>
        <v>727284</v>
      </c>
    </row>
    <row r="9" spans="1:17" x14ac:dyDescent="0.2">
      <c r="A9" s="362">
        <v>2</v>
      </c>
      <c r="B9" s="647" t="s">
        <v>532</v>
      </c>
      <c r="C9" s="99" t="s">
        <v>89</v>
      </c>
      <c r="D9" s="111"/>
      <c r="E9" s="106">
        <f>139/1043*23.9</f>
        <v>3.1851390220517737</v>
      </c>
      <c r="F9" s="108">
        <v>2200000</v>
      </c>
      <c r="G9" s="1344">
        <f t="shared" si="0"/>
        <v>7007305.8485139022</v>
      </c>
      <c r="H9" s="1350">
        <v>2.56</v>
      </c>
      <c r="I9" s="1351">
        <v>-1367478</v>
      </c>
      <c r="J9" s="1469">
        <f t="shared" si="1"/>
        <v>5639827.8485139022</v>
      </c>
      <c r="K9" s="1472"/>
      <c r="L9" s="1449">
        <f t="shared" si="2"/>
        <v>5639827.8485139022</v>
      </c>
      <c r="M9" s="1472"/>
      <c r="N9" s="1449">
        <f t="shared" si="3"/>
        <v>5639827.8485139022</v>
      </c>
      <c r="O9" s="1472"/>
      <c r="P9" s="1449">
        <f t="shared" si="4"/>
        <v>5639827.8485139022</v>
      </c>
    </row>
    <row r="10" spans="1:17" x14ac:dyDescent="0.2">
      <c r="A10" s="362">
        <v>2</v>
      </c>
      <c r="B10" s="647" t="s">
        <v>533</v>
      </c>
      <c r="C10" s="99" t="s">
        <v>90</v>
      </c>
      <c r="D10" s="111"/>
      <c r="E10" s="106"/>
      <c r="F10" s="108"/>
      <c r="G10" s="1319">
        <v>6518216</v>
      </c>
      <c r="H10" s="111"/>
      <c r="I10" s="108">
        <f>J10-G10</f>
        <v>-1554289</v>
      </c>
      <c r="J10" s="1469">
        <v>4963927</v>
      </c>
      <c r="K10" s="1472"/>
      <c r="L10" s="1449">
        <f t="shared" si="2"/>
        <v>4963927</v>
      </c>
      <c r="M10" s="1472"/>
      <c r="N10" s="1449">
        <f t="shared" si="3"/>
        <v>4963927</v>
      </c>
      <c r="O10" s="1472"/>
      <c r="P10" s="1449">
        <f t="shared" si="4"/>
        <v>4963927</v>
      </c>
      <c r="Q10" s="638"/>
    </row>
    <row r="11" spans="1:17" x14ac:dyDescent="0.2">
      <c r="A11" s="362">
        <v>2</v>
      </c>
      <c r="B11" s="649" t="s">
        <v>166</v>
      </c>
      <c r="C11" s="99" t="s">
        <v>646</v>
      </c>
      <c r="D11" s="111"/>
      <c r="E11" s="106"/>
      <c r="F11" s="108"/>
      <c r="G11" s="1319"/>
      <c r="H11" s="111"/>
      <c r="I11" s="108"/>
      <c r="J11" s="1469">
        <f t="shared" si="1"/>
        <v>0</v>
      </c>
      <c r="K11" s="1472"/>
      <c r="L11" s="1449">
        <f t="shared" si="2"/>
        <v>0</v>
      </c>
      <c r="M11" s="1472"/>
      <c r="N11" s="1449">
        <f t="shared" si="3"/>
        <v>0</v>
      </c>
      <c r="O11" s="1472"/>
      <c r="P11" s="1449">
        <f t="shared" si="4"/>
        <v>0</v>
      </c>
    </row>
    <row r="12" spans="1:17" x14ac:dyDescent="0.2">
      <c r="A12" s="362">
        <v>2</v>
      </c>
      <c r="B12" s="647" t="s">
        <v>87</v>
      </c>
      <c r="C12" s="99" t="s">
        <v>1019</v>
      </c>
      <c r="D12" s="111"/>
      <c r="E12" s="106"/>
      <c r="F12" s="108"/>
      <c r="G12" s="1319"/>
      <c r="H12" s="111"/>
      <c r="I12" s="108"/>
      <c r="J12" s="1469"/>
      <c r="K12" s="1472">
        <v>8034353</v>
      </c>
      <c r="L12" s="1449">
        <f t="shared" si="2"/>
        <v>8034353</v>
      </c>
      <c r="M12" s="1472"/>
      <c r="N12" s="1449">
        <f t="shared" si="3"/>
        <v>8034353</v>
      </c>
      <c r="O12" s="1472"/>
      <c r="P12" s="1449">
        <f t="shared" si="4"/>
        <v>8034353</v>
      </c>
    </row>
    <row r="13" spans="1:17" x14ac:dyDescent="0.2">
      <c r="A13" s="362">
        <v>2</v>
      </c>
      <c r="B13" s="647" t="s">
        <v>532</v>
      </c>
      <c r="C13" s="99" t="s">
        <v>1027</v>
      </c>
      <c r="D13" s="111"/>
      <c r="E13" s="106"/>
      <c r="F13" s="108"/>
      <c r="G13" s="1319"/>
      <c r="H13" s="111"/>
      <c r="I13" s="108"/>
      <c r="J13" s="1469"/>
      <c r="K13" s="1472">
        <f>H9*176000</f>
        <v>450560</v>
      </c>
      <c r="L13" s="1449">
        <f t="shared" si="2"/>
        <v>450560</v>
      </c>
      <c r="M13" s="1472"/>
      <c r="N13" s="1449">
        <f t="shared" si="3"/>
        <v>450560</v>
      </c>
      <c r="O13" s="1472"/>
      <c r="P13" s="1449">
        <f t="shared" si="4"/>
        <v>450560</v>
      </c>
    </row>
    <row r="14" spans="1:17" ht="15" x14ac:dyDescent="0.25">
      <c r="A14" s="363"/>
      <c r="B14" s="650"/>
      <c r="C14" s="100" t="s">
        <v>500</v>
      </c>
      <c r="D14" s="117"/>
      <c r="E14" s="103"/>
      <c r="F14" s="103"/>
      <c r="G14" s="1345">
        <f>SUM(G4:G11)</f>
        <v>117565021.8485139</v>
      </c>
      <c r="H14" s="117"/>
      <c r="I14" s="103">
        <f>SUM(I4:I11)</f>
        <v>-2826433</v>
      </c>
      <c r="J14" s="1470">
        <f t="shared" si="1"/>
        <v>114738588.8485139</v>
      </c>
      <c r="K14" s="286">
        <f>SUM(K4:K13)</f>
        <v>8484913</v>
      </c>
      <c r="L14" s="1473">
        <f>J14+K14</f>
        <v>123223501.8485139</v>
      </c>
      <c r="M14" s="286">
        <f>SUM(M4:M13)</f>
        <v>-494100</v>
      </c>
      <c r="N14" s="1473">
        <f>L14+M14</f>
        <v>122729401.8485139</v>
      </c>
      <c r="O14" s="286">
        <f>SUM(O4:O13)</f>
        <v>0</v>
      </c>
      <c r="P14" s="1473">
        <f>N14+O14</f>
        <v>122729401.8485139</v>
      </c>
    </row>
    <row r="15" spans="1:17" x14ac:dyDescent="0.2">
      <c r="A15" s="362"/>
      <c r="B15" s="647"/>
      <c r="C15" s="108"/>
      <c r="D15" s="111"/>
      <c r="E15" s="99"/>
      <c r="F15" s="108"/>
      <c r="G15" s="1319"/>
      <c r="H15" s="111"/>
      <c r="I15" s="108"/>
      <c r="J15" s="1319"/>
      <c r="K15" s="1472"/>
      <c r="L15" s="648"/>
      <c r="M15" s="1472"/>
      <c r="N15" s="648"/>
      <c r="O15" s="1472"/>
      <c r="P15" s="648"/>
    </row>
    <row r="16" spans="1:17" x14ac:dyDescent="0.2">
      <c r="A16" s="362">
        <v>2</v>
      </c>
      <c r="B16" s="647" t="s">
        <v>87</v>
      </c>
      <c r="C16" s="99" t="s">
        <v>643</v>
      </c>
      <c r="D16" s="111">
        <v>11</v>
      </c>
      <c r="E16" s="111">
        <v>11</v>
      </c>
      <c r="F16" s="96">
        <v>4371500</v>
      </c>
      <c r="G16" s="1344">
        <f t="shared" ref="G16:G20" si="5">E16*F16</f>
        <v>48086500</v>
      </c>
      <c r="H16" s="1350">
        <v>10</v>
      </c>
      <c r="I16" s="1351">
        <v>-4371500</v>
      </c>
      <c r="J16" s="1344">
        <f>G16+I16</f>
        <v>43715000</v>
      </c>
      <c r="K16" s="1472"/>
      <c r="L16" s="1449">
        <f t="shared" ref="L16:L87" si="6">J16+K16</f>
        <v>43715000</v>
      </c>
      <c r="M16" s="1472">
        <v>437150</v>
      </c>
      <c r="N16" s="1449">
        <f t="shared" ref="N16:N49" si="7">L16+M16</f>
        <v>44152150</v>
      </c>
      <c r="O16" s="1472"/>
      <c r="P16" s="1449">
        <f t="shared" ref="P16:P49" si="8">N16+O16</f>
        <v>44152150</v>
      </c>
    </row>
    <row r="17" spans="1:16" x14ac:dyDescent="0.2">
      <c r="A17" s="362">
        <v>2</v>
      </c>
      <c r="B17" s="647" t="s">
        <v>87</v>
      </c>
      <c r="C17" s="99" t="s">
        <v>644</v>
      </c>
      <c r="D17" s="111">
        <v>9</v>
      </c>
      <c r="E17" s="111">
        <v>9</v>
      </c>
      <c r="F17" s="96">
        <v>2400000</v>
      </c>
      <c r="G17" s="1344">
        <f t="shared" si="5"/>
        <v>21600000</v>
      </c>
      <c r="H17" s="1350">
        <v>5</v>
      </c>
      <c r="I17" s="1351">
        <v>-9600000</v>
      </c>
      <c r="J17" s="1344">
        <f t="shared" ref="J17:J25" si="9">G17+I17</f>
        <v>12000000</v>
      </c>
      <c r="K17" s="1472"/>
      <c r="L17" s="1449">
        <f t="shared" si="6"/>
        <v>12000000</v>
      </c>
      <c r="M17" s="1472">
        <v>6480000</v>
      </c>
      <c r="N17" s="1449">
        <f t="shared" si="7"/>
        <v>18480000</v>
      </c>
      <c r="O17" s="1472"/>
      <c r="P17" s="1449">
        <f t="shared" si="8"/>
        <v>18480000</v>
      </c>
    </row>
    <row r="18" spans="1:16" x14ac:dyDescent="0.2">
      <c r="A18" s="362">
        <v>2</v>
      </c>
      <c r="B18" s="647" t="s">
        <v>88</v>
      </c>
      <c r="C18" s="99" t="s">
        <v>645</v>
      </c>
      <c r="D18" s="111">
        <v>118.65</v>
      </c>
      <c r="E18" s="119">
        <v>118.65</v>
      </c>
      <c r="F18" s="108">
        <v>97400</v>
      </c>
      <c r="G18" s="1344">
        <f t="shared" si="5"/>
        <v>11556510</v>
      </c>
      <c r="H18" s="1350">
        <v>108.7</v>
      </c>
      <c r="I18" s="1351">
        <v>-969130</v>
      </c>
      <c r="J18" s="1344">
        <f t="shared" si="9"/>
        <v>10587380</v>
      </c>
      <c r="K18" s="1472"/>
      <c r="L18" s="1449">
        <f t="shared" si="6"/>
        <v>10587380</v>
      </c>
      <c r="M18" s="1472">
        <v>33116</v>
      </c>
      <c r="N18" s="1449">
        <f t="shared" si="7"/>
        <v>10620496</v>
      </c>
      <c r="O18" s="1472"/>
      <c r="P18" s="1449">
        <f t="shared" si="8"/>
        <v>10620496</v>
      </c>
    </row>
    <row r="19" spans="1:16" s="184" customFormat="1" x14ac:dyDescent="0.2">
      <c r="A19" s="362">
        <v>2</v>
      </c>
      <c r="B19" s="647" t="s">
        <v>468</v>
      </c>
      <c r="C19" s="98" t="s">
        <v>308</v>
      </c>
      <c r="D19" s="111"/>
      <c r="E19" s="106">
        <v>5</v>
      </c>
      <c r="F19" s="108">
        <v>396700</v>
      </c>
      <c r="G19" s="1344">
        <f t="shared" si="5"/>
        <v>1983500</v>
      </c>
      <c r="H19" s="1350">
        <v>5</v>
      </c>
      <c r="I19" s="1351"/>
      <c r="J19" s="1344">
        <f t="shared" si="9"/>
        <v>1983500</v>
      </c>
      <c r="K19" s="1472"/>
      <c r="L19" s="1449">
        <f t="shared" si="6"/>
        <v>1983500</v>
      </c>
      <c r="M19" s="1472"/>
      <c r="N19" s="1449">
        <f t="shared" si="7"/>
        <v>1983500</v>
      </c>
      <c r="O19" s="1472"/>
      <c r="P19" s="1449">
        <f t="shared" si="8"/>
        <v>1983500</v>
      </c>
    </row>
    <row r="20" spans="1:16" s="184" customFormat="1" x14ac:dyDescent="0.2">
      <c r="A20" s="362">
        <v>2</v>
      </c>
      <c r="B20" s="647" t="s">
        <v>532</v>
      </c>
      <c r="C20" s="99" t="s">
        <v>89</v>
      </c>
      <c r="D20" s="111"/>
      <c r="E20" s="106">
        <f>100/1043*23.9</f>
        <v>2.2914669223394055</v>
      </c>
      <c r="F20" s="108">
        <v>2200000</v>
      </c>
      <c r="G20" s="1344">
        <f t="shared" si="5"/>
        <v>5041227.229146692</v>
      </c>
      <c r="H20" s="1350">
        <v>2.0299999999999998</v>
      </c>
      <c r="I20" s="1351">
        <v>-560076</v>
      </c>
      <c r="J20" s="1344">
        <f t="shared" si="9"/>
        <v>4481151.229146692</v>
      </c>
      <c r="K20" s="1472"/>
      <c r="L20" s="1449">
        <f t="shared" si="6"/>
        <v>4481151.229146692</v>
      </c>
      <c r="M20" s="1472"/>
      <c r="N20" s="1449">
        <f t="shared" si="7"/>
        <v>4481151.229146692</v>
      </c>
      <c r="O20" s="1472"/>
      <c r="P20" s="1449">
        <f t="shared" si="8"/>
        <v>4481151.229146692</v>
      </c>
    </row>
    <row r="21" spans="1:16" s="184" customFormat="1" x14ac:dyDescent="0.2">
      <c r="A21" s="362">
        <v>2</v>
      </c>
      <c r="B21" s="647" t="s">
        <v>533</v>
      </c>
      <c r="C21" s="99" t="s">
        <v>90</v>
      </c>
      <c r="D21" s="111"/>
      <c r="E21" s="106"/>
      <c r="F21" s="108"/>
      <c r="G21" s="1319">
        <v>5509565</v>
      </c>
      <c r="H21" s="111"/>
      <c r="I21" s="108">
        <f>J21-G21</f>
        <v>-893197</v>
      </c>
      <c r="J21" s="1344">
        <v>4616368</v>
      </c>
      <c r="K21" s="1472"/>
      <c r="L21" s="1449">
        <f t="shared" si="6"/>
        <v>4616368</v>
      </c>
      <c r="M21" s="1472"/>
      <c r="N21" s="1449">
        <f t="shared" si="7"/>
        <v>4616368</v>
      </c>
      <c r="O21" s="1472"/>
      <c r="P21" s="1449">
        <f t="shared" si="8"/>
        <v>4616368</v>
      </c>
    </row>
    <row r="22" spans="1:16" s="184" customFormat="1" x14ac:dyDescent="0.2">
      <c r="A22" s="362">
        <v>2</v>
      </c>
      <c r="B22" s="649" t="s">
        <v>166</v>
      </c>
      <c r="C22" s="99" t="s">
        <v>646</v>
      </c>
      <c r="D22" s="111"/>
      <c r="E22" s="106"/>
      <c r="F22" s="108"/>
      <c r="G22" s="1319"/>
      <c r="H22" s="111"/>
      <c r="I22" s="108">
        <v>34075</v>
      </c>
      <c r="J22" s="1344">
        <f t="shared" si="9"/>
        <v>34075</v>
      </c>
      <c r="K22" s="1472">
        <f>15334</f>
        <v>15334</v>
      </c>
      <c r="L22" s="1449">
        <f t="shared" si="6"/>
        <v>49409</v>
      </c>
      <c r="M22" s="1472">
        <v>15246</v>
      </c>
      <c r="N22" s="1449">
        <f t="shared" si="7"/>
        <v>64655</v>
      </c>
      <c r="O22" s="1472"/>
      <c r="P22" s="1449">
        <f t="shared" si="8"/>
        <v>64655</v>
      </c>
    </row>
    <row r="23" spans="1:16" s="184" customFormat="1" x14ac:dyDescent="0.2">
      <c r="A23" s="362">
        <v>2</v>
      </c>
      <c r="B23" s="647" t="s">
        <v>87</v>
      </c>
      <c r="C23" s="99" t="s">
        <v>1019</v>
      </c>
      <c r="D23" s="111"/>
      <c r="E23" s="106"/>
      <c r="F23" s="108"/>
      <c r="G23" s="1319"/>
      <c r="H23" s="111"/>
      <c r="I23" s="108"/>
      <c r="J23" s="1344"/>
      <c r="K23" s="1472">
        <v>4659706</v>
      </c>
      <c r="L23" s="1449">
        <f t="shared" si="6"/>
        <v>4659706</v>
      </c>
      <c r="M23" s="1472"/>
      <c r="N23" s="1449">
        <f t="shared" si="7"/>
        <v>4659706</v>
      </c>
      <c r="O23" s="1472"/>
      <c r="P23" s="1449">
        <f t="shared" si="8"/>
        <v>4659706</v>
      </c>
    </row>
    <row r="24" spans="1:16" s="184" customFormat="1" x14ac:dyDescent="0.2">
      <c r="A24" s="362">
        <v>2</v>
      </c>
      <c r="B24" s="647" t="s">
        <v>532</v>
      </c>
      <c r="C24" s="99" t="s">
        <v>1019</v>
      </c>
      <c r="D24" s="111"/>
      <c r="E24" s="106"/>
      <c r="F24" s="108"/>
      <c r="G24" s="1319"/>
      <c r="H24" s="111"/>
      <c r="I24" s="108"/>
      <c r="J24" s="1344"/>
      <c r="K24" s="1472">
        <f>H20*176000</f>
        <v>357279.99999999994</v>
      </c>
      <c r="L24" s="1449">
        <f t="shared" si="6"/>
        <v>357279.99999999994</v>
      </c>
      <c r="M24" s="1472"/>
      <c r="N24" s="1449">
        <f t="shared" si="7"/>
        <v>357279.99999999994</v>
      </c>
      <c r="O24" s="1472"/>
      <c r="P24" s="1449">
        <f t="shared" si="8"/>
        <v>357279.99999999994</v>
      </c>
    </row>
    <row r="25" spans="1:16" s="184" customFormat="1" ht="15" x14ac:dyDescent="0.25">
      <c r="A25" s="362"/>
      <c r="B25" s="650"/>
      <c r="C25" s="100" t="s">
        <v>499</v>
      </c>
      <c r="D25" s="117"/>
      <c r="E25" s="105"/>
      <c r="F25" s="103"/>
      <c r="G25" s="1345">
        <f>SUM(G16:G22)</f>
        <v>93777302.229146689</v>
      </c>
      <c r="H25" s="117"/>
      <c r="I25" s="103">
        <f>SUM(I16:I22)</f>
        <v>-16359828</v>
      </c>
      <c r="J25" s="1471">
        <f t="shared" si="9"/>
        <v>77417474.229146689</v>
      </c>
      <c r="K25" s="286">
        <f>SUM(K16:K24)</f>
        <v>5032320</v>
      </c>
      <c r="L25" s="1450">
        <f t="shared" si="6"/>
        <v>82449794.229146689</v>
      </c>
      <c r="M25" s="286">
        <f>SUM(M16:M24)</f>
        <v>6965512</v>
      </c>
      <c r="N25" s="1450">
        <f t="shared" si="7"/>
        <v>89415306.229146689</v>
      </c>
      <c r="O25" s="286">
        <f>SUM(O16:O24)</f>
        <v>0</v>
      </c>
      <c r="P25" s="1450">
        <f t="shared" si="8"/>
        <v>89415306.229146689</v>
      </c>
    </row>
    <row r="26" spans="1:16" s="184" customFormat="1" x14ac:dyDescent="0.2">
      <c r="A26" s="362"/>
      <c r="B26" s="647"/>
      <c r="C26" s="108"/>
      <c r="D26" s="111"/>
      <c r="E26" s="99"/>
      <c r="F26" s="108"/>
      <c r="G26" s="1319"/>
      <c r="H26" s="111"/>
      <c r="I26" s="108"/>
      <c r="J26" s="1319"/>
      <c r="K26" s="1472"/>
      <c r="L26" s="1449">
        <f t="shared" si="6"/>
        <v>0</v>
      </c>
      <c r="M26" s="1472"/>
      <c r="N26" s="1449">
        <f t="shared" si="7"/>
        <v>0</v>
      </c>
      <c r="O26" s="1472"/>
      <c r="P26" s="1449">
        <f t="shared" si="8"/>
        <v>0</v>
      </c>
    </row>
    <row r="27" spans="1:16" s="184" customFormat="1" x14ac:dyDescent="0.2">
      <c r="A27" s="362">
        <v>2</v>
      </c>
      <c r="B27" s="647" t="s">
        <v>87</v>
      </c>
      <c r="C27" s="99" t="s">
        <v>643</v>
      </c>
      <c r="D27" s="111">
        <v>6.5</v>
      </c>
      <c r="E27" s="111">
        <v>6.5</v>
      </c>
      <c r="F27" s="96">
        <v>4371500</v>
      </c>
      <c r="G27" s="1344">
        <f>(E27*F27)</f>
        <v>28414750</v>
      </c>
      <c r="H27" s="1350">
        <v>6.5</v>
      </c>
      <c r="I27" s="1351"/>
      <c r="J27" s="1344">
        <f>I27+G27</f>
        <v>28414750</v>
      </c>
      <c r="K27" s="1472"/>
      <c r="L27" s="1449">
        <f t="shared" si="6"/>
        <v>28414750</v>
      </c>
      <c r="M27" s="1472"/>
      <c r="N27" s="1449">
        <f t="shared" si="7"/>
        <v>28414750</v>
      </c>
      <c r="O27" s="1472"/>
      <c r="P27" s="1449">
        <f t="shared" si="8"/>
        <v>28414750</v>
      </c>
    </row>
    <row r="28" spans="1:16" s="184" customFormat="1" x14ac:dyDescent="0.2">
      <c r="A28" s="362">
        <v>2</v>
      </c>
      <c r="B28" s="647" t="s">
        <v>87</v>
      </c>
      <c r="C28" s="99" t="s">
        <v>644</v>
      </c>
      <c r="D28" s="120">
        <v>5</v>
      </c>
      <c r="E28" s="111">
        <v>5</v>
      </c>
      <c r="F28" s="96">
        <v>2400000</v>
      </c>
      <c r="G28" s="1344">
        <f t="shared" ref="G28:G31" si="10">E28*F28</f>
        <v>12000000</v>
      </c>
      <c r="H28" s="1350">
        <v>5</v>
      </c>
      <c r="I28" s="1351"/>
      <c r="J28" s="1344">
        <f t="shared" ref="J28:J36" si="11">I28+G28</f>
        <v>12000000</v>
      </c>
      <c r="K28" s="1472"/>
      <c r="L28" s="1449">
        <f t="shared" si="6"/>
        <v>12000000</v>
      </c>
      <c r="M28" s="1472"/>
      <c r="N28" s="1449">
        <f t="shared" si="7"/>
        <v>12000000</v>
      </c>
      <c r="O28" s="1472"/>
      <c r="P28" s="1449">
        <f t="shared" si="8"/>
        <v>12000000</v>
      </c>
    </row>
    <row r="29" spans="1:16" s="184" customFormat="1" x14ac:dyDescent="0.2">
      <c r="A29" s="362">
        <v>2</v>
      </c>
      <c r="B29" s="647" t="s">
        <v>88</v>
      </c>
      <c r="C29" s="99" t="s">
        <v>645</v>
      </c>
      <c r="D29" s="120">
        <v>68.650000000000006</v>
      </c>
      <c r="E29" s="119">
        <v>68.650000000000006</v>
      </c>
      <c r="F29" s="108">
        <v>97400</v>
      </c>
      <c r="G29" s="1344">
        <f t="shared" si="10"/>
        <v>6686510.0000000009</v>
      </c>
      <c r="H29" s="1350">
        <v>68.7</v>
      </c>
      <c r="I29" s="1351"/>
      <c r="J29" s="1344">
        <f t="shared" si="11"/>
        <v>6686510.0000000009</v>
      </c>
      <c r="K29" s="1472"/>
      <c r="L29" s="1449">
        <f t="shared" si="6"/>
        <v>6686510.0000000009</v>
      </c>
      <c r="M29" s="1472">
        <v>-63310</v>
      </c>
      <c r="N29" s="1449">
        <f t="shared" si="7"/>
        <v>6623200.0000000009</v>
      </c>
      <c r="O29" s="1472"/>
      <c r="P29" s="1449">
        <f t="shared" si="8"/>
        <v>6623200.0000000009</v>
      </c>
    </row>
    <row r="30" spans="1:16" s="184" customFormat="1" x14ac:dyDescent="0.2">
      <c r="A30" s="362">
        <v>2</v>
      </c>
      <c r="B30" s="647" t="s">
        <v>468</v>
      </c>
      <c r="C30" s="98" t="s">
        <v>308</v>
      </c>
      <c r="D30" s="120"/>
      <c r="E30" s="106">
        <v>3</v>
      </c>
      <c r="F30" s="108">
        <v>396700</v>
      </c>
      <c r="G30" s="1344">
        <f t="shared" si="10"/>
        <v>1190100</v>
      </c>
      <c r="H30" s="1350">
        <v>3</v>
      </c>
      <c r="I30" s="1351"/>
      <c r="J30" s="1344">
        <f t="shared" si="11"/>
        <v>1190100</v>
      </c>
      <c r="K30" s="1472"/>
      <c r="L30" s="1449">
        <f t="shared" si="6"/>
        <v>1190100</v>
      </c>
      <c r="M30" s="1472"/>
      <c r="N30" s="1449">
        <f t="shared" si="7"/>
        <v>1190100</v>
      </c>
      <c r="O30" s="1472"/>
      <c r="P30" s="1449">
        <f t="shared" si="8"/>
        <v>1190100</v>
      </c>
    </row>
    <row r="31" spans="1:16" s="184" customFormat="1" x14ac:dyDescent="0.2">
      <c r="A31" s="362">
        <v>2</v>
      </c>
      <c r="B31" s="647" t="s">
        <v>532</v>
      </c>
      <c r="C31" s="99" t="s">
        <v>89</v>
      </c>
      <c r="D31" s="120"/>
      <c r="E31" s="111">
        <f>58/1043*23.9</f>
        <v>1.3290508149568552</v>
      </c>
      <c r="F31" s="108">
        <v>2200000</v>
      </c>
      <c r="G31" s="1344">
        <f t="shared" si="10"/>
        <v>2923911.7929050815</v>
      </c>
      <c r="H31" s="1350">
        <v>1.34</v>
      </c>
      <c r="I31" s="1351">
        <v>7682</v>
      </c>
      <c r="J31" s="1344">
        <f t="shared" si="11"/>
        <v>2931593.7929050815</v>
      </c>
      <c r="K31" s="1472"/>
      <c r="L31" s="1449">
        <f t="shared" si="6"/>
        <v>2931593.7929050815</v>
      </c>
      <c r="M31" s="1472"/>
      <c r="N31" s="1449">
        <f t="shared" si="7"/>
        <v>2931593.7929050815</v>
      </c>
      <c r="O31" s="1472"/>
      <c r="P31" s="1449">
        <f t="shared" si="8"/>
        <v>2931593.7929050815</v>
      </c>
    </row>
    <row r="32" spans="1:16" s="184" customFormat="1" x14ac:dyDescent="0.2">
      <c r="A32" s="362">
        <v>2</v>
      </c>
      <c r="B32" s="647" t="s">
        <v>533</v>
      </c>
      <c r="C32" s="99" t="s">
        <v>90</v>
      </c>
      <c r="D32" s="120"/>
      <c r="E32" s="111"/>
      <c r="F32" s="108"/>
      <c r="G32" s="1319">
        <v>2753521</v>
      </c>
      <c r="H32" s="111"/>
      <c r="I32" s="108">
        <f>J32-G32</f>
        <v>45796</v>
      </c>
      <c r="J32" s="1344">
        <v>2799317</v>
      </c>
      <c r="K32" s="1472"/>
      <c r="L32" s="1449">
        <f t="shared" si="6"/>
        <v>2799317</v>
      </c>
      <c r="M32" s="1472"/>
      <c r="N32" s="1449">
        <f t="shared" si="7"/>
        <v>2799317</v>
      </c>
      <c r="O32" s="1472"/>
      <c r="P32" s="1449">
        <f t="shared" si="8"/>
        <v>2799317</v>
      </c>
    </row>
    <row r="33" spans="1:16" s="184" customFormat="1" x14ac:dyDescent="0.2">
      <c r="A33" s="362">
        <v>2</v>
      </c>
      <c r="B33" s="649" t="s">
        <v>166</v>
      </c>
      <c r="C33" s="99" t="s">
        <v>646</v>
      </c>
      <c r="D33" s="120"/>
      <c r="E33" s="111"/>
      <c r="F33" s="108"/>
      <c r="G33" s="1319"/>
      <c r="H33" s="111"/>
      <c r="I33" s="108"/>
      <c r="J33" s="1344">
        <f t="shared" si="11"/>
        <v>0</v>
      </c>
      <c r="K33" s="1472"/>
      <c r="L33" s="1449">
        <f t="shared" si="6"/>
        <v>0</v>
      </c>
      <c r="M33" s="1472"/>
      <c r="N33" s="1449">
        <f t="shared" si="7"/>
        <v>0</v>
      </c>
      <c r="O33" s="1472"/>
      <c r="P33" s="1449">
        <f t="shared" si="8"/>
        <v>0</v>
      </c>
    </row>
    <row r="34" spans="1:16" s="184" customFormat="1" x14ac:dyDescent="0.2">
      <c r="A34" s="362">
        <v>2</v>
      </c>
      <c r="B34" s="647" t="s">
        <v>87</v>
      </c>
      <c r="C34" s="99" t="s">
        <v>1019</v>
      </c>
      <c r="D34" s="120"/>
      <c r="E34" s="111"/>
      <c r="F34" s="108"/>
      <c r="G34" s="1319"/>
      <c r="H34" s="111"/>
      <c r="I34" s="108"/>
      <c r="J34" s="1344"/>
      <c r="K34" s="1472">
        <v>3892975</v>
      </c>
      <c r="L34" s="1449">
        <f t="shared" si="6"/>
        <v>3892975</v>
      </c>
      <c r="M34" s="1472"/>
      <c r="N34" s="1449">
        <f t="shared" si="7"/>
        <v>3892975</v>
      </c>
      <c r="O34" s="1472"/>
      <c r="P34" s="1449">
        <f t="shared" si="8"/>
        <v>3892975</v>
      </c>
    </row>
    <row r="35" spans="1:16" s="184" customFormat="1" x14ac:dyDescent="0.2">
      <c r="A35" s="362">
        <v>2</v>
      </c>
      <c r="B35" s="647" t="s">
        <v>532</v>
      </c>
      <c r="C35" s="99"/>
      <c r="D35" s="120"/>
      <c r="E35" s="111"/>
      <c r="F35" s="108"/>
      <c r="G35" s="1319"/>
      <c r="H35" s="111"/>
      <c r="I35" s="108"/>
      <c r="J35" s="1344"/>
      <c r="K35" s="1472">
        <f>H31*176000</f>
        <v>235840</v>
      </c>
      <c r="L35" s="1449">
        <f t="shared" si="6"/>
        <v>235840</v>
      </c>
      <c r="M35" s="1472"/>
      <c r="N35" s="1449">
        <f t="shared" si="7"/>
        <v>235840</v>
      </c>
      <c r="O35" s="1472"/>
      <c r="P35" s="1449">
        <f t="shared" si="8"/>
        <v>235840</v>
      </c>
    </row>
    <row r="36" spans="1:16" s="184" customFormat="1" ht="15" x14ac:dyDescent="0.25">
      <c r="A36" s="363"/>
      <c r="B36" s="650"/>
      <c r="C36" s="100" t="s">
        <v>498</v>
      </c>
      <c r="D36" s="117"/>
      <c r="E36" s="100"/>
      <c r="F36" s="103"/>
      <c r="G36" s="1345">
        <f>SUM(G27:G33)</f>
        <v>53968792.792905085</v>
      </c>
      <c r="H36" s="117"/>
      <c r="I36" s="103">
        <f>SUM(I27:I33)</f>
        <v>53478</v>
      </c>
      <c r="J36" s="1471">
        <f t="shared" si="11"/>
        <v>54022270.792905085</v>
      </c>
      <c r="K36" s="286">
        <f>SUM(K27:K35)</f>
        <v>4128815</v>
      </c>
      <c r="L36" s="1450">
        <f t="shared" si="6"/>
        <v>58151085.792905085</v>
      </c>
      <c r="M36" s="286">
        <f>SUM(M27:M35)</f>
        <v>-63310</v>
      </c>
      <c r="N36" s="1450">
        <f t="shared" si="7"/>
        <v>58087775.792905085</v>
      </c>
      <c r="O36" s="286">
        <f>SUM(O27:O35)</f>
        <v>0</v>
      </c>
      <c r="P36" s="1450">
        <f t="shared" si="8"/>
        <v>58087775.792905085</v>
      </c>
    </row>
    <row r="37" spans="1:16" s="184" customFormat="1" x14ac:dyDescent="0.2">
      <c r="A37" s="362"/>
      <c r="B37" s="647"/>
      <c r="C37" s="99"/>
      <c r="D37" s="111"/>
      <c r="E37" s="99"/>
      <c r="F37" s="108"/>
      <c r="G37" s="1319"/>
      <c r="H37" s="111"/>
      <c r="I37" s="108"/>
      <c r="J37" s="1319"/>
      <c r="K37" s="1472"/>
      <c r="L37" s="1449">
        <f t="shared" si="6"/>
        <v>0</v>
      </c>
      <c r="M37" s="1472"/>
      <c r="N37" s="1449">
        <f t="shared" si="7"/>
        <v>0</v>
      </c>
      <c r="O37" s="1472"/>
      <c r="P37" s="1449">
        <f t="shared" si="8"/>
        <v>0</v>
      </c>
    </row>
    <row r="38" spans="1:16" s="184" customFormat="1" x14ac:dyDescent="0.2">
      <c r="A38" s="362">
        <v>2</v>
      </c>
      <c r="B38" s="647" t="s">
        <v>87</v>
      </c>
      <c r="C38" s="99" t="s">
        <v>77</v>
      </c>
      <c r="D38" s="120">
        <v>3.2</v>
      </c>
      <c r="E38" s="111">
        <v>3.2</v>
      </c>
      <c r="F38" s="96">
        <v>4371500</v>
      </c>
      <c r="G38" s="1344">
        <f t="shared" ref="G38:G43" si="12">E38*F38</f>
        <v>13988800</v>
      </c>
      <c r="H38" s="1350">
        <v>3.3</v>
      </c>
      <c r="I38" s="1351">
        <v>437150</v>
      </c>
      <c r="J38" s="1344">
        <f>G38+I38</f>
        <v>14425950</v>
      </c>
      <c r="K38" s="1472"/>
      <c r="L38" s="1449">
        <f t="shared" si="6"/>
        <v>14425950</v>
      </c>
      <c r="M38" s="1472"/>
      <c r="N38" s="1449">
        <f t="shared" si="7"/>
        <v>14425950</v>
      </c>
      <c r="O38" s="1472"/>
      <c r="P38" s="1449">
        <f t="shared" si="8"/>
        <v>14425950</v>
      </c>
    </row>
    <row r="39" spans="1:16" s="184" customFormat="1" x14ac:dyDescent="0.2">
      <c r="A39" s="362">
        <v>2</v>
      </c>
      <c r="B39" s="647" t="s">
        <v>87</v>
      </c>
      <c r="C39" s="99" t="s">
        <v>78</v>
      </c>
      <c r="D39" s="120">
        <v>2</v>
      </c>
      <c r="E39" s="111">
        <v>2</v>
      </c>
      <c r="F39" s="96">
        <v>2400000</v>
      </c>
      <c r="G39" s="1344">
        <f t="shared" si="12"/>
        <v>4800000</v>
      </c>
      <c r="H39" s="1350">
        <v>2</v>
      </c>
      <c r="I39" s="1351"/>
      <c r="J39" s="1344">
        <f t="shared" ref="J39:J48" si="13">G39+I39</f>
        <v>4800000</v>
      </c>
      <c r="K39" s="1472"/>
      <c r="L39" s="1449">
        <f t="shared" si="6"/>
        <v>4800000</v>
      </c>
      <c r="M39" s="1472"/>
      <c r="N39" s="1449">
        <f t="shared" si="7"/>
        <v>4800000</v>
      </c>
      <c r="O39" s="1472"/>
      <c r="P39" s="1449">
        <f t="shared" si="8"/>
        <v>4800000</v>
      </c>
    </row>
    <row r="40" spans="1:16" s="184" customFormat="1" x14ac:dyDescent="0.2">
      <c r="A40" s="362">
        <v>2</v>
      </c>
      <c r="B40" s="647" t="s">
        <v>88</v>
      </c>
      <c r="C40" s="99" t="s">
        <v>645</v>
      </c>
      <c r="D40" s="111">
        <v>34</v>
      </c>
      <c r="E40" s="119">
        <v>34</v>
      </c>
      <c r="F40" s="108">
        <v>97400</v>
      </c>
      <c r="G40" s="1344">
        <f t="shared" si="12"/>
        <v>3311600</v>
      </c>
      <c r="H40" s="1350">
        <v>34.700000000000003</v>
      </c>
      <c r="I40" s="1351">
        <v>63310</v>
      </c>
      <c r="J40" s="1344">
        <f t="shared" si="13"/>
        <v>3374910</v>
      </c>
      <c r="K40" s="1472"/>
      <c r="L40" s="1449">
        <f t="shared" si="6"/>
        <v>3374910</v>
      </c>
      <c r="M40" s="1472">
        <v>974</v>
      </c>
      <c r="N40" s="1449">
        <f t="shared" si="7"/>
        <v>3375884</v>
      </c>
      <c r="O40" s="1472"/>
      <c r="P40" s="1449">
        <f t="shared" si="8"/>
        <v>3375884</v>
      </c>
    </row>
    <row r="41" spans="1:16" s="184" customFormat="1" x14ac:dyDescent="0.2">
      <c r="A41" s="362">
        <v>2</v>
      </c>
      <c r="B41" s="647" t="s">
        <v>468</v>
      </c>
      <c r="C41" s="98" t="s">
        <v>308</v>
      </c>
      <c r="D41" s="111"/>
      <c r="E41" s="106">
        <v>1</v>
      </c>
      <c r="F41" s="108">
        <v>396700</v>
      </c>
      <c r="G41" s="1344">
        <f t="shared" si="12"/>
        <v>396700</v>
      </c>
      <c r="H41" s="1350">
        <v>1</v>
      </c>
      <c r="I41" s="1351"/>
      <c r="J41" s="1344">
        <f t="shared" si="13"/>
        <v>396700</v>
      </c>
      <c r="K41" s="1472"/>
      <c r="L41" s="1449">
        <f t="shared" si="6"/>
        <v>396700</v>
      </c>
      <c r="M41" s="1472"/>
      <c r="N41" s="1449">
        <f t="shared" si="7"/>
        <v>396700</v>
      </c>
      <c r="O41" s="1472"/>
      <c r="P41" s="1449">
        <f t="shared" si="8"/>
        <v>396700</v>
      </c>
    </row>
    <row r="42" spans="1:16" s="184" customFormat="1" x14ac:dyDescent="0.2">
      <c r="A42" s="362">
        <v>2</v>
      </c>
      <c r="B42" s="647" t="s">
        <v>489</v>
      </c>
      <c r="C42" s="98" t="s">
        <v>308</v>
      </c>
      <c r="D42" s="111"/>
      <c r="E42" s="106">
        <v>0</v>
      </c>
      <c r="F42" s="108">
        <v>363642</v>
      </c>
      <c r="G42" s="1344">
        <f t="shared" si="12"/>
        <v>0</v>
      </c>
      <c r="H42" s="1350"/>
      <c r="I42" s="1351"/>
      <c r="J42" s="1344">
        <f t="shared" si="13"/>
        <v>0</v>
      </c>
      <c r="K42" s="1472"/>
      <c r="L42" s="1449">
        <f t="shared" si="6"/>
        <v>0</v>
      </c>
      <c r="M42" s="1472"/>
      <c r="N42" s="1449">
        <f t="shared" si="7"/>
        <v>0</v>
      </c>
      <c r="O42" s="1472"/>
      <c r="P42" s="1449">
        <f t="shared" si="8"/>
        <v>0</v>
      </c>
    </row>
    <row r="43" spans="1:16" s="184" customFormat="1" x14ac:dyDescent="0.2">
      <c r="A43" s="362">
        <v>2</v>
      </c>
      <c r="B43" s="647" t="s">
        <v>532</v>
      </c>
      <c r="C43" s="99" t="s">
        <v>89</v>
      </c>
      <c r="D43" s="111"/>
      <c r="E43" s="111">
        <f>29/1043*23.9</f>
        <v>0.66452540747842759</v>
      </c>
      <c r="F43" s="108">
        <v>2200000</v>
      </c>
      <c r="G43" s="1344">
        <f t="shared" si="12"/>
        <v>1461955.8964525408</v>
      </c>
      <c r="H43" s="1350">
        <v>0.61</v>
      </c>
      <c r="I43" s="1351">
        <v>-135759</v>
      </c>
      <c r="J43" s="1344">
        <f t="shared" si="13"/>
        <v>1326196.8964525408</v>
      </c>
      <c r="K43" s="1472"/>
      <c r="L43" s="1449">
        <f t="shared" si="6"/>
        <v>1326196.8964525408</v>
      </c>
      <c r="M43" s="1472"/>
      <c r="N43" s="1449">
        <f t="shared" si="7"/>
        <v>1326196.8964525408</v>
      </c>
      <c r="O43" s="1472"/>
      <c r="P43" s="1449">
        <f t="shared" si="8"/>
        <v>1326196.8964525408</v>
      </c>
    </row>
    <row r="44" spans="1:16" s="184" customFormat="1" x14ac:dyDescent="0.2">
      <c r="A44" s="362">
        <v>2</v>
      </c>
      <c r="B44" s="647" t="s">
        <v>533</v>
      </c>
      <c r="C44" s="99" t="s">
        <v>90</v>
      </c>
      <c r="D44" s="111"/>
      <c r="E44" s="111"/>
      <c r="F44" s="108"/>
      <c r="G44" s="1319">
        <v>1661233</v>
      </c>
      <c r="H44" s="111"/>
      <c r="I44" s="108">
        <f>J44-G44</f>
        <v>-239763</v>
      </c>
      <c r="J44" s="1344">
        <v>1421470</v>
      </c>
      <c r="K44" s="1472"/>
      <c r="L44" s="1449">
        <f t="shared" si="6"/>
        <v>1421470</v>
      </c>
      <c r="M44" s="1472"/>
      <c r="N44" s="1449">
        <f t="shared" si="7"/>
        <v>1421470</v>
      </c>
      <c r="O44" s="1472"/>
      <c r="P44" s="1449">
        <f t="shared" si="8"/>
        <v>1421470</v>
      </c>
    </row>
    <row r="45" spans="1:16" s="184" customFormat="1" x14ac:dyDescent="0.2">
      <c r="A45" s="362">
        <v>2</v>
      </c>
      <c r="B45" s="649" t="s">
        <v>166</v>
      </c>
      <c r="C45" s="99" t="s">
        <v>646</v>
      </c>
      <c r="D45" s="111"/>
      <c r="E45" s="111"/>
      <c r="F45" s="108"/>
      <c r="G45" s="1319"/>
      <c r="H45" s="111"/>
      <c r="I45" s="108"/>
      <c r="J45" s="1344">
        <f t="shared" si="13"/>
        <v>0</v>
      </c>
      <c r="K45" s="1472"/>
      <c r="L45" s="1449">
        <f t="shared" si="6"/>
        <v>0</v>
      </c>
      <c r="M45" s="1472"/>
      <c r="N45" s="1449">
        <f t="shared" si="7"/>
        <v>0</v>
      </c>
      <c r="O45" s="1472"/>
      <c r="P45" s="1449">
        <f t="shared" si="8"/>
        <v>0</v>
      </c>
    </row>
    <row r="46" spans="1:16" s="184" customFormat="1" x14ac:dyDescent="0.2">
      <c r="A46" s="362">
        <v>2</v>
      </c>
      <c r="B46" s="647" t="s">
        <v>87</v>
      </c>
      <c r="C46" s="99" t="s">
        <v>1019</v>
      </c>
      <c r="D46" s="1519"/>
      <c r="E46" s="1519"/>
      <c r="F46" s="1520"/>
      <c r="G46" s="1521"/>
      <c r="H46" s="111"/>
      <c r="I46" s="108"/>
      <c r="J46" s="1344"/>
      <c r="K46" s="1472">
        <v>1699482</v>
      </c>
      <c r="L46" s="1449">
        <f t="shared" ref="L46" si="14">J46+K46</f>
        <v>1699482</v>
      </c>
      <c r="M46" s="1472"/>
      <c r="N46" s="1449">
        <f t="shared" si="7"/>
        <v>1699482</v>
      </c>
      <c r="O46" s="1472"/>
      <c r="P46" s="1449">
        <f t="shared" si="8"/>
        <v>1699482</v>
      </c>
    </row>
    <row r="47" spans="1:16" s="184" customFormat="1" x14ac:dyDescent="0.2">
      <c r="A47" s="362">
        <v>2</v>
      </c>
      <c r="B47" s="647" t="s">
        <v>532</v>
      </c>
      <c r="C47" s="99" t="s">
        <v>1019</v>
      </c>
      <c r="D47" s="1519"/>
      <c r="E47" s="1519"/>
      <c r="F47" s="1520"/>
      <c r="G47" s="1521"/>
      <c r="H47" s="111"/>
      <c r="I47" s="108"/>
      <c r="J47" s="1344"/>
      <c r="K47" s="1472">
        <f>H43*176000</f>
        <v>107360</v>
      </c>
      <c r="L47" s="1449">
        <f t="shared" si="6"/>
        <v>107360</v>
      </c>
      <c r="M47" s="1472"/>
      <c r="N47" s="1449">
        <f t="shared" si="7"/>
        <v>107360</v>
      </c>
      <c r="O47" s="1472"/>
      <c r="P47" s="1449">
        <f t="shared" si="8"/>
        <v>107360</v>
      </c>
    </row>
    <row r="48" spans="1:16" s="184" customFormat="1" ht="15" x14ac:dyDescent="0.25">
      <c r="A48" s="364"/>
      <c r="B48" s="651"/>
      <c r="C48" s="267" t="s">
        <v>497</v>
      </c>
      <c r="D48" s="268"/>
      <c r="E48" s="267"/>
      <c r="F48" s="269"/>
      <c r="G48" s="1346">
        <f>SUM(G38:G45)</f>
        <v>25620288.896452542</v>
      </c>
      <c r="H48" s="117"/>
      <c r="I48" s="103">
        <f>SUM(I38:I45)</f>
        <v>124938</v>
      </c>
      <c r="J48" s="1471">
        <f t="shared" si="13"/>
        <v>25745226.896452542</v>
      </c>
      <c r="K48" s="286">
        <f>SUM(K38:K47)</f>
        <v>1806842</v>
      </c>
      <c r="L48" s="1450">
        <f t="shared" si="6"/>
        <v>27552068.896452542</v>
      </c>
      <c r="M48" s="286">
        <f>SUM(M38:M47)</f>
        <v>974</v>
      </c>
      <c r="N48" s="1450">
        <f t="shared" si="7"/>
        <v>27553042.896452542</v>
      </c>
      <c r="O48" s="286">
        <f>SUM(O38:O47)</f>
        <v>0</v>
      </c>
      <c r="P48" s="1450">
        <f t="shared" si="8"/>
        <v>27553042.896452542</v>
      </c>
    </row>
    <row r="49" spans="1:16" s="184" customFormat="1" ht="15.75" thickBot="1" x14ac:dyDescent="0.3">
      <c r="A49" s="433"/>
      <c r="B49" s="652"/>
      <c r="C49" s="434"/>
      <c r="D49" s="435"/>
      <c r="E49" s="434"/>
      <c r="F49" s="436"/>
      <c r="G49" s="1347"/>
      <c r="H49" s="435"/>
      <c r="I49" s="436"/>
      <c r="J49" s="1347"/>
      <c r="K49" s="1518"/>
      <c r="L49" s="1474">
        <f t="shared" si="6"/>
        <v>0</v>
      </c>
      <c r="M49" s="1518"/>
      <c r="N49" s="1474">
        <f t="shared" si="7"/>
        <v>0</v>
      </c>
      <c r="O49" s="1518"/>
      <c r="P49" s="1474">
        <f t="shared" si="8"/>
        <v>0</v>
      </c>
    </row>
    <row r="50" spans="1:16" s="184" customFormat="1" ht="27" thickBot="1" x14ac:dyDescent="0.3">
      <c r="A50" s="1553" t="s">
        <v>84</v>
      </c>
      <c r="B50" s="1554" t="s">
        <v>85</v>
      </c>
      <c r="C50" s="1555" t="s">
        <v>86</v>
      </c>
      <c r="D50" s="1571"/>
      <c r="E50" s="1572" t="s">
        <v>56</v>
      </c>
      <c r="F50" s="1573" t="s">
        <v>57</v>
      </c>
      <c r="G50" s="1559" t="s">
        <v>331</v>
      </c>
      <c r="H50" s="1560" t="s">
        <v>988</v>
      </c>
      <c r="I50" s="1574" t="s">
        <v>985</v>
      </c>
      <c r="J50" s="1575" t="s">
        <v>986</v>
      </c>
      <c r="K50" s="1576" t="s">
        <v>1017</v>
      </c>
      <c r="L50" s="1577" t="s">
        <v>1018</v>
      </c>
      <c r="M50" s="1576" t="s">
        <v>1042</v>
      </c>
      <c r="N50" s="1578" t="s">
        <v>1043</v>
      </c>
      <c r="O50" s="1563" t="s">
        <v>1097</v>
      </c>
      <c r="P50" s="1564" t="s">
        <v>1098</v>
      </c>
    </row>
    <row r="51" spans="1:16" s="184" customFormat="1" ht="42.75" x14ac:dyDescent="0.2">
      <c r="A51" s="1545">
        <v>2</v>
      </c>
      <c r="B51" s="1567" t="s">
        <v>534</v>
      </c>
      <c r="C51" s="1568" t="s">
        <v>469</v>
      </c>
      <c r="D51" s="742"/>
      <c r="E51" s="746">
        <v>3</v>
      </c>
      <c r="F51" s="1569">
        <f>'[4]2b. tábla (3)'!D60</f>
        <v>4419000</v>
      </c>
      <c r="G51" s="1570">
        <f>F51*E51</f>
        <v>13257000</v>
      </c>
      <c r="H51" s="742">
        <v>3</v>
      </c>
      <c r="I51" s="1569"/>
      <c r="J51" s="1570">
        <f>G51+I51</f>
        <v>13257000</v>
      </c>
      <c r="K51" s="1551"/>
      <c r="L51" s="1552">
        <f t="shared" si="6"/>
        <v>13257000</v>
      </c>
      <c r="M51" s="1565"/>
      <c r="N51" s="1449">
        <f t="shared" ref="N51:N94" si="15">L51+M51</f>
        <v>13257000</v>
      </c>
      <c r="O51" s="1565"/>
      <c r="P51" s="1449">
        <f t="shared" ref="P51:P94" si="16">N51+O51</f>
        <v>13257000</v>
      </c>
    </row>
    <row r="52" spans="1:16" s="184" customFormat="1" ht="42.75" x14ac:dyDescent="0.2">
      <c r="A52" s="362">
        <v>2</v>
      </c>
      <c r="B52" s="397" t="s">
        <v>535</v>
      </c>
      <c r="C52" s="121" t="s">
        <v>470</v>
      </c>
      <c r="D52" s="111"/>
      <c r="E52" s="106">
        <v>5.5</v>
      </c>
      <c r="F52" s="108">
        <f>'[4]2b. tábla (3)'!D61</f>
        <v>2993000</v>
      </c>
      <c r="G52" s="1319">
        <f>F52*E52</f>
        <v>16461500</v>
      </c>
      <c r="H52" s="111">
        <v>5.5</v>
      </c>
      <c r="I52" s="108"/>
      <c r="J52" s="1319">
        <f t="shared" ref="J52:J61" si="17">G52+I52</f>
        <v>16461500</v>
      </c>
      <c r="K52" s="1472"/>
      <c r="L52" s="1449">
        <f t="shared" si="6"/>
        <v>16461500</v>
      </c>
      <c r="M52" s="1472"/>
      <c r="N52" s="1449">
        <f t="shared" si="15"/>
        <v>16461500</v>
      </c>
      <c r="O52" s="1472"/>
      <c r="P52" s="1449">
        <f t="shared" si="16"/>
        <v>16461500</v>
      </c>
    </row>
    <row r="53" spans="1:16" s="184" customFormat="1" x14ac:dyDescent="0.2">
      <c r="A53" s="362">
        <v>2</v>
      </c>
      <c r="B53" s="397" t="s">
        <v>536</v>
      </c>
      <c r="C53" s="99" t="s">
        <v>537</v>
      </c>
      <c r="D53" s="111"/>
      <c r="E53" s="106"/>
      <c r="F53" s="108"/>
      <c r="G53" s="1319">
        <v>11521000</v>
      </c>
      <c r="H53" s="111"/>
      <c r="I53" s="108">
        <v>-2107000</v>
      </c>
      <c r="J53" s="1319">
        <f t="shared" si="17"/>
        <v>9414000</v>
      </c>
      <c r="K53" s="1472"/>
      <c r="L53" s="1449">
        <f t="shared" si="6"/>
        <v>9414000</v>
      </c>
      <c r="M53" s="1472"/>
      <c r="N53" s="1449">
        <f t="shared" si="15"/>
        <v>9414000</v>
      </c>
      <c r="O53" s="1472"/>
      <c r="P53" s="1449">
        <f t="shared" si="16"/>
        <v>9414000</v>
      </c>
    </row>
    <row r="54" spans="1:16" s="184" customFormat="1" x14ac:dyDescent="0.2">
      <c r="A54" s="362">
        <v>2</v>
      </c>
      <c r="B54" s="397" t="s">
        <v>532</v>
      </c>
      <c r="C54" s="99" t="s">
        <v>89</v>
      </c>
      <c r="D54" s="111"/>
      <c r="E54" s="106">
        <f>37/1043*23.9</f>
        <v>0.84784276126558</v>
      </c>
      <c r="F54" s="108">
        <v>2200000</v>
      </c>
      <c r="G54" s="1344">
        <f>E54*F54</f>
        <v>1865254.0747842761</v>
      </c>
      <c r="H54" s="1350">
        <v>0.79</v>
      </c>
      <c r="I54" s="1351">
        <v>-134218</v>
      </c>
      <c r="J54" s="1319">
        <f t="shared" si="17"/>
        <v>1731036.0747842761</v>
      </c>
      <c r="K54" s="1472"/>
      <c r="L54" s="1449">
        <f t="shared" si="6"/>
        <v>1731036.0747842761</v>
      </c>
      <c r="M54" s="1472"/>
      <c r="N54" s="1449">
        <f t="shared" si="15"/>
        <v>1731036.0747842761</v>
      </c>
      <c r="O54" s="1472"/>
      <c r="P54" s="1449">
        <f t="shared" si="16"/>
        <v>1731036.0747842761</v>
      </c>
    </row>
    <row r="55" spans="1:16" s="184" customFormat="1" x14ac:dyDescent="0.2">
      <c r="A55" s="362">
        <v>2</v>
      </c>
      <c r="B55" s="397" t="s">
        <v>533</v>
      </c>
      <c r="C55" s="99" t="s">
        <v>90</v>
      </c>
      <c r="D55" s="111"/>
      <c r="E55" s="106"/>
      <c r="F55" s="108"/>
      <c r="G55" s="1319">
        <v>2060701</v>
      </c>
      <c r="H55" s="111"/>
      <c r="I55" s="108">
        <f>J55-G55</f>
        <v>-239439</v>
      </c>
      <c r="J55" s="1319">
        <v>1821262</v>
      </c>
      <c r="K55" s="1472"/>
      <c r="L55" s="1449">
        <f t="shared" si="6"/>
        <v>1821262</v>
      </c>
      <c r="M55" s="1472"/>
      <c r="N55" s="1449">
        <f t="shared" si="15"/>
        <v>1821262</v>
      </c>
      <c r="O55" s="1472"/>
      <c r="P55" s="1449">
        <f t="shared" si="16"/>
        <v>1821262</v>
      </c>
    </row>
    <row r="56" spans="1:16" s="184" customFormat="1" x14ac:dyDescent="0.2">
      <c r="A56" s="402">
        <v>2</v>
      </c>
      <c r="B56" s="649" t="s">
        <v>166</v>
      </c>
      <c r="C56" s="99" t="s">
        <v>646</v>
      </c>
      <c r="D56" s="111"/>
      <c r="E56" s="106"/>
      <c r="F56" s="108"/>
      <c r="G56" s="1319"/>
      <c r="H56" s="111"/>
      <c r="I56" s="108">
        <v>80136</v>
      </c>
      <c r="J56" s="1319">
        <f t="shared" si="17"/>
        <v>80136</v>
      </c>
      <c r="K56" s="1472">
        <f>24232+12012</f>
        <v>36244</v>
      </c>
      <c r="L56" s="1449">
        <f t="shared" si="6"/>
        <v>116380</v>
      </c>
      <c r="M56" s="1472">
        <v>36036</v>
      </c>
      <c r="N56" s="1449">
        <f t="shared" si="15"/>
        <v>152416</v>
      </c>
      <c r="O56" s="1472"/>
      <c r="P56" s="1449">
        <f t="shared" si="16"/>
        <v>152416</v>
      </c>
    </row>
    <row r="57" spans="1:16" s="184" customFormat="1" x14ac:dyDescent="0.2">
      <c r="A57" s="402">
        <v>2</v>
      </c>
      <c r="B57" s="647" t="s">
        <v>538</v>
      </c>
      <c r="C57" s="121" t="s">
        <v>529</v>
      </c>
      <c r="D57" s="111"/>
      <c r="E57" s="106"/>
      <c r="F57" s="108"/>
      <c r="G57" s="1319"/>
      <c r="H57" s="111"/>
      <c r="I57" s="108">
        <v>192551</v>
      </c>
      <c r="J57" s="1319">
        <f t="shared" si="17"/>
        <v>192551</v>
      </c>
      <c r="K57" s="1472">
        <f>44260+21940</f>
        <v>66200</v>
      </c>
      <c r="L57" s="1449">
        <f t="shared" si="6"/>
        <v>258751</v>
      </c>
      <c r="M57" s="1472">
        <v>65820</v>
      </c>
      <c r="N57" s="1449">
        <f t="shared" si="15"/>
        <v>324571</v>
      </c>
      <c r="O57" s="1472"/>
      <c r="P57" s="1449">
        <f t="shared" si="16"/>
        <v>324571</v>
      </c>
    </row>
    <row r="58" spans="1:16" s="184" customFormat="1" x14ac:dyDescent="0.2">
      <c r="A58" s="402"/>
      <c r="B58" s="1522"/>
      <c r="C58" s="121" t="s">
        <v>1026</v>
      </c>
      <c r="D58" s="111"/>
      <c r="E58" s="106"/>
      <c r="F58" s="108"/>
      <c r="G58" s="1319"/>
      <c r="H58" s="111"/>
      <c r="I58" s="108"/>
      <c r="J58" s="1319"/>
      <c r="K58" s="1472">
        <v>1252000</v>
      </c>
      <c r="L58" s="1449">
        <f t="shared" si="6"/>
        <v>1252000</v>
      </c>
      <c r="M58" s="1472"/>
      <c r="N58" s="1449">
        <f t="shared" si="15"/>
        <v>1252000</v>
      </c>
      <c r="O58" s="1472"/>
      <c r="P58" s="1449">
        <f t="shared" si="16"/>
        <v>1252000</v>
      </c>
    </row>
    <row r="59" spans="1:16" s="184" customFormat="1" x14ac:dyDescent="0.2">
      <c r="A59" s="402"/>
      <c r="B59" s="1522"/>
      <c r="C59" s="121" t="s">
        <v>1026</v>
      </c>
      <c r="D59" s="111"/>
      <c r="E59" s="106"/>
      <c r="F59" s="108"/>
      <c r="G59" s="1319"/>
      <c r="H59" s="111"/>
      <c r="I59" s="108"/>
      <c r="J59" s="1319"/>
      <c r="K59" s="1472">
        <v>2871000</v>
      </c>
      <c r="L59" s="1449">
        <f t="shared" si="6"/>
        <v>2871000</v>
      </c>
      <c r="M59" s="1472"/>
      <c r="N59" s="1449">
        <f t="shared" si="15"/>
        <v>2871000</v>
      </c>
      <c r="O59" s="1472"/>
      <c r="P59" s="1449">
        <f t="shared" si="16"/>
        <v>2871000</v>
      </c>
    </row>
    <row r="60" spans="1:16" s="184" customFormat="1" x14ac:dyDescent="0.2">
      <c r="A60" s="362">
        <v>2</v>
      </c>
      <c r="B60" s="397" t="s">
        <v>532</v>
      </c>
      <c r="C60" s="121" t="s">
        <v>1026</v>
      </c>
      <c r="D60" s="111"/>
      <c r="E60" s="106"/>
      <c r="F60" s="108"/>
      <c r="G60" s="1319"/>
      <c r="H60" s="111"/>
      <c r="I60" s="108"/>
      <c r="J60" s="1319"/>
      <c r="K60" s="1472">
        <f>H54*176000</f>
        <v>139040</v>
      </c>
      <c r="L60" s="1449">
        <f t="shared" si="6"/>
        <v>139040</v>
      </c>
      <c r="M60" s="1472"/>
      <c r="N60" s="1449">
        <f t="shared" si="15"/>
        <v>139040</v>
      </c>
      <c r="O60" s="1472"/>
      <c r="P60" s="1449">
        <f t="shared" si="16"/>
        <v>139040</v>
      </c>
    </row>
    <row r="61" spans="1:16" s="184" customFormat="1" ht="15" x14ac:dyDescent="0.25">
      <c r="A61" s="402"/>
      <c r="B61" s="653"/>
      <c r="C61" s="100" t="s">
        <v>493</v>
      </c>
      <c r="D61" s="117"/>
      <c r="E61" s="100"/>
      <c r="F61" s="103"/>
      <c r="G61" s="1345">
        <f>SUM(G51:G57)</f>
        <v>45165455.074784279</v>
      </c>
      <c r="H61" s="117"/>
      <c r="I61" s="103">
        <f>SUM(I51:I57)</f>
        <v>-2207970</v>
      </c>
      <c r="J61" s="1345">
        <f t="shared" si="17"/>
        <v>42957485.074784279</v>
      </c>
      <c r="K61" s="286">
        <f>SUM(K51:K60)</f>
        <v>4364484</v>
      </c>
      <c r="L61" s="1450">
        <f t="shared" si="6"/>
        <v>47321969.074784279</v>
      </c>
      <c r="M61" s="286">
        <f>SUM(M51:M60)</f>
        <v>101856</v>
      </c>
      <c r="N61" s="1450">
        <f t="shared" si="15"/>
        <v>47423825.074784279</v>
      </c>
      <c r="O61" s="286">
        <f>SUM(O51:O60)</f>
        <v>0</v>
      </c>
      <c r="P61" s="1450">
        <f t="shared" si="16"/>
        <v>47423825.074784279</v>
      </c>
    </row>
    <row r="62" spans="1:16" s="184" customFormat="1" ht="15" x14ac:dyDescent="0.25">
      <c r="A62" s="362"/>
      <c r="B62" s="653"/>
      <c r="C62" s="398"/>
      <c r="D62" s="399"/>
      <c r="E62" s="398"/>
      <c r="F62" s="401"/>
      <c r="G62" s="1443"/>
      <c r="H62" s="117"/>
      <c r="I62" s="103"/>
      <c r="J62" s="1345"/>
      <c r="K62" s="1472"/>
      <c r="L62" s="1449">
        <f t="shared" si="6"/>
        <v>0</v>
      </c>
      <c r="M62" s="1472"/>
      <c r="N62" s="1449">
        <f t="shared" si="15"/>
        <v>0</v>
      </c>
      <c r="O62" s="1472"/>
      <c r="P62" s="1449">
        <f t="shared" si="16"/>
        <v>0</v>
      </c>
    </row>
    <row r="63" spans="1:16" s="184" customFormat="1" ht="15" x14ac:dyDescent="0.25">
      <c r="A63" s="362"/>
      <c r="B63" s="647" t="s">
        <v>92</v>
      </c>
      <c r="C63" s="398" t="s">
        <v>93</v>
      </c>
      <c r="D63" s="399"/>
      <c r="E63" s="400"/>
      <c r="F63" s="401"/>
      <c r="G63" s="1348"/>
      <c r="H63" s="1352"/>
      <c r="I63" s="1353"/>
      <c r="J63" s="1468"/>
      <c r="K63" s="1472"/>
      <c r="L63" s="1449">
        <f t="shared" si="6"/>
        <v>0</v>
      </c>
      <c r="M63" s="1472"/>
      <c r="N63" s="1449">
        <f t="shared" si="15"/>
        <v>0</v>
      </c>
      <c r="O63" s="1472"/>
      <c r="P63" s="1449">
        <f t="shared" si="16"/>
        <v>0</v>
      </c>
    </row>
    <row r="64" spans="1:16" s="184" customFormat="1" x14ac:dyDescent="0.2">
      <c r="A64" s="437">
        <v>2</v>
      </c>
      <c r="B64" s="654" t="s">
        <v>647</v>
      </c>
      <c r="C64" s="114" t="s">
        <v>350</v>
      </c>
      <c r="D64" s="118"/>
      <c r="E64" s="106">
        <v>7.6</v>
      </c>
      <c r="F64" s="96">
        <v>3400000</v>
      </c>
      <c r="G64" s="1319">
        <v>25840000</v>
      </c>
      <c r="H64" s="111">
        <v>7.4</v>
      </c>
      <c r="I64" s="108">
        <v>2132000</v>
      </c>
      <c r="J64" s="1319">
        <f>I64+G64</f>
        <v>27972000</v>
      </c>
      <c r="K64" s="1472"/>
      <c r="L64" s="1449">
        <f t="shared" si="6"/>
        <v>27972000</v>
      </c>
      <c r="M64" s="1472"/>
      <c r="N64" s="1449">
        <f t="shared" si="15"/>
        <v>27972000</v>
      </c>
      <c r="O64" s="1472"/>
      <c r="P64" s="1449">
        <f t="shared" si="16"/>
        <v>27972000</v>
      </c>
    </row>
    <row r="65" spans="1:16" s="184" customFormat="1" x14ac:dyDescent="0.2">
      <c r="A65" s="362">
        <v>2</v>
      </c>
      <c r="B65" s="654" t="s">
        <v>648</v>
      </c>
      <c r="C65" s="114" t="s">
        <v>351</v>
      </c>
      <c r="D65" s="118"/>
      <c r="E65" s="106">
        <v>4.7</v>
      </c>
      <c r="F65" s="96">
        <v>3300000</v>
      </c>
      <c r="G65" s="1319">
        <f>E65*F65</f>
        <v>15510000</v>
      </c>
      <c r="H65" s="111">
        <v>4.7</v>
      </c>
      <c r="I65" s="108"/>
      <c r="J65" s="1319">
        <f t="shared" ref="J65:J83" si="18">I65+G65</f>
        <v>15510000</v>
      </c>
      <c r="K65" s="1472"/>
      <c r="L65" s="1449">
        <f t="shared" si="6"/>
        <v>15510000</v>
      </c>
      <c r="M65" s="1472"/>
      <c r="N65" s="1449">
        <f t="shared" si="15"/>
        <v>15510000</v>
      </c>
      <c r="O65" s="1472"/>
      <c r="P65" s="1449">
        <f t="shared" si="16"/>
        <v>15510000</v>
      </c>
    </row>
    <row r="66" spans="1:16" s="184" customFormat="1" x14ac:dyDescent="0.2">
      <c r="A66" s="437">
        <v>2</v>
      </c>
      <c r="B66" s="647" t="s">
        <v>94</v>
      </c>
      <c r="C66" s="99" t="s">
        <v>70</v>
      </c>
      <c r="D66" s="108"/>
      <c r="E66" s="108">
        <v>79</v>
      </c>
      <c r="F66" s="96">
        <v>65360</v>
      </c>
      <c r="G66" s="1319">
        <f>E66*F66</f>
        <v>5163440</v>
      </c>
      <c r="H66" s="111">
        <v>79</v>
      </c>
      <c r="I66" s="108"/>
      <c r="J66" s="1319">
        <f t="shared" si="18"/>
        <v>5163440</v>
      </c>
      <c r="K66" s="1472"/>
      <c r="L66" s="1449">
        <f t="shared" si="6"/>
        <v>5163440</v>
      </c>
      <c r="M66" s="1472">
        <v>-457520</v>
      </c>
      <c r="N66" s="1449">
        <f t="shared" si="15"/>
        <v>4705920</v>
      </c>
      <c r="O66" s="1472"/>
      <c r="P66" s="1449">
        <f t="shared" si="16"/>
        <v>4705920</v>
      </c>
    </row>
    <row r="67" spans="1:16" s="184" customFormat="1" x14ac:dyDescent="0.2">
      <c r="A67" s="362">
        <v>2</v>
      </c>
      <c r="B67" s="397" t="s">
        <v>511</v>
      </c>
      <c r="C67" s="99" t="s">
        <v>454</v>
      </c>
      <c r="D67" s="108"/>
      <c r="E67" s="108">
        <v>2</v>
      </c>
      <c r="F67" s="96">
        <v>25000</v>
      </c>
      <c r="G67" s="1319">
        <f>E67*F67</f>
        <v>50000</v>
      </c>
      <c r="H67" s="111">
        <v>1</v>
      </c>
      <c r="I67" s="108">
        <v>-25000</v>
      </c>
      <c r="J67" s="1319">
        <f t="shared" si="18"/>
        <v>25000</v>
      </c>
      <c r="K67" s="1472"/>
      <c r="L67" s="1449">
        <f t="shared" si="6"/>
        <v>25000</v>
      </c>
      <c r="M67" s="1472"/>
      <c r="N67" s="1449">
        <f t="shared" si="15"/>
        <v>25000</v>
      </c>
      <c r="O67" s="1472"/>
      <c r="P67" s="1449">
        <f t="shared" si="16"/>
        <v>25000</v>
      </c>
    </row>
    <row r="68" spans="1:16" s="184" customFormat="1" ht="27" customHeight="1" x14ac:dyDescent="0.2">
      <c r="A68" s="362">
        <v>2</v>
      </c>
      <c r="B68" s="438" t="s">
        <v>649</v>
      </c>
      <c r="C68" s="121" t="s">
        <v>510</v>
      </c>
      <c r="D68" s="108"/>
      <c r="E68" s="108">
        <v>28</v>
      </c>
      <c r="F68" s="96">
        <v>429000</v>
      </c>
      <c r="G68" s="1319">
        <f>F68*E68</f>
        <v>12012000</v>
      </c>
      <c r="H68" s="111">
        <v>20</v>
      </c>
      <c r="I68" s="108">
        <v>-3432000</v>
      </c>
      <c r="J68" s="1319">
        <f t="shared" si="18"/>
        <v>8580000</v>
      </c>
      <c r="K68" s="1472"/>
      <c r="L68" s="1449">
        <f t="shared" si="6"/>
        <v>8580000</v>
      </c>
      <c r="M68" s="1472"/>
      <c r="N68" s="1449">
        <f t="shared" si="15"/>
        <v>8580000</v>
      </c>
      <c r="O68" s="1472"/>
      <c r="P68" s="1449">
        <f t="shared" si="16"/>
        <v>8580000</v>
      </c>
    </row>
    <row r="69" spans="1:16" s="184" customFormat="1" ht="28.5" x14ac:dyDescent="0.2">
      <c r="A69" s="362">
        <v>2</v>
      </c>
      <c r="B69" s="397" t="s">
        <v>95</v>
      </c>
      <c r="C69" s="121" t="s">
        <v>352</v>
      </c>
      <c r="D69" s="108"/>
      <c r="E69" s="108">
        <v>43</v>
      </c>
      <c r="F69" s="109">
        <v>285000</v>
      </c>
      <c r="G69" s="1319">
        <f>F69*E69</f>
        <v>12255000</v>
      </c>
      <c r="H69" s="111">
        <v>39</v>
      </c>
      <c r="I69" s="108">
        <v>-1140000</v>
      </c>
      <c r="J69" s="1319">
        <f t="shared" si="18"/>
        <v>11115000</v>
      </c>
      <c r="K69" s="1472"/>
      <c r="L69" s="1449">
        <f t="shared" si="6"/>
        <v>11115000</v>
      </c>
      <c r="M69" s="1472"/>
      <c r="N69" s="1449">
        <f t="shared" si="15"/>
        <v>11115000</v>
      </c>
      <c r="O69" s="1472"/>
      <c r="P69" s="1449">
        <f t="shared" si="16"/>
        <v>11115000</v>
      </c>
    </row>
    <row r="70" spans="1:16" s="184" customFormat="1" ht="28.5" x14ac:dyDescent="0.2">
      <c r="A70" s="362">
        <v>2</v>
      </c>
      <c r="B70" s="397" t="s">
        <v>96</v>
      </c>
      <c r="C70" s="122" t="s">
        <v>71</v>
      </c>
      <c r="D70" s="115"/>
      <c r="E70" s="115"/>
      <c r="F70" s="116"/>
      <c r="G70" s="1349">
        <f>G71+G72+G73</f>
        <v>25920180</v>
      </c>
      <c r="H70" s="1349">
        <f t="shared" ref="H70:I70" si="19">H71+H72+H73</f>
        <v>32</v>
      </c>
      <c r="I70" s="1349">
        <f t="shared" si="19"/>
        <v>-6214780</v>
      </c>
      <c r="J70" s="1319">
        <f t="shared" si="18"/>
        <v>19705400</v>
      </c>
      <c r="K70" s="1472"/>
      <c r="L70" s="1449">
        <f t="shared" si="6"/>
        <v>19705400</v>
      </c>
      <c r="M70" s="1472"/>
      <c r="N70" s="1449">
        <f t="shared" si="15"/>
        <v>19705400</v>
      </c>
      <c r="O70" s="1472"/>
      <c r="P70" s="1449">
        <f t="shared" si="16"/>
        <v>19705400</v>
      </c>
    </row>
    <row r="71" spans="1:16" s="184" customFormat="1" x14ac:dyDescent="0.2">
      <c r="A71" s="362">
        <v>2</v>
      </c>
      <c r="B71" s="647" t="s">
        <v>512</v>
      </c>
      <c r="C71" s="99" t="s">
        <v>72</v>
      </c>
      <c r="D71" s="108"/>
      <c r="E71" s="108">
        <v>20</v>
      </c>
      <c r="F71" s="96">
        <v>757900</v>
      </c>
      <c r="G71" s="1319">
        <f>F71*E71</f>
        <v>15158000</v>
      </c>
      <c r="H71" s="111">
        <v>15</v>
      </c>
      <c r="I71" s="108">
        <v>-3789500</v>
      </c>
      <c r="J71" s="1319">
        <f t="shared" si="18"/>
        <v>11368500</v>
      </c>
      <c r="K71" s="1472"/>
      <c r="L71" s="1449">
        <f t="shared" si="6"/>
        <v>11368500</v>
      </c>
      <c r="M71" s="1472"/>
      <c r="N71" s="1449">
        <f t="shared" si="15"/>
        <v>11368500</v>
      </c>
      <c r="O71" s="1472"/>
      <c r="P71" s="1449">
        <f t="shared" si="16"/>
        <v>11368500</v>
      </c>
    </row>
    <row r="72" spans="1:16" s="184" customFormat="1" ht="28.5" x14ac:dyDescent="0.2">
      <c r="A72" s="362"/>
      <c r="B72" s="647" t="s">
        <v>513</v>
      </c>
      <c r="C72" s="121" t="s">
        <v>73</v>
      </c>
      <c r="D72" s="108"/>
      <c r="E72" s="108">
        <v>17</v>
      </c>
      <c r="F72" s="96">
        <v>454740</v>
      </c>
      <c r="G72" s="1319">
        <f>F72*E72</f>
        <v>7730580</v>
      </c>
      <c r="H72" s="111">
        <v>15</v>
      </c>
      <c r="I72" s="108">
        <v>-909480</v>
      </c>
      <c r="J72" s="1319">
        <f t="shared" si="18"/>
        <v>6821100</v>
      </c>
      <c r="K72" s="1472"/>
      <c r="L72" s="1449">
        <f t="shared" si="6"/>
        <v>6821100</v>
      </c>
      <c r="M72" s="1472"/>
      <c r="N72" s="1449">
        <f t="shared" si="15"/>
        <v>6821100</v>
      </c>
      <c r="O72" s="1472"/>
      <c r="P72" s="1449">
        <f t="shared" si="16"/>
        <v>6821100</v>
      </c>
    </row>
    <row r="73" spans="1:16" s="184" customFormat="1" ht="28.5" x14ac:dyDescent="0.2">
      <c r="A73" s="362">
        <v>2</v>
      </c>
      <c r="B73" s="647" t="s">
        <v>514</v>
      </c>
      <c r="C73" s="342" t="s">
        <v>307</v>
      </c>
      <c r="D73" s="108"/>
      <c r="E73" s="108">
        <v>4</v>
      </c>
      <c r="F73" s="96">
        <v>757900</v>
      </c>
      <c r="G73" s="1319">
        <f>F73*E73</f>
        <v>3031600</v>
      </c>
      <c r="H73" s="111">
        <v>2</v>
      </c>
      <c r="I73" s="108">
        <v>-1515800</v>
      </c>
      <c r="J73" s="1319">
        <f t="shared" si="18"/>
        <v>1515800</v>
      </c>
      <c r="K73" s="1472"/>
      <c r="L73" s="1449">
        <f t="shared" si="6"/>
        <v>1515800</v>
      </c>
      <c r="M73" s="1472"/>
      <c r="N73" s="1449">
        <f t="shared" si="15"/>
        <v>1515800</v>
      </c>
      <c r="O73" s="1472"/>
      <c r="P73" s="1449">
        <f t="shared" si="16"/>
        <v>1515800</v>
      </c>
    </row>
    <row r="74" spans="1:16" s="184" customFormat="1" x14ac:dyDescent="0.2">
      <c r="A74" s="362">
        <v>2</v>
      </c>
      <c r="B74" s="647" t="s">
        <v>650</v>
      </c>
      <c r="C74" s="110" t="s">
        <v>526</v>
      </c>
      <c r="D74" s="108"/>
      <c r="E74" s="108"/>
      <c r="F74" s="96"/>
      <c r="G74" s="1319">
        <v>12442390</v>
      </c>
      <c r="H74" s="111"/>
      <c r="I74" s="108"/>
      <c r="J74" s="1319">
        <f t="shared" si="18"/>
        <v>12442390</v>
      </c>
      <c r="K74" s="1472"/>
      <c r="L74" s="1449">
        <f t="shared" si="6"/>
        <v>12442390</v>
      </c>
      <c r="M74" s="1472"/>
      <c r="N74" s="1449">
        <f t="shared" si="15"/>
        <v>12442390</v>
      </c>
      <c r="O74" s="1472"/>
      <c r="P74" s="1449">
        <f t="shared" si="16"/>
        <v>12442390</v>
      </c>
    </row>
    <row r="75" spans="1:16" s="184" customFormat="1" x14ac:dyDescent="0.2">
      <c r="A75" s="362">
        <v>2</v>
      </c>
      <c r="B75" s="649" t="s">
        <v>166</v>
      </c>
      <c r="C75" s="99" t="s">
        <v>646</v>
      </c>
      <c r="D75" s="108"/>
      <c r="E75" s="108"/>
      <c r="F75" s="96"/>
      <c r="G75" s="1319"/>
      <c r="H75" s="111"/>
      <c r="I75" s="108">
        <v>651658</v>
      </c>
      <c r="J75" s="1319">
        <f t="shared" si="18"/>
        <v>651658</v>
      </c>
      <c r="K75" s="1472">
        <f>206204+102217</f>
        <v>308421</v>
      </c>
      <c r="L75" s="1449">
        <f t="shared" si="6"/>
        <v>960079</v>
      </c>
      <c r="M75" s="1472">
        <v>287840</v>
      </c>
      <c r="N75" s="1449">
        <f t="shared" si="15"/>
        <v>1247919</v>
      </c>
      <c r="O75" s="1472"/>
      <c r="P75" s="1449">
        <f t="shared" si="16"/>
        <v>1247919</v>
      </c>
    </row>
    <row r="76" spans="1:16" s="184" customFormat="1" x14ac:dyDescent="0.2">
      <c r="A76" s="362">
        <v>2</v>
      </c>
      <c r="B76" s="647" t="s">
        <v>538</v>
      </c>
      <c r="C76" s="121" t="s">
        <v>529</v>
      </c>
      <c r="D76" s="108"/>
      <c r="E76" s="108"/>
      <c r="F76" s="96"/>
      <c r="G76" s="1319"/>
      <c r="H76" s="111"/>
      <c r="I76" s="108">
        <v>15841719</v>
      </c>
      <c r="J76" s="1319">
        <f t="shared" si="18"/>
        <v>15841719</v>
      </c>
      <c r="K76" s="1472">
        <f>5575743+2642752</f>
        <v>8218495</v>
      </c>
      <c r="L76" s="1449">
        <f t="shared" si="6"/>
        <v>24060214</v>
      </c>
      <c r="M76" s="1472">
        <v>8496038</v>
      </c>
      <c r="N76" s="1449">
        <f t="shared" si="15"/>
        <v>32556252</v>
      </c>
      <c r="O76" s="1472"/>
      <c r="P76" s="1449">
        <f t="shared" si="16"/>
        <v>32556252</v>
      </c>
    </row>
    <row r="77" spans="1:16" s="184" customFormat="1" x14ac:dyDescent="0.2">
      <c r="A77" s="362"/>
      <c r="B77" s="647"/>
      <c r="C77" s="121" t="s">
        <v>1026</v>
      </c>
      <c r="D77" s="108"/>
      <c r="E77" s="108"/>
      <c r="F77" s="96"/>
      <c r="G77" s="1319"/>
      <c r="H77" s="1523"/>
      <c r="I77" s="1319"/>
      <c r="J77" s="1319"/>
      <c r="K77" s="1472">
        <v>7759300</v>
      </c>
      <c r="L77" s="1449">
        <f t="shared" si="6"/>
        <v>7759300</v>
      </c>
      <c r="M77" s="1472"/>
      <c r="N77" s="1449">
        <f t="shared" si="15"/>
        <v>7759300</v>
      </c>
      <c r="O77" s="1472"/>
      <c r="P77" s="1449">
        <f t="shared" si="16"/>
        <v>7759300</v>
      </c>
    </row>
    <row r="78" spans="1:16" s="184" customFormat="1" ht="15" x14ac:dyDescent="0.25">
      <c r="A78" s="362">
        <v>2</v>
      </c>
      <c r="B78" s="650"/>
      <c r="C78" s="100" t="s">
        <v>496</v>
      </c>
      <c r="D78" s="123"/>
      <c r="E78" s="103"/>
      <c r="F78" s="104"/>
      <c r="G78" s="1345">
        <f>G64+G65+G66+G67+G69+G70+G68+G75+G76+G74</f>
        <v>109193010</v>
      </c>
      <c r="H78" s="1345"/>
      <c r="I78" s="1345">
        <f t="shared" ref="I78" si="20">I64+I65+I66+I67+I69+I70+I68+I75+I76+I74</f>
        <v>7813597</v>
      </c>
      <c r="J78" s="1345">
        <f t="shared" si="18"/>
        <v>117006607</v>
      </c>
      <c r="K78" s="286">
        <f>K64+K65+K66+K67+K69+K70+K68+K75+K76+K74+K77</f>
        <v>16286216</v>
      </c>
      <c r="L78" s="1450">
        <f t="shared" si="6"/>
        <v>133292823</v>
      </c>
      <c r="M78" s="286">
        <f>M64+M65+M66+M67+M69+M70+M68+M75+M76+M74+M77</f>
        <v>8326358</v>
      </c>
      <c r="N78" s="1450">
        <f t="shared" si="15"/>
        <v>141619181</v>
      </c>
      <c r="O78" s="286">
        <f>O64+O65+O66+O67+O69+O70+O68+O75+O76+O74+O77</f>
        <v>0</v>
      </c>
      <c r="P78" s="1450">
        <f t="shared" si="16"/>
        <v>141619181</v>
      </c>
    </row>
    <row r="79" spans="1:16" s="184" customFormat="1" ht="15" x14ac:dyDescent="0.25">
      <c r="A79" s="362"/>
      <c r="B79" s="647"/>
      <c r="C79" s="100"/>
      <c r="D79" s="123"/>
      <c r="E79" s="100"/>
      <c r="F79" s="103"/>
      <c r="G79" s="1345"/>
      <c r="H79" s="117"/>
      <c r="I79" s="103"/>
      <c r="J79" s="1319">
        <f t="shared" si="18"/>
        <v>0</v>
      </c>
      <c r="K79" s="1472"/>
      <c r="L79" s="1449">
        <f t="shared" si="6"/>
        <v>0</v>
      </c>
      <c r="M79" s="1472"/>
      <c r="N79" s="1449">
        <f t="shared" si="15"/>
        <v>0</v>
      </c>
      <c r="O79" s="1472"/>
      <c r="P79" s="1449">
        <f t="shared" si="16"/>
        <v>0</v>
      </c>
    </row>
    <row r="80" spans="1:16" s="184" customFormat="1" ht="15" x14ac:dyDescent="0.25">
      <c r="A80" s="362">
        <v>2</v>
      </c>
      <c r="B80" s="647" t="s">
        <v>471</v>
      </c>
      <c r="C80" s="99" t="s">
        <v>97</v>
      </c>
      <c r="D80" s="117"/>
      <c r="E80" s="99">
        <v>39.18</v>
      </c>
      <c r="F80" s="108">
        <v>4580000</v>
      </c>
      <c r="G80" s="1319">
        <f>E80*F80</f>
        <v>179444400</v>
      </c>
      <c r="H80" s="111"/>
      <c r="I80" s="108">
        <v>35293127</v>
      </c>
      <c r="J80" s="1319">
        <f t="shared" si="18"/>
        <v>214737527</v>
      </c>
      <c r="K80" s="1472"/>
      <c r="L80" s="1449">
        <f t="shared" si="6"/>
        <v>214737527</v>
      </c>
      <c r="M80" s="1472"/>
      <c r="N80" s="1449">
        <f t="shared" si="15"/>
        <v>214737527</v>
      </c>
      <c r="O80" s="1472"/>
      <c r="P80" s="1449">
        <f t="shared" si="16"/>
        <v>214737527</v>
      </c>
    </row>
    <row r="81" spans="1:16" s="184" customFormat="1" ht="15" x14ac:dyDescent="0.25">
      <c r="A81" s="362"/>
      <c r="B81" s="647" t="s">
        <v>166</v>
      </c>
      <c r="C81" s="99" t="s">
        <v>646</v>
      </c>
      <c r="D81" s="117"/>
      <c r="E81" s="99"/>
      <c r="F81" s="103"/>
      <c r="G81" s="1319"/>
      <c r="H81" s="111"/>
      <c r="I81" s="108">
        <v>41361</v>
      </c>
      <c r="J81" s="1319">
        <f t="shared" si="18"/>
        <v>41361</v>
      </c>
      <c r="K81" s="1472"/>
      <c r="L81" s="1449">
        <f t="shared" si="6"/>
        <v>41361</v>
      </c>
      <c r="M81" s="1472"/>
      <c r="N81" s="1449">
        <f t="shared" si="15"/>
        <v>41361</v>
      </c>
      <c r="O81" s="1472"/>
      <c r="P81" s="1449">
        <f t="shared" si="16"/>
        <v>41361</v>
      </c>
    </row>
    <row r="82" spans="1:16" s="184" customFormat="1" ht="15" x14ac:dyDescent="0.25">
      <c r="A82" s="362"/>
      <c r="B82" s="647"/>
      <c r="C82" s="121" t="s">
        <v>1026</v>
      </c>
      <c r="D82" s="117"/>
      <c r="E82" s="99"/>
      <c r="F82" s="103"/>
      <c r="G82" s="1319"/>
      <c r="H82" s="1523"/>
      <c r="I82" s="1319"/>
      <c r="J82" s="1319"/>
      <c r="K82" s="1472">
        <v>985035</v>
      </c>
      <c r="L82" s="1449">
        <f t="shared" si="6"/>
        <v>985035</v>
      </c>
      <c r="M82" s="1472"/>
      <c r="N82" s="1449">
        <f t="shared" si="15"/>
        <v>985035</v>
      </c>
      <c r="O82" s="1472"/>
      <c r="P82" s="1449">
        <f t="shared" si="16"/>
        <v>985035</v>
      </c>
    </row>
    <row r="83" spans="1:16" s="184" customFormat="1" ht="15" x14ac:dyDescent="0.25">
      <c r="A83" s="363"/>
      <c r="B83" s="655"/>
      <c r="C83" s="100" t="s">
        <v>495</v>
      </c>
      <c r="D83" s="123"/>
      <c r="E83" s="100"/>
      <c r="F83" s="103"/>
      <c r="G83" s="1345">
        <f>G80+G81</f>
        <v>179444400</v>
      </c>
      <c r="H83" s="1345">
        <f t="shared" ref="H83:I83" si="21">H80+H81</f>
        <v>0</v>
      </c>
      <c r="I83" s="1345">
        <f t="shared" si="21"/>
        <v>35334488</v>
      </c>
      <c r="J83" s="1345">
        <f t="shared" si="18"/>
        <v>214778888</v>
      </c>
      <c r="K83" s="286">
        <f>K80+K81+K82</f>
        <v>985035</v>
      </c>
      <c r="L83" s="1450">
        <f t="shared" si="6"/>
        <v>215763923</v>
      </c>
      <c r="M83" s="286">
        <f>M80+M81+M82</f>
        <v>0</v>
      </c>
      <c r="N83" s="1450">
        <f t="shared" si="15"/>
        <v>215763923</v>
      </c>
      <c r="O83" s="286">
        <f>O80+O81+O82</f>
        <v>0</v>
      </c>
      <c r="P83" s="1450">
        <f t="shared" si="16"/>
        <v>215763923</v>
      </c>
    </row>
    <row r="84" spans="1:16" s="184" customFormat="1" ht="15" x14ac:dyDescent="0.25">
      <c r="A84" s="362"/>
      <c r="B84" s="649"/>
      <c r="C84" s="100"/>
      <c r="D84" s="123"/>
      <c r="E84" s="99"/>
      <c r="F84" s="103"/>
      <c r="G84" s="1345"/>
      <c r="H84" s="117"/>
      <c r="I84" s="103"/>
      <c r="J84" s="1345"/>
      <c r="K84" s="1472"/>
      <c r="L84" s="1449">
        <f t="shared" si="6"/>
        <v>0</v>
      </c>
      <c r="M84" s="1472"/>
      <c r="N84" s="1449">
        <f t="shared" si="15"/>
        <v>0</v>
      </c>
      <c r="O84" s="1472"/>
      <c r="P84" s="1449">
        <f t="shared" si="16"/>
        <v>0</v>
      </c>
    </row>
    <row r="85" spans="1:16" s="184" customFormat="1" x14ac:dyDescent="0.2">
      <c r="A85" s="362">
        <v>2</v>
      </c>
      <c r="B85" s="649" t="s">
        <v>651</v>
      </c>
      <c r="C85" s="99" t="s">
        <v>80</v>
      </c>
      <c r="D85" s="118"/>
      <c r="E85" s="108">
        <v>13637</v>
      </c>
      <c r="F85" s="108">
        <v>1251</v>
      </c>
      <c r="G85" s="1319">
        <f>E85*F85</f>
        <v>17059887</v>
      </c>
      <c r="H85" s="108">
        <v>1251</v>
      </c>
      <c r="I85" s="108"/>
      <c r="J85" s="1319">
        <f>I85+G85</f>
        <v>17059887</v>
      </c>
      <c r="K85" s="1472"/>
      <c r="L85" s="1449">
        <f t="shared" si="6"/>
        <v>17059887</v>
      </c>
      <c r="M85" s="1472"/>
      <c r="N85" s="1449">
        <f t="shared" si="15"/>
        <v>17059887</v>
      </c>
      <c r="O85" s="1472">
        <v>-2000000</v>
      </c>
      <c r="P85" s="1449">
        <f t="shared" si="16"/>
        <v>15059887</v>
      </c>
    </row>
    <row r="86" spans="1:16" s="184" customFormat="1" x14ac:dyDescent="0.2">
      <c r="A86" s="362">
        <v>2</v>
      </c>
      <c r="B86" s="649" t="s">
        <v>334</v>
      </c>
      <c r="C86" s="99" t="s">
        <v>332</v>
      </c>
      <c r="D86" s="118"/>
      <c r="E86" s="99"/>
      <c r="F86" s="108"/>
      <c r="G86" s="1319"/>
      <c r="H86" s="111"/>
      <c r="I86" s="108">
        <v>1278000</v>
      </c>
      <c r="J86" s="1319">
        <f t="shared" ref="J86:J90" si="22">I86+G86</f>
        <v>1278000</v>
      </c>
      <c r="K86" s="1472"/>
      <c r="L86" s="1449">
        <f t="shared" si="6"/>
        <v>1278000</v>
      </c>
      <c r="M86" s="1472"/>
      <c r="N86" s="1449">
        <f t="shared" si="15"/>
        <v>1278000</v>
      </c>
      <c r="O86" s="1472"/>
      <c r="P86" s="1449">
        <f t="shared" si="16"/>
        <v>1278000</v>
      </c>
    </row>
    <row r="87" spans="1:16" s="184" customFormat="1" x14ac:dyDescent="0.2">
      <c r="A87" s="362">
        <v>2</v>
      </c>
      <c r="B87" s="649" t="s">
        <v>166</v>
      </c>
      <c r="C87" s="99" t="s">
        <v>646</v>
      </c>
      <c r="D87" s="118"/>
      <c r="E87" s="99"/>
      <c r="F87" s="108"/>
      <c r="G87" s="1319"/>
      <c r="H87" s="111"/>
      <c r="I87" s="108">
        <v>31491</v>
      </c>
      <c r="J87" s="1319">
        <f t="shared" si="22"/>
        <v>31491</v>
      </c>
      <c r="K87" s="1472">
        <f>7464+3234</f>
        <v>10698</v>
      </c>
      <c r="L87" s="1449">
        <f t="shared" si="6"/>
        <v>42189</v>
      </c>
      <c r="M87" s="1472">
        <v>9698</v>
      </c>
      <c r="N87" s="1449">
        <f t="shared" si="15"/>
        <v>51887</v>
      </c>
      <c r="O87" s="1472"/>
      <c r="P87" s="1449">
        <f t="shared" si="16"/>
        <v>51887</v>
      </c>
    </row>
    <row r="88" spans="1:16" s="184" customFormat="1" x14ac:dyDescent="0.2">
      <c r="A88" s="362">
        <v>2</v>
      </c>
      <c r="B88" s="362" t="s">
        <v>539</v>
      </c>
      <c r="C88" s="98" t="s">
        <v>530</v>
      </c>
      <c r="D88" s="118"/>
      <c r="E88" s="99"/>
      <c r="F88" s="108"/>
      <c r="G88" s="1319"/>
      <c r="H88" s="111"/>
      <c r="I88" s="108">
        <v>1755855</v>
      </c>
      <c r="J88" s="1319">
        <f t="shared" si="22"/>
        <v>1755855</v>
      </c>
      <c r="K88" s="1472">
        <f>579715+300993</f>
        <v>880708</v>
      </c>
      <c r="L88" s="1449">
        <f t="shared" ref="L88:L94" si="23">J88+K88</f>
        <v>2636563</v>
      </c>
      <c r="M88" s="1472">
        <v>870707</v>
      </c>
      <c r="N88" s="1449">
        <f t="shared" si="15"/>
        <v>3507270</v>
      </c>
      <c r="O88" s="1472"/>
      <c r="P88" s="1449">
        <f t="shared" si="16"/>
        <v>3507270</v>
      </c>
    </row>
    <row r="89" spans="1:16" s="184" customFormat="1" x14ac:dyDescent="0.2">
      <c r="A89" s="362"/>
      <c r="B89" s="362"/>
      <c r="C89" s="121" t="s">
        <v>1026</v>
      </c>
      <c r="D89" s="118"/>
      <c r="E89" s="99"/>
      <c r="F89" s="108"/>
      <c r="G89" s="1319"/>
      <c r="H89" s="1523"/>
      <c r="I89" s="1319"/>
      <c r="J89" s="1319"/>
      <c r="K89" s="1472">
        <v>5863910</v>
      </c>
      <c r="L89" s="1449">
        <f t="shared" si="23"/>
        <v>5863910</v>
      </c>
      <c r="M89" s="1472"/>
      <c r="N89" s="1449">
        <f t="shared" si="15"/>
        <v>5863910</v>
      </c>
      <c r="O89" s="1472"/>
      <c r="P89" s="1449">
        <f t="shared" si="16"/>
        <v>5863910</v>
      </c>
    </row>
    <row r="90" spans="1:16" s="184" customFormat="1" ht="15" x14ac:dyDescent="0.25">
      <c r="A90" s="362"/>
      <c r="B90" s="655"/>
      <c r="C90" s="100" t="s">
        <v>494</v>
      </c>
      <c r="D90" s="117"/>
      <c r="E90" s="100"/>
      <c r="F90" s="103"/>
      <c r="G90" s="1345">
        <f>G85+G86+G87+G88</f>
        <v>17059887</v>
      </c>
      <c r="H90" s="1345"/>
      <c r="I90" s="1345">
        <f>I85+I86+I87+I88</f>
        <v>3065346</v>
      </c>
      <c r="J90" s="1345">
        <f t="shared" si="22"/>
        <v>20125233</v>
      </c>
      <c r="K90" s="286">
        <f>K85+K86+K87+K88+K89</f>
        <v>6755316</v>
      </c>
      <c r="L90" s="1450">
        <f t="shared" si="23"/>
        <v>26880549</v>
      </c>
      <c r="M90" s="286">
        <f>M85+M86+M87+M88+M89</f>
        <v>880405</v>
      </c>
      <c r="N90" s="1450">
        <f t="shared" si="15"/>
        <v>27760954</v>
      </c>
      <c r="O90" s="286">
        <f>O85+O86+O87+O88+O89</f>
        <v>-2000000</v>
      </c>
      <c r="P90" s="1450">
        <f t="shared" si="16"/>
        <v>25760954</v>
      </c>
    </row>
    <row r="91" spans="1:16" s="184" customFormat="1" ht="15" x14ac:dyDescent="0.25">
      <c r="A91" s="362"/>
      <c r="B91" s="655"/>
      <c r="C91" s="100"/>
      <c r="D91" s="117"/>
      <c r="E91" s="100"/>
      <c r="F91" s="103"/>
      <c r="G91" s="1345"/>
      <c r="H91" s="117"/>
      <c r="I91" s="103"/>
      <c r="J91" s="1345"/>
      <c r="K91" s="1472"/>
      <c r="L91" s="1449">
        <f t="shared" si="23"/>
        <v>0</v>
      </c>
      <c r="M91" s="1472"/>
      <c r="N91" s="1449">
        <f t="shared" si="15"/>
        <v>0</v>
      </c>
      <c r="O91" s="1472"/>
      <c r="P91" s="1449">
        <f t="shared" si="16"/>
        <v>0</v>
      </c>
    </row>
    <row r="92" spans="1:16" s="184" customFormat="1" ht="15" x14ac:dyDescent="0.25">
      <c r="A92" s="362" t="s">
        <v>343</v>
      </c>
      <c r="B92" s="649" t="s">
        <v>166</v>
      </c>
      <c r="C92" s="99" t="s">
        <v>646</v>
      </c>
      <c r="D92" s="117"/>
      <c r="E92" s="100"/>
      <c r="F92" s="103"/>
      <c r="G92" s="1319"/>
      <c r="H92" s="111"/>
      <c r="I92" s="108">
        <v>363079</v>
      </c>
      <c r="J92" s="1319">
        <f>I92+G92</f>
        <v>363079</v>
      </c>
      <c r="K92" s="1472">
        <f>109512+54286</f>
        <v>163798</v>
      </c>
      <c r="L92" s="1449">
        <f t="shared" si="23"/>
        <v>526877</v>
      </c>
      <c r="M92" s="1472">
        <f>54286+54286+53939</f>
        <v>162511</v>
      </c>
      <c r="N92" s="1449">
        <f t="shared" si="15"/>
        <v>689388</v>
      </c>
      <c r="O92" s="1472"/>
      <c r="P92" s="1449">
        <f t="shared" si="16"/>
        <v>689388</v>
      </c>
    </row>
    <row r="93" spans="1:16" s="184" customFormat="1" ht="15" x14ac:dyDescent="0.25">
      <c r="A93" s="362"/>
      <c r="B93" s="655"/>
      <c r="C93" s="100" t="s">
        <v>492</v>
      </c>
      <c r="D93" s="117"/>
      <c r="E93" s="100"/>
      <c r="F93" s="103"/>
      <c r="G93" s="1345">
        <f>G92</f>
        <v>0</v>
      </c>
      <c r="H93" s="1345">
        <f t="shared" ref="H93:K93" si="24">H92</f>
        <v>0</v>
      </c>
      <c r="I93" s="1345">
        <f t="shared" si="24"/>
        <v>363079</v>
      </c>
      <c r="J93" s="1345">
        <f t="shared" si="24"/>
        <v>363079</v>
      </c>
      <c r="K93" s="286">
        <f t="shared" si="24"/>
        <v>163798</v>
      </c>
      <c r="L93" s="1450">
        <f t="shared" si="23"/>
        <v>526877</v>
      </c>
      <c r="M93" s="286">
        <f t="shared" ref="M93:O93" si="25">M92</f>
        <v>162511</v>
      </c>
      <c r="N93" s="1450">
        <f t="shared" si="15"/>
        <v>689388</v>
      </c>
      <c r="O93" s="286">
        <f t="shared" si="25"/>
        <v>0</v>
      </c>
      <c r="P93" s="1450">
        <f t="shared" si="16"/>
        <v>689388</v>
      </c>
    </row>
    <row r="94" spans="1:16" s="184" customFormat="1" ht="15.75" thickBot="1" x14ac:dyDescent="0.3">
      <c r="A94" s="1447"/>
      <c r="B94" s="657"/>
      <c r="C94" s="126"/>
      <c r="D94" s="125"/>
      <c r="E94" s="126"/>
      <c r="F94" s="127"/>
      <c r="G94" s="1448"/>
      <c r="H94" s="125"/>
      <c r="I94" s="127"/>
      <c r="J94" s="1448"/>
      <c r="K94" s="1518"/>
      <c r="L94" s="1474">
        <f t="shared" si="23"/>
        <v>0</v>
      </c>
      <c r="M94" s="1518"/>
      <c r="N94" s="1474">
        <f t="shared" si="15"/>
        <v>0</v>
      </c>
      <c r="O94" s="1518"/>
      <c r="P94" s="1474">
        <f t="shared" si="16"/>
        <v>0</v>
      </c>
    </row>
    <row r="95" spans="1:16" s="184" customFormat="1" ht="27" thickBot="1" x14ac:dyDescent="0.3">
      <c r="A95" s="1553" t="s">
        <v>84</v>
      </c>
      <c r="B95" s="1554" t="s">
        <v>85</v>
      </c>
      <c r="C95" s="1555" t="s">
        <v>86</v>
      </c>
      <c r="D95" s="1571"/>
      <c r="E95" s="1572" t="s">
        <v>56</v>
      </c>
      <c r="F95" s="1573" t="s">
        <v>57</v>
      </c>
      <c r="G95" s="1559" t="s">
        <v>331</v>
      </c>
      <c r="H95" s="1560" t="s">
        <v>988</v>
      </c>
      <c r="I95" s="1561" t="s">
        <v>985</v>
      </c>
      <c r="J95" s="1562" t="s">
        <v>986</v>
      </c>
      <c r="K95" s="1576" t="s">
        <v>1017</v>
      </c>
      <c r="L95" s="1577" t="s">
        <v>1018</v>
      </c>
      <c r="M95" s="1576" t="s">
        <v>1042</v>
      </c>
      <c r="N95" s="1578" t="s">
        <v>1043</v>
      </c>
      <c r="O95" s="1563" t="s">
        <v>1097</v>
      </c>
      <c r="P95" s="1564" t="s">
        <v>1098</v>
      </c>
    </row>
    <row r="96" spans="1:16" s="184" customFormat="1" ht="30" x14ac:dyDescent="0.25">
      <c r="A96" s="1579"/>
      <c r="B96" s="1546"/>
      <c r="C96" s="1580" t="s">
        <v>305</v>
      </c>
      <c r="D96" s="742"/>
      <c r="E96" s="746"/>
      <c r="F96" s="1569"/>
      <c r="G96" s="1443"/>
      <c r="H96" s="399"/>
      <c r="I96" s="401"/>
      <c r="J96" s="1443"/>
      <c r="K96" s="1551"/>
      <c r="L96" s="1581"/>
      <c r="M96" s="1565"/>
      <c r="N96" s="1566"/>
      <c r="O96" s="1565"/>
      <c r="P96" s="1566"/>
    </row>
    <row r="97" spans="1:16" s="184" customFormat="1" ht="15" x14ac:dyDescent="0.25">
      <c r="A97" s="362">
        <v>2</v>
      </c>
      <c r="B97" s="647" t="s">
        <v>540</v>
      </c>
      <c r="C97" s="114" t="s">
        <v>98</v>
      </c>
      <c r="D97" s="117"/>
      <c r="E97" s="100"/>
      <c r="F97" s="103"/>
      <c r="G97" s="1349">
        <f>G98+G99+G100+G101</f>
        <v>0</v>
      </c>
      <c r="H97" s="666"/>
      <c r="I97" s="115"/>
      <c r="J97" s="1349"/>
      <c r="K97" s="1472"/>
      <c r="L97" s="1445"/>
      <c r="M97" s="1472"/>
      <c r="N97" s="1445"/>
      <c r="O97" s="1472"/>
      <c r="P97" s="1445"/>
    </row>
    <row r="98" spans="1:16" s="184" customFormat="1" ht="15" x14ac:dyDescent="0.25">
      <c r="A98" s="362">
        <v>2</v>
      </c>
      <c r="B98" s="647" t="s">
        <v>541</v>
      </c>
      <c r="C98" s="99" t="s">
        <v>60</v>
      </c>
      <c r="D98" s="117"/>
      <c r="E98" s="100"/>
      <c r="F98" s="103"/>
      <c r="G98" s="1319">
        <v>0</v>
      </c>
      <c r="H98" s="111"/>
      <c r="I98" s="108"/>
      <c r="J98" s="1319"/>
      <c r="K98" s="1472"/>
      <c r="L98" s="648"/>
      <c r="M98" s="1472"/>
      <c r="N98" s="648"/>
      <c r="O98" s="1472"/>
      <c r="P98" s="648"/>
    </row>
    <row r="99" spans="1:16" s="184" customFormat="1" x14ac:dyDescent="0.2">
      <c r="A99" s="439">
        <v>2</v>
      </c>
      <c r="B99" s="647" t="s">
        <v>542</v>
      </c>
      <c r="C99" s="99" t="s">
        <v>62</v>
      </c>
      <c r="D99" s="111"/>
      <c r="E99" s="99"/>
      <c r="F99" s="96"/>
      <c r="G99" s="1319">
        <v>0</v>
      </c>
      <c r="H99" s="111"/>
      <c r="I99" s="108"/>
      <c r="J99" s="1319"/>
      <c r="K99" s="1472"/>
      <c r="L99" s="648"/>
      <c r="M99" s="1472"/>
      <c r="N99" s="648"/>
      <c r="O99" s="1472"/>
      <c r="P99" s="648"/>
    </row>
    <row r="100" spans="1:16" s="184" customFormat="1" x14ac:dyDescent="0.2">
      <c r="A100" s="362">
        <v>2</v>
      </c>
      <c r="B100" s="647" t="s">
        <v>543</v>
      </c>
      <c r="C100" s="99" t="s">
        <v>63</v>
      </c>
      <c r="D100" s="111"/>
      <c r="E100" s="99"/>
      <c r="F100" s="108"/>
      <c r="G100" s="1319">
        <v>0</v>
      </c>
      <c r="H100" s="111"/>
      <c r="I100" s="108"/>
      <c r="J100" s="1319"/>
      <c r="K100" s="1472"/>
      <c r="L100" s="648"/>
      <c r="M100" s="1472"/>
      <c r="N100" s="648"/>
      <c r="O100" s="1472"/>
      <c r="P100" s="648"/>
    </row>
    <row r="101" spans="1:16" s="184" customFormat="1" x14ac:dyDescent="0.2">
      <c r="A101" s="362">
        <v>2</v>
      </c>
      <c r="B101" s="647" t="s">
        <v>544</v>
      </c>
      <c r="C101" s="99" t="s">
        <v>64</v>
      </c>
      <c r="D101" s="111"/>
      <c r="E101" s="108"/>
      <c r="F101" s="119"/>
      <c r="G101" s="1319">
        <v>0</v>
      </c>
      <c r="H101" s="111"/>
      <c r="I101" s="108"/>
      <c r="J101" s="1319"/>
      <c r="K101" s="1472"/>
      <c r="L101" s="648"/>
      <c r="M101" s="1472"/>
      <c r="N101" s="648"/>
      <c r="O101" s="1472"/>
      <c r="P101" s="648"/>
    </row>
    <row r="102" spans="1:16" s="184" customFormat="1" x14ac:dyDescent="0.2">
      <c r="A102" s="362">
        <v>2</v>
      </c>
      <c r="B102" s="647" t="s">
        <v>545</v>
      </c>
      <c r="C102" s="99" t="s">
        <v>304</v>
      </c>
      <c r="D102" s="111"/>
      <c r="E102" s="108"/>
      <c r="F102" s="119"/>
      <c r="G102" s="1319">
        <v>0</v>
      </c>
      <c r="H102" s="111"/>
      <c r="I102" s="108"/>
      <c r="J102" s="1319"/>
      <c r="K102" s="1472"/>
      <c r="L102" s="648"/>
      <c r="M102" s="1472"/>
      <c r="N102" s="648"/>
      <c r="O102" s="1472"/>
      <c r="P102" s="648"/>
    </row>
    <row r="103" spans="1:16" s="184" customFormat="1" x14ac:dyDescent="0.2">
      <c r="A103" s="362">
        <v>2</v>
      </c>
      <c r="B103" s="647" t="s">
        <v>546</v>
      </c>
      <c r="C103" s="99" t="s">
        <v>82</v>
      </c>
      <c r="D103" s="111"/>
      <c r="E103" s="108"/>
      <c r="F103" s="119"/>
      <c r="G103" s="1319">
        <v>0</v>
      </c>
      <c r="H103" s="111"/>
      <c r="I103" s="108"/>
      <c r="J103" s="1319"/>
      <c r="K103" s="1472"/>
      <c r="L103" s="648"/>
      <c r="M103" s="1472"/>
      <c r="N103" s="648"/>
      <c r="O103" s="1472"/>
      <c r="P103" s="648"/>
    </row>
    <row r="104" spans="1:16" s="184" customFormat="1" x14ac:dyDescent="0.2">
      <c r="A104" s="362">
        <v>2</v>
      </c>
      <c r="B104" s="647" t="s">
        <v>547</v>
      </c>
      <c r="C104" s="99" t="s">
        <v>81</v>
      </c>
      <c r="D104" s="120"/>
      <c r="E104" s="108"/>
      <c r="F104" s="124"/>
      <c r="G104" s="1319">
        <v>329171072</v>
      </c>
      <c r="H104" s="111"/>
      <c r="I104" s="108">
        <v>-214180644</v>
      </c>
      <c r="J104" s="1319">
        <f>I104+G104</f>
        <v>114990428</v>
      </c>
      <c r="K104" s="1472"/>
      <c r="L104" s="648">
        <f>J104+K104</f>
        <v>114990428</v>
      </c>
      <c r="M104" s="1472"/>
      <c r="N104" s="648">
        <f>L104+M104</f>
        <v>114990428</v>
      </c>
      <c r="O104" s="1472"/>
      <c r="P104" s="648">
        <f>N104+O104</f>
        <v>114990428</v>
      </c>
    </row>
    <row r="105" spans="1:16" s="184" customFormat="1" x14ac:dyDescent="0.2">
      <c r="A105" s="362">
        <v>2</v>
      </c>
      <c r="B105" s="647" t="s">
        <v>532</v>
      </c>
      <c r="C105" s="99" t="s">
        <v>91</v>
      </c>
      <c r="D105" s="111"/>
      <c r="E105" s="111">
        <f>(253+365+62)/1043*23.9</f>
        <v>15.581975071907957</v>
      </c>
      <c r="F105" s="108">
        <v>2200000</v>
      </c>
      <c r="G105" s="1319">
        <f>E105*F105</f>
        <v>34280345.158197507</v>
      </c>
      <c r="H105" s="111">
        <v>9.7899999999999991</v>
      </c>
      <c r="I105" s="108">
        <v>-12726151</v>
      </c>
      <c r="J105" s="1319">
        <f t="shared" ref="J105" si="26">I105+G105</f>
        <v>21554194.158197507</v>
      </c>
      <c r="K105" s="1472"/>
      <c r="L105" s="648">
        <f t="shared" ref="L105:L115" si="27">J105+K105</f>
        <v>21554194.158197507</v>
      </c>
      <c r="M105" s="1472"/>
      <c r="N105" s="648">
        <f t="shared" ref="N105:N115" si="28">L105+M105</f>
        <v>21554194.158197507</v>
      </c>
      <c r="O105" s="1472"/>
      <c r="P105" s="648">
        <f t="shared" ref="P105:P115" si="29">N105+O105</f>
        <v>21554194.158197507</v>
      </c>
    </row>
    <row r="106" spans="1:16" s="184" customFormat="1" x14ac:dyDescent="0.2">
      <c r="A106" s="362">
        <v>2</v>
      </c>
      <c r="B106" s="647" t="s">
        <v>533</v>
      </c>
      <c r="C106" s="99" t="s">
        <v>90</v>
      </c>
      <c r="D106" s="111"/>
      <c r="E106" s="99"/>
      <c r="F106" s="108"/>
      <c r="G106" s="1319">
        <v>9316409</v>
      </c>
      <c r="H106" s="111"/>
      <c r="I106" s="108">
        <f>J106-G106</f>
        <v>-3820704</v>
      </c>
      <c r="J106" s="1319">
        <f>5395376+100329</f>
        <v>5495705</v>
      </c>
      <c r="K106" s="1472"/>
      <c r="L106" s="648">
        <f t="shared" si="27"/>
        <v>5495705</v>
      </c>
      <c r="M106" s="1472"/>
      <c r="N106" s="648">
        <f t="shared" si="28"/>
        <v>5495705</v>
      </c>
      <c r="O106" s="1472"/>
      <c r="P106" s="648">
        <f t="shared" si="29"/>
        <v>5495705</v>
      </c>
    </row>
    <row r="107" spans="1:16" s="184" customFormat="1" x14ac:dyDescent="0.2">
      <c r="A107" s="362">
        <v>2</v>
      </c>
      <c r="B107" s="647" t="s">
        <v>548</v>
      </c>
      <c r="C107" s="99" t="s">
        <v>549</v>
      </c>
      <c r="D107" s="111"/>
      <c r="E107" s="99">
        <v>590</v>
      </c>
      <c r="F107" s="108">
        <v>285</v>
      </c>
      <c r="G107" s="1319">
        <f>E107*F107</f>
        <v>168150</v>
      </c>
      <c r="H107" s="111">
        <v>590</v>
      </c>
      <c r="I107" s="108"/>
      <c r="J107" s="1319">
        <f>I107+G107</f>
        <v>168150</v>
      </c>
      <c r="K107" s="1472"/>
      <c r="L107" s="648">
        <f t="shared" si="27"/>
        <v>168150</v>
      </c>
      <c r="M107" s="1472">
        <v>-82650</v>
      </c>
      <c r="N107" s="648">
        <f t="shared" si="28"/>
        <v>85500</v>
      </c>
      <c r="O107" s="1472"/>
      <c r="P107" s="648">
        <f t="shared" si="29"/>
        <v>85500</v>
      </c>
    </row>
    <row r="108" spans="1:16" s="184" customFormat="1" x14ac:dyDescent="0.2">
      <c r="A108" s="362">
        <v>2</v>
      </c>
      <c r="B108" s="649" t="s">
        <v>166</v>
      </c>
      <c r="C108" s="99" t="s">
        <v>646</v>
      </c>
      <c r="D108" s="111"/>
      <c r="E108" s="99"/>
      <c r="F108" s="108"/>
      <c r="G108" s="1319"/>
      <c r="H108" s="111"/>
      <c r="I108" s="108"/>
      <c r="J108" s="1319"/>
      <c r="K108" s="1472"/>
      <c r="L108" s="648">
        <f t="shared" si="27"/>
        <v>0</v>
      </c>
      <c r="M108" s="1472"/>
      <c r="N108" s="648">
        <f t="shared" si="28"/>
        <v>0</v>
      </c>
      <c r="O108" s="1472"/>
      <c r="P108" s="648">
        <f t="shared" si="29"/>
        <v>0</v>
      </c>
    </row>
    <row r="109" spans="1:16" s="184" customFormat="1" x14ac:dyDescent="0.2">
      <c r="A109" s="362">
        <v>3</v>
      </c>
      <c r="B109" s="647" t="s">
        <v>167</v>
      </c>
      <c r="C109" s="98" t="s">
        <v>531</v>
      </c>
      <c r="D109" s="111"/>
      <c r="E109" s="99"/>
      <c r="F109" s="108"/>
      <c r="G109" s="1319"/>
      <c r="H109" s="111"/>
      <c r="I109" s="108"/>
      <c r="J109" s="1319"/>
      <c r="K109" s="1472"/>
      <c r="L109" s="648">
        <f t="shared" si="27"/>
        <v>0</v>
      </c>
      <c r="M109" s="1472">
        <v>17278800</v>
      </c>
      <c r="N109" s="648">
        <f t="shared" si="28"/>
        <v>17278800</v>
      </c>
      <c r="O109" s="1472"/>
      <c r="P109" s="648">
        <f t="shared" si="29"/>
        <v>17278800</v>
      </c>
    </row>
    <row r="110" spans="1:16" s="184" customFormat="1" x14ac:dyDescent="0.2">
      <c r="A110" s="362">
        <v>3</v>
      </c>
      <c r="B110" s="647" t="s">
        <v>166</v>
      </c>
      <c r="C110" s="98" t="s">
        <v>165</v>
      </c>
      <c r="D110" s="111"/>
      <c r="E110" s="99"/>
      <c r="F110" s="108"/>
      <c r="G110" s="1319"/>
      <c r="H110" s="111"/>
      <c r="I110" s="108"/>
      <c r="J110" s="1319"/>
      <c r="K110" s="1472"/>
      <c r="L110" s="648">
        <f t="shared" si="27"/>
        <v>0</v>
      </c>
      <c r="M110" s="1472"/>
      <c r="N110" s="648">
        <f t="shared" si="28"/>
        <v>0</v>
      </c>
      <c r="O110" s="1472"/>
      <c r="P110" s="648">
        <f t="shared" si="29"/>
        <v>0</v>
      </c>
    </row>
    <row r="111" spans="1:16" s="184" customFormat="1" x14ac:dyDescent="0.2">
      <c r="A111" s="362">
        <v>3</v>
      </c>
      <c r="B111" s="647" t="s">
        <v>550</v>
      </c>
      <c r="C111" s="342" t="s">
        <v>652</v>
      </c>
      <c r="D111" s="111"/>
      <c r="E111" s="99"/>
      <c r="F111" s="108"/>
      <c r="G111" s="1319"/>
      <c r="H111" s="111"/>
      <c r="I111" s="108"/>
      <c r="J111" s="1319"/>
      <c r="K111" s="1472"/>
      <c r="L111" s="648">
        <f t="shared" si="27"/>
        <v>0</v>
      </c>
      <c r="M111" s="1472">
        <v>216000</v>
      </c>
      <c r="N111" s="648">
        <f t="shared" si="28"/>
        <v>216000</v>
      </c>
      <c r="O111" s="1472"/>
      <c r="P111" s="648">
        <f t="shared" si="29"/>
        <v>216000</v>
      </c>
    </row>
    <row r="112" spans="1:16" s="184" customFormat="1" x14ac:dyDescent="0.2">
      <c r="A112" s="362">
        <v>3</v>
      </c>
      <c r="B112" s="647" t="s">
        <v>551</v>
      </c>
      <c r="C112" s="343" t="s">
        <v>333</v>
      </c>
      <c r="D112" s="111"/>
      <c r="E112" s="99"/>
      <c r="F112" s="108"/>
      <c r="G112" s="1319"/>
      <c r="H112" s="111"/>
      <c r="I112" s="108"/>
      <c r="J112" s="1319"/>
      <c r="K112" s="1472"/>
      <c r="L112" s="648">
        <f t="shared" si="27"/>
        <v>0</v>
      </c>
      <c r="M112" s="1472"/>
      <c r="N112" s="648">
        <f t="shared" si="28"/>
        <v>0</v>
      </c>
      <c r="O112" s="1472"/>
      <c r="P112" s="648">
        <f t="shared" si="29"/>
        <v>0</v>
      </c>
    </row>
    <row r="113" spans="1:16" s="184" customFormat="1" x14ac:dyDescent="0.2">
      <c r="A113" s="362">
        <v>2</v>
      </c>
      <c r="B113" s="397" t="s">
        <v>532</v>
      </c>
      <c r="C113" s="343" t="s">
        <v>1019</v>
      </c>
      <c r="D113" s="111"/>
      <c r="E113" s="99"/>
      <c r="F113" s="108"/>
      <c r="G113" s="1319"/>
      <c r="H113" s="111"/>
      <c r="I113" s="108"/>
      <c r="J113" s="1319"/>
      <c r="K113" s="1472">
        <f>H105*176000</f>
        <v>1723039.9999999998</v>
      </c>
      <c r="L113" s="648">
        <f t="shared" si="27"/>
        <v>1723039.9999999998</v>
      </c>
      <c r="M113" s="1536"/>
      <c r="N113" s="648">
        <f t="shared" si="28"/>
        <v>1723039.9999999998</v>
      </c>
      <c r="O113" s="1536"/>
      <c r="P113" s="648">
        <f t="shared" si="29"/>
        <v>1723039.9999999998</v>
      </c>
    </row>
    <row r="114" spans="1:16" s="184" customFormat="1" x14ac:dyDescent="0.2">
      <c r="A114" s="362">
        <v>2</v>
      </c>
      <c r="B114" s="649" t="s">
        <v>651</v>
      </c>
      <c r="C114" s="99" t="s">
        <v>80</v>
      </c>
      <c r="D114" s="118"/>
      <c r="E114" s="108">
        <v>13637</v>
      </c>
      <c r="F114" s="108">
        <v>1251</v>
      </c>
      <c r="G114" s="1319"/>
      <c r="H114" s="1523"/>
      <c r="I114" s="1319"/>
      <c r="J114" s="1319"/>
      <c r="K114" s="1472"/>
      <c r="L114" s="648"/>
      <c r="M114" s="1536"/>
      <c r="N114" s="648">
        <f t="shared" si="28"/>
        <v>0</v>
      </c>
      <c r="O114" s="1536">
        <v>2000000</v>
      </c>
      <c r="P114" s="648">
        <f t="shared" si="29"/>
        <v>2000000</v>
      </c>
    </row>
    <row r="115" spans="1:16" s="184" customFormat="1" x14ac:dyDescent="0.2">
      <c r="A115" s="362"/>
      <c r="B115" s="397"/>
      <c r="C115" s="98" t="s">
        <v>1024</v>
      </c>
      <c r="D115" s="111"/>
      <c r="E115" s="99"/>
      <c r="F115" s="108"/>
      <c r="G115" s="1319"/>
      <c r="H115" s="1523"/>
      <c r="I115" s="1319"/>
      <c r="J115" s="1319"/>
      <c r="K115" s="1512">
        <f>'2b. tábla 2020. (2)'!H83</f>
        <v>272282390</v>
      </c>
      <c r="L115" s="648">
        <f t="shared" si="27"/>
        <v>272282390</v>
      </c>
      <c r="M115" s="1537">
        <v>-22965620</v>
      </c>
      <c r="N115" s="648">
        <f t="shared" si="28"/>
        <v>249316770</v>
      </c>
      <c r="O115" s="1537"/>
      <c r="P115" s="648">
        <f t="shared" si="29"/>
        <v>249316770</v>
      </c>
    </row>
    <row r="116" spans="1:16" s="184" customFormat="1" x14ac:dyDescent="0.2">
      <c r="A116" s="362"/>
      <c r="B116" s="397"/>
      <c r="C116" s="98" t="s">
        <v>1045</v>
      </c>
      <c r="D116" s="111"/>
      <c r="E116" s="99"/>
      <c r="F116" s="108"/>
      <c r="G116" s="1319"/>
      <c r="H116" s="1523"/>
      <c r="I116" s="1319"/>
      <c r="J116" s="1319"/>
      <c r="K116" s="1512"/>
      <c r="L116" s="648"/>
      <c r="M116" s="1537">
        <v>39999050</v>
      </c>
      <c r="N116" s="1513">
        <v>39999050</v>
      </c>
      <c r="O116" s="1537"/>
      <c r="P116" s="1513">
        <v>39999050</v>
      </c>
    </row>
    <row r="117" spans="1:16" s="184" customFormat="1" x14ac:dyDescent="0.2">
      <c r="A117" s="362"/>
      <c r="B117" s="397"/>
      <c r="C117" s="1615" t="s">
        <v>1046</v>
      </c>
      <c r="D117" s="111"/>
      <c r="E117" s="99"/>
      <c r="F117" s="108"/>
      <c r="G117" s="1319"/>
      <c r="H117" s="1523"/>
      <c r="I117" s="1319"/>
      <c r="J117" s="1319"/>
      <c r="K117" s="1512"/>
      <c r="L117" s="648"/>
      <c r="M117" s="1537">
        <v>3000000</v>
      </c>
      <c r="N117" s="1513">
        <v>3000000</v>
      </c>
      <c r="O117" s="1537"/>
      <c r="P117" s="1513">
        <v>3000000</v>
      </c>
    </row>
    <row r="118" spans="1:16" s="184" customFormat="1" ht="15" x14ac:dyDescent="0.25">
      <c r="A118" s="362"/>
      <c r="B118" s="656"/>
      <c r="C118" s="100" t="s">
        <v>99</v>
      </c>
      <c r="D118" s="120"/>
      <c r="E118" s="112"/>
      <c r="F118" s="112"/>
      <c r="G118" s="1345">
        <f>G97+G96+G94+G104+G107+G108+G105+G106+G113</f>
        <v>372935976.15819752</v>
      </c>
      <c r="H118" s="1345"/>
      <c r="I118" s="1345">
        <f>I97+I96+I94+I104+I107+I108+I105+I106+I113</f>
        <v>-230727499</v>
      </c>
      <c r="J118" s="1345">
        <f>J97+J96+J94+J104+J107+J108+J105+J106+J113</f>
        <v>142208477.15819752</v>
      </c>
      <c r="K118" s="286">
        <f>K97+K96+K94+K104+K107+K108+K105+K106+K113+K115</f>
        <v>274005430</v>
      </c>
      <c r="L118" s="1444">
        <f>L97+L96+L94+L104+L107+L108+L105+L106+L113+L115</f>
        <v>416213907.15819752</v>
      </c>
      <c r="M118" s="1538">
        <f>M97+M96+M94+M104+M107+M108+M105+M106+M113+M115+M109+M110+M111+M116+M117</f>
        <v>37445580</v>
      </c>
      <c r="N118" s="1444">
        <f>L118+M118</f>
        <v>453659487.15819752</v>
      </c>
      <c r="O118" s="1538">
        <f>O97+O96+O94+O104+O107+O108+O105+O106+O113+O115+O109+O110+O111+O116+O117+O114</f>
        <v>2000000</v>
      </c>
      <c r="P118" s="1444">
        <f>N118+O118</f>
        <v>455659487.15819752</v>
      </c>
    </row>
    <row r="119" spans="1:16" x14ac:dyDescent="0.2">
      <c r="A119" s="365"/>
      <c r="B119" s="647"/>
      <c r="C119" s="99"/>
      <c r="D119" s="111"/>
      <c r="E119" s="99"/>
      <c r="F119" s="108"/>
      <c r="G119" s="1319"/>
      <c r="H119" s="111"/>
      <c r="I119" s="108"/>
      <c r="J119" s="1319"/>
      <c r="K119" s="1472"/>
      <c r="L119" s="648"/>
      <c r="M119" s="1472"/>
      <c r="N119" s="648"/>
      <c r="O119" s="1472"/>
      <c r="P119" s="648"/>
    </row>
    <row r="120" spans="1:16" ht="15.75" thickBot="1" x14ac:dyDescent="0.3">
      <c r="A120" s="366"/>
      <c r="B120" s="657"/>
      <c r="C120" s="344" t="s">
        <v>100</v>
      </c>
      <c r="D120" s="125"/>
      <c r="E120" s="126"/>
      <c r="F120" s="127"/>
      <c r="G120" s="1347">
        <f>G14+G25+G36+G48+G78+G83+G118+G61+G90+G93</f>
        <v>1014730134</v>
      </c>
      <c r="H120" s="1347"/>
      <c r="I120" s="1347">
        <f t="shared" ref="I120:N120" si="30">I14+I25+I36+I48+I78+I83+I118+I61+I90+I93</f>
        <v>-205366804</v>
      </c>
      <c r="J120" s="1347">
        <f t="shared" si="30"/>
        <v>809363330</v>
      </c>
      <c r="K120" s="1475">
        <f t="shared" si="30"/>
        <v>322013169</v>
      </c>
      <c r="L120" s="1446">
        <f t="shared" si="30"/>
        <v>1131376499</v>
      </c>
      <c r="M120" s="1475">
        <f t="shared" si="30"/>
        <v>53325786</v>
      </c>
      <c r="N120" s="1446">
        <f t="shared" si="30"/>
        <v>1184702285</v>
      </c>
      <c r="O120" s="1475">
        <f t="shared" ref="O120:P120" si="31">O14+O25+O36+O48+O78+O83+O118+O61+O90+O93</f>
        <v>0</v>
      </c>
      <c r="P120" s="1446">
        <f t="shared" si="31"/>
        <v>1184702285</v>
      </c>
    </row>
    <row r="121" spans="1:16" x14ac:dyDescent="0.2">
      <c r="F121" s="185"/>
      <c r="G121" s="184"/>
      <c r="H121" s="1342"/>
      <c r="I121" s="579"/>
      <c r="J121" s="579"/>
      <c r="K121" s="638"/>
      <c r="L121" s="579"/>
      <c r="M121" s="579"/>
      <c r="N121" s="579"/>
    </row>
    <row r="122" spans="1:16" x14ac:dyDescent="0.2">
      <c r="F122" s="185"/>
      <c r="G122" s="184"/>
      <c r="H122" s="1342"/>
      <c r="I122" s="579"/>
      <c r="J122" s="579"/>
      <c r="K122" s="638"/>
      <c r="L122" s="579"/>
      <c r="M122" s="579"/>
      <c r="N122" s="579"/>
    </row>
    <row r="123" spans="1:16" x14ac:dyDescent="0.2">
      <c r="F123" s="185"/>
      <c r="G123" s="184"/>
      <c r="H123" s="1342"/>
      <c r="I123" s="579"/>
      <c r="J123" s="579"/>
      <c r="K123" s="638"/>
      <c r="L123" s="579"/>
      <c r="M123" s="579"/>
      <c r="N123" s="579"/>
    </row>
    <row r="124" spans="1:16" x14ac:dyDescent="0.2">
      <c r="F124" s="185"/>
      <c r="G124" s="184"/>
      <c r="H124" s="1342"/>
      <c r="I124" s="579"/>
      <c r="J124" s="579"/>
      <c r="K124" s="638"/>
      <c r="L124" s="579"/>
      <c r="M124" s="579"/>
      <c r="N124" s="579"/>
    </row>
    <row r="125" spans="1:16" x14ac:dyDescent="0.2">
      <c r="L125" s="1339"/>
      <c r="M125" s="1339"/>
      <c r="N125" s="1339"/>
    </row>
    <row r="126" spans="1:16" x14ac:dyDescent="0.2">
      <c r="L126" s="1339"/>
      <c r="M126" s="1339"/>
      <c r="N126" s="1339"/>
    </row>
    <row r="127" spans="1:16" x14ac:dyDescent="0.2">
      <c r="L127" s="1339"/>
      <c r="M127" s="1339"/>
      <c r="N127" s="1339"/>
    </row>
  </sheetData>
  <mergeCells count="1">
    <mergeCell ref="C1:G1"/>
  </mergeCells>
  <pageMargins left="0.7" right="0.7" top="0.75" bottom="0.75" header="0.3" footer="0.3"/>
  <pageSetup paperSize="9" scale="53" orientation="landscape" r:id="rId1"/>
  <headerFooter alignWithMargins="0">
    <oddHeader>&amp;C2/c. melléklet
a 6/2021. (III.05.) önkormányzati rendelethez
 az önkormányzat 2020. évi költségvetéséről szóló 6/2020. (III.06.) önkormányzati rendelet 
2/c. mellékletének helyébe a következő 2/c. melléklet lép:  &amp;R&amp;P. oldal</oddHeader>
  </headerFooter>
  <rowBreaks count="3" manualBreakCount="3">
    <brk id="49" max="15" man="1"/>
    <brk id="94" max="15" man="1"/>
    <brk id="120"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C19"/>
  <sheetViews>
    <sheetView view="pageLayout" topLeftCell="Y10" zoomScaleNormal="95" zoomScaleSheetLayoutView="89" workbookViewId="0">
      <selection activeCell="I29" sqref="I29"/>
    </sheetView>
  </sheetViews>
  <sheetFormatPr defaultColWidth="9.140625" defaultRowHeight="14.25" x14ac:dyDescent="0.2"/>
  <cols>
    <col min="1" max="1" width="24.85546875" style="441" customWidth="1"/>
    <col min="2" max="2" width="15.140625" style="441" customWidth="1"/>
    <col min="3" max="3" width="15.7109375" style="441" customWidth="1"/>
    <col min="4" max="4" width="15" style="441" customWidth="1"/>
    <col min="5" max="5" width="15.7109375" style="441" customWidth="1"/>
    <col min="6" max="6" width="14.7109375" style="441" customWidth="1"/>
    <col min="7" max="7" width="16.140625" style="441" customWidth="1"/>
    <col min="8" max="8" width="13.7109375" style="441" customWidth="1"/>
    <col min="9" max="9" width="16.140625" style="441" customWidth="1"/>
    <col min="10" max="10" width="16" style="441" customWidth="1"/>
    <col min="11" max="12" width="14.5703125" style="441" customWidth="1"/>
    <col min="13" max="13" width="13.85546875" style="441" customWidth="1"/>
    <col min="14" max="14" width="16" style="441" customWidth="1"/>
    <col min="15" max="15" width="16.28515625" style="441" customWidth="1"/>
    <col min="16" max="16" width="16.28515625" style="441" bestFit="1" customWidth="1"/>
    <col min="17" max="17" width="16.85546875" style="441" customWidth="1"/>
    <col min="18" max="18" width="27.28515625" style="441" customWidth="1"/>
    <col min="19" max="19" width="15.85546875" style="441" customWidth="1"/>
    <col min="20" max="20" width="14.5703125" style="441" customWidth="1"/>
    <col min="21" max="21" width="14.7109375" style="441" customWidth="1"/>
    <col min="22" max="22" width="16" style="441" customWidth="1"/>
    <col min="23" max="23" width="13.42578125" style="441" customWidth="1"/>
    <col min="24" max="24" width="14.85546875" style="441" customWidth="1"/>
    <col min="25" max="25" width="15" style="441" bestFit="1" customWidth="1"/>
    <col min="26" max="26" width="15.5703125" style="441" customWidth="1"/>
    <col min="27" max="27" width="16" style="441" customWidth="1"/>
    <col min="28" max="28" width="15.85546875" style="441" customWidth="1"/>
    <col min="29" max="29" width="16.28515625" style="441" bestFit="1" customWidth="1"/>
    <col min="30" max="30" width="15" style="441" customWidth="1"/>
    <col min="31" max="32" width="18.7109375" style="441" customWidth="1"/>
    <col min="33" max="33" width="14.85546875" style="441" customWidth="1"/>
    <col min="34" max="34" width="15.28515625" style="441" customWidth="1"/>
    <col min="35" max="35" width="14.28515625" style="441" customWidth="1"/>
    <col min="36" max="36" width="14.28515625" style="10" customWidth="1"/>
    <col min="37" max="16384" width="9.140625" style="10"/>
  </cols>
  <sheetData>
    <row r="1" spans="1:55" ht="12.75" customHeight="1" x14ac:dyDescent="0.25">
      <c r="A1" s="1683"/>
      <c r="B1" s="1683"/>
      <c r="C1" s="1683"/>
      <c r="D1" s="1683"/>
      <c r="E1" s="1683"/>
      <c r="F1" s="1683"/>
      <c r="G1" s="1683"/>
      <c r="H1" s="1683"/>
      <c r="I1" s="1683"/>
      <c r="J1" s="1683"/>
      <c r="K1" s="1683"/>
      <c r="L1" s="1683"/>
      <c r="M1" s="1683"/>
      <c r="N1" s="1683"/>
      <c r="O1" s="440"/>
      <c r="P1" s="1451"/>
      <c r="Q1" s="578"/>
      <c r="R1" s="440"/>
      <c r="S1" s="1684"/>
      <c r="T1" s="1684"/>
      <c r="U1" s="1684"/>
      <c r="V1" s="1684"/>
      <c r="W1" s="1684"/>
      <c r="X1" s="1684"/>
      <c r="Y1" s="1684"/>
      <c r="Z1" s="1684"/>
      <c r="AA1" s="1684"/>
      <c r="AB1" s="1684"/>
      <c r="AC1" s="1684"/>
      <c r="AD1" s="1684"/>
    </row>
    <row r="2" spans="1:55" ht="12.75" customHeight="1" x14ac:dyDescent="0.25">
      <c r="A2" s="1683"/>
      <c r="B2" s="1683"/>
      <c r="C2" s="1683"/>
      <c r="D2" s="1683"/>
      <c r="E2" s="1683"/>
      <c r="F2" s="1683"/>
      <c r="G2" s="1683"/>
      <c r="H2" s="1683"/>
      <c r="I2" s="1683"/>
      <c r="J2" s="1683"/>
      <c r="K2" s="1683"/>
      <c r="L2" s="1683"/>
      <c r="M2" s="1683"/>
      <c r="N2" s="1683"/>
      <c r="O2" s="440"/>
      <c r="P2" s="1451"/>
      <c r="Q2" s="578"/>
      <c r="R2" s="1683"/>
      <c r="S2" s="1683"/>
      <c r="T2" s="1683"/>
      <c r="U2" s="1683"/>
      <c r="V2" s="1683"/>
      <c r="W2" s="1683"/>
      <c r="X2" s="1683"/>
      <c r="Y2" s="1683"/>
      <c r="Z2" s="1683"/>
      <c r="AA2" s="1683"/>
      <c r="AB2" s="1683"/>
      <c r="AC2" s="1683"/>
      <c r="AD2" s="1683"/>
    </row>
    <row r="3" spans="1:55" ht="15" x14ac:dyDescent="0.25">
      <c r="A3" s="1685" t="s">
        <v>720</v>
      </c>
      <c r="B3" s="1685"/>
      <c r="C3" s="1685"/>
      <c r="D3" s="1685"/>
      <c r="E3" s="1685"/>
      <c r="F3" s="1685"/>
      <c r="G3" s="1685"/>
      <c r="H3" s="1685"/>
      <c r="I3" s="1685"/>
      <c r="J3" s="1685"/>
      <c r="K3" s="1685"/>
      <c r="L3" s="1685"/>
      <c r="M3" s="1685"/>
      <c r="N3" s="1685"/>
      <c r="O3" s="1685"/>
      <c r="P3" s="1685"/>
      <c r="Q3" s="1685"/>
      <c r="R3" s="1685" t="s">
        <v>720</v>
      </c>
      <c r="S3" s="1685"/>
      <c r="T3" s="1685"/>
      <c r="U3" s="1685"/>
      <c r="V3" s="1685"/>
      <c r="W3" s="1685"/>
      <c r="X3" s="1685"/>
      <c r="Y3" s="1685"/>
      <c r="Z3" s="1685"/>
      <c r="AA3" s="1685"/>
      <c r="AB3" s="1685"/>
      <c r="AC3" s="1685"/>
      <c r="AD3" s="1685"/>
      <c r="AE3" s="1685"/>
      <c r="AF3" s="1685"/>
      <c r="AG3" s="1685"/>
      <c r="AH3" s="1685"/>
      <c r="AI3" s="1685"/>
    </row>
    <row r="4" spans="1:55" x14ac:dyDescent="0.2">
      <c r="N4" s="442"/>
      <c r="O4" s="442"/>
      <c r="P4" s="442"/>
      <c r="Q4" s="442"/>
      <c r="R4" s="442"/>
      <c r="AA4" s="442"/>
      <c r="AB4" s="442"/>
      <c r="AC4" s="442"/>
      <c r="AD4" s="442"/>
    </row>
    <row r="5" spans="1:55" ht="55.5" customHeight="1" thickBot="1" x14ac:dyDescent="0.25">
      <c r="N5" s="442"/>
      <c r="O5" s="442"/>
      <c r="P5" s="442"/>
      <c r="Q5" s="442"/>
      <c r="R5" s="442"/>
      <c r="AA5" s="442"/>
      <c r="AB5" s="442"/>
      <c r="AC5" s="442"/>
      <c r="AD5" s="442"/>
    </row>
    <row r="6" spans="1:55" s="32" customFormat="1" ht="43.5" customHeight="1" thickBot="1" x14ac:dyDescent="0.25">
      <c r="A6" s="1674" t="s">
        <v>301</v>
      </c>
      <c r="B6" s="1677" t="s">
        <v>302</v>
      </c>
      <c r="C6" s="1678"/>
      <c r="D6" s="1678"/>
      <c r="E6" s="1678"/>
      <c r="F6" s="1677" t="s">
        <v>101</v>
      </c>
      <c r="G6" s="1678"/>
      <c r="H6" s="1678"/>
      <c r="I6" s="1678"/>
      <c r="J6" s="1677" t="s">
        <v>102</v>
      </c>
      <c r="K6" s="1678"/>
      <c r="L6" s="1678"/>
      <c r="M6" s="1678"/>
      <c r="N6" s="1677" t="s">
        <v>103</v>
      </c>
      <c r="O6" s="1678"/>
      <c r="P6" s="1678"/>
      <c r="Q6" s="1681"/>
      <c r="R6" s="1674" t="s">
        <v>301</v>
      </c>
      <c r="S6" s="1677" t="s">
        <v>104</v>
      </c>
      <c r="T6" s="1678"/>
      <c r="U6" s="1678"/>
      <c r="V6" s="1678"/>
      <c r="W6" s="1677" t="s">
        <v>105</v>
      </c>
      <c r="X6" s="1678"/>
      <c r="Y6" s="1678"/>
      <c r="Z6" s="1678"/>
      <c r="AA6" s="1695" t="s">
        <v>106</v>
      </c>
      <c r="AB6" s="1696"/>
      <c r="AC6" s="1696"/>
      <c r="AD6" s="1697"/>
      <c r="AE6" s="1686" t="s">
        <v>929</v>
      </c>
      <c r="AF6" s="1687"/>
      <c r="AG6" s="1688"/>
      <c r="AH6" s="1689"/>
      <c r="AI6" s="1690"/>
    </row>
    <row r="7" spans="1:55" s="32" customFormat="1" ht="53.25" customHeight="1" thickBot="1" x14ac:dyDescent="0.25">
      <c r="A7" s="1675"/>
      <c r="B7" s="1679"/>
      <c r="C7" s="1680"/>
      <c r="D7" s="1680"/>
      <c r="E7" s="1680"/>
      <c r="F7" s="1679"/>
      <c r="G7" s="1680"/>
      <c r="H7" s="1680"/>
      <c r="I7" s="1680"/>
      <c r="J7" s="1679"/>
      <c r="K7" s="1680"/>
      <c r="L7" s="1680"/>
      <c r="M7" s="1680"/>
      <c r="N7" s="1679"/>
      <c r="O7" s="1680"/>
      <c r="P7" s="1680"/>
      <c r="Q7" s="1682"/>
      <c r="R7" s="1675"/>
      <c r="S7" s="1679"/>
      <c r="T7" s="1680"/>
      <c r="U7" s="1680"/>
      <c r="V7" s="1680"/>
      <c r="W7" s="1679"/>
      <c r="X7" s="1680"/>
      <c r="Y7" s="1680"/>
      <c r="Z7" s="1680"/>
      <c r="AA7" s="1698"/>
      <c r="AB7" s="1699"/>
      <c r="AC7" s="1699"/>
      <c r="AD7" s="1700"/>
      <c r="AE7" s="1691" t="s">
        <v>925</v>
      </c>
      <c r="AF7" s="1693" t="s">
        <v>926</v>
      </c>
      <c r="AG7" s="1694"/>
      <c r="AH7" s="1693" t="s">
        <v>927</v>
      </c>
      <c r="AI7" s="1694"/>
    </row>
    <row r="8" spans="1:55" s="33" customFormat="1" ht="90" customHeight="1" thickBot="1" x14ac:dyDescent="0.25">
      <c r="A8" s="1676"/>
      <c r="B8" s="556" t="s">
        <v>657</v>
      </c>
      <c r="C8" s="390" t="s">
        <v>1041</v>
      </c>
      <c r="D8" s="390" t="s">
        <v>1088</v>
      </c>
      <c r="E8" s="391" t="s">
        <v>983</v>
      </c>
      <c r="F8" s="556" t="s">
        <v>657</v>
      </c>
      <c r="G8" s="390" t="s">
        <v>1041</v>
      </c>
      <c r="H8" s="390" t="s">
        <v>1088</v>
      </c>
      <c r="I8" s="391" t="s">
        <v>983</v>
      </c>
      <c r="J8" s="556" t="s">
        <v>657</v>
      </c>
      <c r="K8" s="390" t="s">
        <v>1041</v>
      </c>
      <c r="L8" s="390" t="s">
        <v>1088</v>
      </c>
      <c r="M8" s="391" t="s">
        <v>983</v>
      </c>
      <c r="N8" s="556" t="s">
        <v>657</v>
      </c>
      <c r="O8" s="390" t="s">
        <v>1041</v>
      </c>
      <c r="P8" s="390" t="s">
        <v>1088</v>
      </c>
      <c r="Q8" s="391" t="s">
        <v>983</v>
      </c>
      <c r="R8" s="1676"/>
      <c r="S8" s="556" t="s">
        <v>657</v>
      </c>
      <c r="T8" s="390" t="s">
        <v>1041</v>
      </c>
      <c r="U8" s="390" t="s">
        <v>1088</v>
      </c>
      <c r="V8" s="391" t="s">
        <v>983</v>
      </c>
      <c r="W8" s="556" t="s">
        <v>657</v>
      </c>
      <c r="X8" s="390" t="s">
        <v>1041</v>
      </c>
      <c r="Y8" s="390" t="s">
        <v>1088</v>
      </c>
      <c r="Z8" s="391" t="s">
        <v>983</v>
      </c>
      <c r="AA8" s="556" t="s">
        <v>657</v>
      </c>
      <c r="AB8" s="390" t="s">
        <v>1041</v>
      </c>
      <c r="AC8" s="390" t="s">
        <v>1088</v>
      </c>
      <c r="AD8" s="391" t="s">
        <v>983</v>
      </c>
      <c r="AE8" s="1692"/>
      <c r="AF8" s="1140" t="s">
        <v>928</v>
      </c>
      <c r="AG8" s="1141" t="s">
        <v>806</v>
      </c>
      <c r="AH8" s="1140" t="s">
        <v>928</v>
      </c>
      <c r="AI8" s="1141" t="s">
        <v>806</v>
      </c>
    </row>
    <row r="9" spans="1:55" s="1262" customFormat="1" ht="28.5" x14ac:dyDescent="0.2">
      <c r="A9" s="1248" t="s">
        <v>201</v>
      </c>
      <c r="B9" s="1249">
        <v>17059887</v>
      </c>
      <c r="C9" s="1249">
        <f>'2c. tábla 2020. (2)'!N90</f>
        <v>27760954</v>
      </c>
      <c r="D9" s="1249">
        <f>'2c. tábla 2020. (2)'!P90</f>
        <v>25760954</v>
      </c>
      <c r="E9" s="1249">
        <f>D9-C9</f>
        <v>-2000000</v>
      </c>
      <c r="F9" s="1224">
        <f>'2.a tábla ÚJ '!B50-'3.sz. tábla  (2)'!B9</f>
        <v>40080381</v>
      </c>
      <c r="G9" s="1226">
        <f>'2.a tábla ÚJ '!C50-'3.sz. tábla  (2)'!C9</f>
        <v>19933186</v>
      </c>
      <c r="H9" s="1585">
        <f>'2.a tábla ÚJ '!D50-'3.sz. tábla  (2)'!D9</f>
        <v>21933186</v>
      </c>
      <c r="I9" s="1251">
        <f>H9-G9</f>
        <v>2000000</v>
      </c>
      <c r="J9" s="1252">
        <f t="shared" ref="J9:L13" si="0">B9+F9</f>
        <v>57140268</v>
      </c>
      <c r="K9" s="1253">
        <f>C9+G9</f>
        <v>47694140</v>
      </c>
      <c r="L9" s="1253">
        <f>D9+H9</f>
        <v>47694140</v>
      </c>
      <c r="M9" s="1253">
        <f>L9-K9</f>
        <v>0</v>
      </c>
      <c r="N9" s="1250">
        <f>'2.a tábla ÚJ '!B44</f>
        <v>7301488</v>
      </c>
      <c r="O9" s="1254">
        <f>'2.a tábla ÚJ '!C44</f>
        <v>16761488</v>
      </c>
      <c r="P9" s="1254">
        <f>'2.a tábla ÚJ '!D44</f>
        <v>16761488</v>
      </c>
      <c r="Q9" s="1255">
        <f>P9-O9</f>
        <v>0</v>
      </c>
      <c r="R9" s="1256" t="s">
        <v>201</v>
      </c>
      <c r="S9" s="1254">
        <f>'2.a tábla ÚJ '!B46</f>
        <v>10526479</v>
      </c>
      <c r="T9" s="1254">
        <f>'2.a tábla ÚJ '!C46</f>
        <v>12932260</v>
      </c>
      <c r="U9" s="1254">
        <f>'2.a tábla ÚJ '!D46</f>
        <v>12743049</v>
      </c>
      <c r="V9" s="1255">
        <f>U9-T9</f>
        <v>-189211</v>
      </c>
      <c r="W9" s="1257"/>
      <c r="X9" s="1251"/>
      <c r="Y9" s="1251"/>
      <c r="Z9" s="1251"/>
      <c r="AA9" s="1258">
        <f t="shared" ref="AA9:AC11" si="1">J9+N9+S9+W9</f>
        <v>74968235</v>
      </c>
      <c r="AB9" s="1259">
        <f t="shared" si="1"/>
        <v>77387888</v>
      </c>
      <c r="AC9" s="1259">
        <f t="shared" si="1"/>
        <v>77198677</v>
      </c>
      <c r="AD9" s="1260">
        <f>AC9-AB9</f>
        <v>-189211</v>
      </c>
      <c r="AE9" s="1233">
        <f>AC9</f>
        <v>77198677</v>
      </c>
      <c r="AF9" s="1235"/>
      <c r="AG9" s="1235"/>
      <c r="AH9" s="1234"/>
      <c r="AI9" s="1261"/>
      <c r="AJ9" s="1236">
        <f t="shared" ref="AJ9:AJ13" si="2">SUM(AE9:AI9)</f>
        <v>77198677</v>
      </c>
      <c r="AK9" s="307"/>
      <c r="AL9" s="307"/>
      <c r="AM9" s="307"/>
      <c r="AO9" s="306"/>
      <c r="AP9" s="307"/>
      <c r="AQ9" s="307"/>
      <c r="AR9" s="306"/>
      <c r="AS9" s="307"/>
      <c r="AT9" s="307"/>
      <c r="AU9" s="307"/>
      <c r="AV9" s="307"/>
      <c r="AW9" s="307"/>
      <c r="AX9" s="307"/>
      <c r="AY9" s="307"/>
      <c r="AZ9" s="307"/>
      <c r="BA9" s="307"/>
    </row>
    <row r="10" spans="1:55" s="449" customFormat="1" ht="42.75" x14ac:dyDescent="0.2">
      <c r="A10" s="1222" t="s">
        <v>492</v>
      </c>
      <c r="B10" s="1223">
        <v>0</v>
      </c>
      <c r="C10" s="1223">
        <f>'2c. tábla 2020. (2)'!N93</f>
        <v>689388</v>
      </c>
      <c r="D10" s="1223">
        <f>'2c. tábla 2020. (2)'!P93</f>
        <v>689388</v>
      </c>
      <c r="E10" s="1223">
        <f>D10-C10</f>
        <v>0</v>
      </c>
      <c r="F10" s="1224">
        <f>'2.a tábla ÚJ '!F50-'3.sz. tábla  (2)'!B10</f>
        <v>79366730</v>
      </c>
      <c r="G10" s="1226">
        <f>'2.a tábla ÚJ '!G50-'3.sz. tábla  (2)'!C10</f>
        <v>70800924</v>
      </c>
      <c r="H10" s="1585">
        <f>'2.a tábla ÚJ '!H50-'3.sz. tábla  (2)'!D10</f>
        <v>70800924</v>
      </c>
      <c r="I10" s="1225">
        <f>H10-G10</f>
        <v>0</v>
      </c>
      <c r="J10" s="1224">
        <f t="shared" si="0"/>
        <v>79366730</v>
      </c>
      <c r="K10" s="1226">
        <f t="shared" si="0"/>
        <v>71490312</v>
      </c>
      <c r="L10" s="1226">
        <f t="shared" si="0"/>
        <v>71490312</v>
      </c>
      <c r="M10" s="1226">
        <f>L10-K10</f>
        <v>0</v>
      </c>
      <c r="N10" s="1224">
        <f>'2.a tábla ÚJ '!F44</f>
        <v>181933270</v>
      </c>
      <c r="O10" s="1226">
        <f>'2.a tábla ÚJ '!G44</f>
        <v>201713219</v>
      </c>
      <c r="P10" s="1226">
        <f>'2.a tábla ÚJ '!H44</f>
        <v>201713219</v>
      </c>
      <c r="Q10" s="1227">
        <f>P10-O10</f>
        <v>0</v>
      </c>
      <c r="R10" s="1228" t="s">
        <v>492</v>
      </c>
      <c r="S10" s="1226">
        <f>'2.a tábla ÚJ '!F46</f>
        <v>0</v>
      </c>
      <c r="T10" s="1226">
        <f>'2.a tábla ÚJ '!G46</f>
        <v>11085110</v>
      </c>
      <c r="U10" s="1226">
        <f>'2.a tábla ÚJ '!H46</f>
        <v>11085416</v>
      </c>
      <c r="V10" s="1227">
        <f t="shared" ref="V10:V16" si="3">U10-T10</f>
        <v>306</v>
      </c>
      <c r="W10" s="1229"/>
      <c r="X10" s="1225"/>
      <c r="Y10" s="1225"/>
      <c r="Z10" s="1225"/>
      <c r="AA10" s="1230">
        <f t="shared" si="1"/>
        <v>261300000</v>
      </c>
      <c r="AB10" s="1231">
        <f t="shared" si="1"/>
        <v>284288641</v>
      </c>
      <c r="AC10" s="1231">
        <f t="shared" si="1"/>
        <v>284288947</v>
      </c>
      <c r="AD10" s="1232">
        <f>AC10-AB10</f>
        <v>306</v>
      </c>
      <c r="AE10" s="1233">
        <f>155111872+62161+17500000+39753+3062500+1566084+330200-83990+1100000-354012</f>
        <v>178334568</v>
      </c>
      <c r="AF10" s="1234">
        <f>86619000-2882551+86128+84015+1000000+83990</f>
        <v>84990582</v>
      </c>
      <c r="AG10" s="1235">
        <f>19569128-86128-84015+1564506</f>
        <v>20963491</v>
      </c>
      <c r="AH10" s="1223"/>
      <c r="AI10" s="1232"/>
      <c r="AJ10" s="1236">
        <f>SUM(AE10:AI10)</f>
        <v>284288641</v>
      </c>
      <c r="AK10" s="1237"/>
      <c r="AL10" s="1237"/>
      <c r="AM10" s="1237"/>
      <c r="AO10" s="1238"/>
      <c r="AP10" s="1237"/>
      <c r="AQ10" s="1237"/>
      <c r="AR10" s="1238"/>
      <c r="AS10" s="1237"/>
      <c r="AT10" s="1237"/>
      <c r="AU10" s="1237"/>
      <c r="AV10" s="1237"/>
      <c r="AW10" s="1237"/>
      <c r="AX10" s="1237"/>
      <c r="AY10" s="1237"/>
      <c r="AZ10" s="1237"/>
      <c r="BA10" s="1237"/>
    </row>
    <row r="11" spans="1:55" s="1246" customFormat="1" ht="28.5" customHeight="1" x14ac:dyDescent="0.2">
      <c r="A11" s="1239" t="s">
        <v>493</v>
      </c>
      <c r="B11" s="1223">
        <v>45165455</v>
      </c>
      <c r="C11" s="1223">
        <f>'2c. tábla 2020. (2)'!N61</f>
        <v>47423825.074784279</v>
      </c>
      <c r="D11" s="1223">
        <f>'2c. tábla 2020. (2)'!P61</f>
        <v>47423825.074784279</v>
      </c>
      <c r="E11" s="1223">
        <f t="shared" ref="E11:E16" si="4">D11-C11</f>
        <v>0</v>
      </c>
      <c r="F11" s="1224">
        <f>'2.a tábla ÚJ '!J50-'3.sz. tábla  (2)'!B11</f>
        <v>23803251</v>
      </c>
      <c r="G11" s="1225">
        <f>'2.a tábla ÚJ '!K50-'3.sz. tábla  (2)'!C11</f>
        <v>17384788.925215721</v>
      </c>
      <c r="H11" s="1226">
        <f>'2.a tábla ÚJ '!L50-'3.sz. tábla  (2)'!D11</f>
        <v>17384788.925215721</v>
      </c>
      <c r="I11" s="1225">
        <f t="shared" ref="I11:I15" si="5">H11-G11</f>
        <v>0</v>
      </c>
      <c r="J11" s="1240">
        <f t="shared" si="0"/>
        <v>68968706</v>
      </c>
      <c r="K11" s="1241">
        <f t="shared" si="0"/>
        <v>64808614</v>
      </c>
      <c r="L11" s="1241">
        <f t="shared" si="0"/>
        <v>64808614</v>
      </c>
      <c r="M11" s="1226">
        <f t="shared" ref="M11:M16" si="6">L11-K11</f>
        <v>0</v>
      </c>
      <c r="N11" s="1224">
        <f>'2.a tábla ÚJ '!J44</f>
        <v>4433568</v>
      </c>
      <c r="O11" s="1226">
        <f>'2.a tábla ÚJ '!K44</f>
        <v>4163568</v>
      </c>
      <c r="P11" s="1226">
        <f>'2.a tábla ÚJ '!L44</f>
        <v>4163568</v>
      </c>
      <c r="Q11" s="1227">
        <f t="shared" ref="Q11:Q16" si="7">P11-O11</f>
        <v>0</v>
      </c>
      <c r="R11" s="1242" t="s">
        <v>493</v>
      </c>
      <c r="S11" s="1226">
        <f>'2.a tábla ÚJ '!J46</f>
        <v>178958</v>
      </c>
      <c r="T11" s="1226">
        <f>'2.a tábla ÚJ '!K46</f>
        <v>4864290</v>
      </c>
      <c r="U11" s="1226">
        <f>'2.a tábla ÚJ '!L46</f>
        <v>4865289</v>
      </c>
      <c r="V11" s="1227">
        <f t="shared" si="3"/>
        <v>999</v>
      </c>
      <c r="W11" s="1229"/>
      <c r="X11" s="1225"/>
      <c r="Y11" s="1225"/>
      <c r="Z11" s="1225"/>
      <c r="AA11" s="1230">
        <f t="shared" si="1"/>
        <v>73581232</v>
      </c>
      <c r="AB11" s="1231">
        <f>K11+O11+T11+X11</f>
        <v>73836472</v>
      </c>
      <c r="AC11" s="1231">
        <f>L11+P11+U11+Y11</f>
        <v>73837471</v>
      </c>
      <c r="AD11" s="1232">
        <f t="shared" ref="AD11:AD16" si="8">AC11-AB11</f>
        <v>999</v>
      </c>
      <c r="AE11" s="1233">
        <f>AC11-AG11</f>
        <v>69633557</v>
      </c>
      <c r="AF11" s="1223">
        <v>0</v>
      </c>
      <c r="AG11" s="1235">
        <f>'4.sz.tábla '!AX8</f>
        <v>4203914</v>
      </c>
      <c r="AH11" s="1243"/>
      <c r="AI11" s="1244"/>
      <c r="AJ11" s="1236">
        <f>SUM(AE11:AI11)</f>
        <v>73837471</v>
      </c>
      <c r="AK11" s="1245"/>
      <c r="AL11" s="1245"/>
      <c r="AM11" s="1245"/>
      <c r="AO11" s="1247"/>
      <c r="AP11" s="1245"/>
      <c r="AQ11" s="1245"/>
      <c r="AR11" s="1247"/>
      <c r="AS11" s="1245"/>
      <c r="AT11" s="1245"/>
      <c r="AU11" s="1245"/>
      <c r="AV11" s="1245"/>
      <c r="AW11" s="1245"/>
      <c r="AX11" s="1245"/>
      <c r="AY11" s="1245"/>
      <c r="AZ11" s="1245"/>
      <c r="BA11" s="1245"/>
    </row>
    <row r="12" spans="1:55" s="1279" customFormat="1" ht="27.75" customHeight="1" x14ac:dyDescent="0.2">
      <c r="A12" s="1269" t="s">
        <v>108</v>
      </c>
      <c r="B12" s="1270">
        <f t="shared" ref="B12:C12" si="9">B9+B10+B11</f>
        <v>62225342</v>
      </c>
      <c r="C12" s="1270">
        <f t="shared" si="9"/>
        <v>75874167.074784279</v>
      </c>
      <c r="D12" s="1270">
        <f t="shared" ref="D12" si="10">D9+D10+D11</f>
        <v>73874167.074784279</v>
      </c>
      <c r="E12" s="1481">
        <f t="shared" si="4"/>
        <v>-2000000</v>
      </c>
      <c r="F12" s="1271">
        <f t="shared" ref="F12:G12" si="11">F9+F10+F11</f>
        <v>143250362</v>
      </c>
      <c r="G12" s="1270">
        <f t="shared" si="11"/>
        <v>108118898.92521572</v>
      </c>
      <c r="H12" s="1270">
        <f t="shared" ref="H12" si="12">H9+H10+H11</f>
        <v>110118898.92521572</v>
      </c>
      <c r="I12" s="1480">
        <f t="shared" si="5"/>
        <v>2000000</v>
      </c>
      <c r="J12" s="1272">
        <f t="shared" si="0"/>
        <v>205475704</v>
      </c>
      <c r="K12" s="1273">
        <f t="shared" si="0"/>
        <v>183993066</v>
      </c>
      <c r="L12" s="1273">
        <f t="shared" si="0"/>
        <v>183993066</v>
      </c>
      <c r="M12" s="1273">
        <f t="shared" si="6"/>
        <v>0</v>
      </c>
      <c r="N12" s="1271">
        <f>N9+N10+N11</f>
        <v>193668326</v>
      </c>
      <c r="O12" s="1274">
        <f>O9+O10+O11</f>
        <v>222638275</v>
      </c>
      <c r="P12" s="1274">
        <f>P9+P10+P11</f>
        <v>222638275</v>
      </c>
      <c r="Q12" s="1479">
        <f t="shared" si="7"/>
        <v>0</v>
      </c>
      <c r="R12" s="1276" t="s">
        <v>108</v>
      </c>
      <c r="S12" s="1274">
        <f>S9+S10+S11</f>
        <v>10705437</v>
      </c>
      <c r="T12" s="1274">
        <f>T9+T10+T11</f>
        <v>28881660</v>
      </c>
      <c r="U12" s="1274">
        <f>U9+U10+U11</f>
        <v>28693754</v>
      </c>
      <c r="V12" s="1479">
        <f t="shared" si="3"/>
        <v>-187906</v>
      </c>
      <c r="W12" s="1277"/>
      <c r="X12" s="1270"/>
      <c r="Y12" s="1270"/>
      <c r="Z12" s="1270"/>
      <c r="AA12" s="1277">
        <f>AA9+AA10+AA11</f>
        <v>409849467</v>
      </c>
      <c r="AB12" s="1274">
        <f>AB9+AB10+AB11</f>
        <v>435513001</v>
      </c>
      <c r="AC12" s="1274">
        <f>AC9+AC10+AC11</f>
        <v>435325095</v>
      </c>
      <c r="AD12" s="1275">
        <f t="shared" si="8"/>
        <v>-187906</v>
      </c>
      <c r="AE12" s="1271">
        <f>SUM(AE9:AE11)</f>
        <v>325166802</v>
      </c>
      <c r="AF12" s="1270">
        <f t="shared" ref="AF12:AG12" si="13">SUM(AF9:AF11)</f>
        <v>84990582</v>
      </c>
      <c r="AG12" s="1274">
        <f t="shared" si="13"/>
        <v>25167405</v>
      </c>
      <c r="AH12" s="1270"/>
      <c r="AI12" s="1275">
        <f>SUM(AI9:AI11)</f>
        <v>0</v>
      </c>
      <c r="AJ12" s="1487">
        <f t="shared" si="2"/>
        <v>435324789</v>
      </c>
      <c r="AK12" s="1278"/>
      <c r="AL12" s="1278"/>
      <c r="AM12" s="1278"/>
      <c r="AO12" s="1280"/>
      <c r="AP12" s="1278"/>
      <c r="AQ12" s="1278"/>
      <c r="AR12" s="1280"/>
      <c r="AS12" s="1278"/>
      <c r="AT12" s="1278"/>
      <c r="AU12" s="1278"/>
      <c r="AV12" s="1278"/>
      <c r="AW12" s="1278"/>
      <c r="AX12" s="1278"/>
      <c r="AY12" s="1278"/>
      <c r="AZ12" s="1278"/>
      <c r="BA12" s="1278"/>
    </row>
    <row r="13" spans="1:55" s="1236" customFormat="1" ht="28.5" x14ac:dyDescent="0.2">
      <c r="A13" s="1263" t="s">
        <v>200</v>
      </c>
      <c r="B13" s="1223">
        <v>179444400</v>
      </c>
      <c r="C13" s="1223">
        <f>'2c. tábla 2020. (2)'!L83</f>
        <v>215763923</v>
      </c>
      <c r="D13" s="1223">
        <f>'2c. tábla 2020. (2)'!P83</f>
        <v>215763923</v>
      </c>
      <c r="E13" s="1223">
        <f t="shared" si="4"/>
        <v>0</v>
      </c>
      <c r="F13" s="1224">
        <f>'2.a tábla ÚJ '!S50-'3.sz. tábla  (2)'!B13</f>
        <v>238927075</v>
      </c>
      <c r="G13" s="1226">
        <f>'2.a tábla ÚJ '!T50-'3.sz. tábla  (2)'!C13</f>
        <v>181964040</v>
      </c>
      <c r="H13" s="1585">
        <f>'2.a tábla ÚJ '!U50-'3.sz. tábla  (2)'!D13</f>
        <v>182232731</v>
      </c>
      <c r="I13" s="1225">
        <f t="shared" si="5"/>
        <v>268691</v>
      </c>
      <c r="J13" s="1224">
        <f>B13+F13</f>
        <v>418371475</v>
      </c>
      <c r="K13" s="1226">
        <f t="shared" si="0"/>
        <v>397727963</v>
      </c>
      <c r="L13" s="1226">
        <f t="shared" si="0"/>
        <v>397996654</v>
      </c>
      <c r="M13" s="1226">
        <f t="shared" si="6"/>
        <v>268691</v>
      </c>
      <c r="N13" s="1224">
        <f>'2.a tábla ÚJ '!S44</f>
        <v>64232559</v>
      </c>
      <c r="O13" s="1226">
        <f>'2.a tábla ÚJ '!T44</f>
        <v>58166385</v>
      </c>
      <c r="P13" s="1226">
        <f>'2.a tábla ÚJ '!U44</f>
        <v>58166385</v>
      </c>
      <c r="Q13" s="1227">
        <f t="shared" si="7"/>
        <v>0</v>
      </c>
      <c r="R13" s="1264" t="s">
        <v>200</v>
      </c>
      <c r="S13" s="1226">
        <f>'2.a tábla ÚJ '!S46</f>
        <v>0</v>
      </c>
      <c r="T13" s="1226">
        <f>'2.a tábla ÚJ '!T46</f>
        <v>35572714</v>
      </c>
      <c r="U13" s="1226">
        <f>'2.a tábla ÚJ '!U46</f>
        <v>35572194</v>
      </c>
      <c r="V13" s="1227">
        <f t="shared" si="3"/>
        <v>-520</v>
      </c>
      <c r="W13" s="1229"/>
      <c r="X13" s="1225"/>
      <c r="Y13" s="1225"/>
      <c r="Z13" s="1225"/>
      <c r="AA13" s="1230">
        <f>J13+N13+S13+W13</f>
        <v>482604034</v>
      </c>
      <c r="AB13" s="1231">
        <f>K13+O13+T13+X13</f>
        <v>491467062</v>
      </c>
      <c r="AC13" s="1231">
        <f>L13+P13+U13+Y13</f>
        <v>491735233</v>
      </c>
      <c r="AD13" s="1232">
        <f t="shared" si="8"/>
        <v>268171</v>
      </c>
      <c r="AE13" s="1265">
        <f>'4.sz.tábla '!AW10</f>
        <v>388760223</v>
      </c>
      <c r="AF13" s="1266">
        <v>0</v>
      </c>
      <c r="AG13" s="1267">
        <f>'4.sz.tábla '!AX10</f>
        <v>11931615</v>
      </c>
      <c r="AH13" s="1266">
        <f>'9. sz. tábla (2)'!C84+'9. sz. tábla (2)'!C93</f>
        <v>58878147.384399995</v>
      </c>
      <c r="AI13" s="1268">
        <f>'4.sz.tábla '!AY10-'3.sz. tábla  (2)'!AH14</f>
        <v>32165247.615600005</v>
      </c>
      <c r="AJ13" s="1236">
        <f t="shared" si="2"/>
        <v>491735233</v>
      </c>
    </row>
    <row r="14" spans="1:55" s="1279" customFormat="1" ht="30.75" thickBot="1" x14ac:dyDescent="0.25">
      <c r="A14" s="1281" t="s">
        <v>107</v>
      </c>
      <c r="B14" s="1282">
        <f t="shared" ref="B14" si="14">SUM(B12:B13)</f>
        <v>241669742</v>
      </c>
      <c r="C14" s="1282">
        <f t="shared" ref="C14" si="15">SUM(C12:C13)</f>
        <v>291638090.07478428</v>
      </c>
      <c r="D14" s="1282">
        <f t="shared" ref="D14" si="16">SUM(D12:D13)</f>
        <v>289638090.07478428</v>
      </c>
      <c r="E14" s="1482">
        <f t="shared" si="4"/>
        <v>-2000000</v>
      </c>
      <c r="F14" s="1283">
        <f t="shared" ref="F14:J14" si="17">SUM(F12:F13)</f>
        <v>382177437</v>
      </c>
      <c r="G14" s="1284">
        <f t="shared" ref="G14:H14" si="18">SUM(G12:G13)</f>
        <v>290082938.92521572</v>
      </c>
      <c r="H14" s="1284">
        <f t="shared" si="18"/>
        <v>292351629.92521572</v>
      </c>
      <c r="I14" s="1477">
        <f t="shared" si="5"/>
        <v>2268691</v>
      </c>
      <c r="J14" s="1285">
        <f t="shared" si="17"/>
        <v>623847179</v>
      </c>
      <c r="K14" s="1286">
        <f t="shared" ref="K14:L14" si="19">SUM(K12:K13)</f>
        <v>581721029</v>
      </c>
      <c r="L14" s="1286">
        <f t="shared" si="19"/>
        <v>581989720</v>
      </c>
      <c r="M14" s="1477">
        <f t="shared" si="6"/>
        <v>268691</v>
      </c>
      <c r="N14" s="1283">
        <f t="shared" ref="N14:O14" si="20">SUM(N12:N13)</f>
        <v>257900885</v>
      </c>
      <c r="O14" s="1287">
        <f t="shared" si="20"/>
        <v>280804660</v>
      </c>
      <c r="P14" s="1287">
        <f t="shared" ref="P14" si="21">SUM(P12:P13)</f>
        <v>280804660</v>
      </c>
      <c r="Q14" s="1477">
        <f t="shared" si="7"/>
        <v>0</v>
      </c>
      <c r="R14" s="1288" t="s">
        <v>107</v>
      </c>
      <c r="S14" s="1287">
        <f>SUM(S12:S13)</f>
        <v>10705437</v>
      </c>
      <c r="T14" s="1287">
        <f>SUM(T12:T13)</f>
        <v>64454374</v>
      </c>
      <c r="U14" s="1287">
        <f>SUM(U12:U13)</f>
        <v>64265948</v>
      </c>
      <c r="V14" s="1485">
        <f t="shared" si="3"/>
        <v>-188426</v>
      </c>
      <c r="W14" s="1289"/>
      <c r="X14" s="1282"/>
      <c r="Y14" s="1282"/>
      <c r="Z14" s="1282"/>
      <c r="AA14" s="1289">
        <f t="shared" ref="AA14:AB14" si="22">SUM(AA12:AA13)</f>
        <v>892453501</v>
      </c>
      <c r="AB14" s="1286">
        <f t="shared" si="22"/>
        <v>926980063</v>
      </c>
      <c r="AC14" s="1286">
        <f t="shared" ref="AC14" si="23">SUM(AC12:AC13)</f>
        <v>927060328</v>
      </c>
      <c r="AD14" s="1290">
        <f t="shared" si="8"/>
        <v>80265</v>
      </c>
      <c r="AE14" s="1283">
        <f t="shared" ref="AE14:AI14" si="24">SUM(AE12:AE13)</f>
        <v>713927025</v>
      </c>
      <c r="AF14" s="1284">
        <f t="shared" si="24"/>
        <v>84990582</v>
      </c>
      <c r="AG14" s="1286">
        <f t="shared" si="24"/>
        <v>37099020</v>
      </c>
      <c r="AH14" s="1286">
        <f t="shared" si="24"/>
        <v>58878147.384399995</v>
      </c>
      <c r="AI14" s="1290">
        <f t="shared" si="24"/>
        <v>32165247.615600005</v>
      </c>
      <c r="AJ14" s="1487">
        <f>SUM(AE14:AI14)</f>
        <v>927060022</v>
      </c>
      <c r="AK14" s="1278"/>
      <c r="AL14" s="1278"/>
      <c r="AM14" s="1278"/>
      <c r="AO14" s="1280"/>
      <c r="AP14" s="1278"/>
      <c r="AQ14" s="1278"/>
      <c r="AR14" s="1280"/>
      <c r="AS14" s="1278"/>
      <c r="AT14" s="1278"/>
      <c r="AU14" s="1278"/>
      <c r="AV14" s="1278"/>
      <c r="AW14" s="1278"/>
      <c r="AX14" s="1278"/>
      <c r="AY14" s="1278"/>
      <c r="AZ14" s="1278"/>
      <c r="BA14" s="1278"/>
    </row>
    <row r="15" spans="1:55" ht="15" thickBot="1" x14ac:dyDescent="0.25">
      <c r="A15" s="370" t="s">
        <v>386</v>
      </c>
      <c r="B15" s="383">
        <v>773060392</v>
      </c>
      <c r="C15" s="383">
        <f>C18-C14</f>
        <v>893064189.92521572</v>
      </c>
      <c r="D15" s="383">
        <f>D18-D14</f>
        <v>895064189.92521572</v>
      </c>
      <c r="E15" s="1483">
        <f t="shared" si="4"/>
        <v>2000000</v>
      </c>
      <c r="F15" s="445">
        <f>-F14</f>
        <v>-382177437</v>
      </c>
      <c r="G15" s="386">
        <f>-G14</f>
        <v>-290082938.92521572</v>
      </c>
      <c r="H15" s="386">
        <f>-H14</f>
        <v>-292351629.92521572</v>
      </c>
      <c r="I15" s="1476">
        <f t="shared" si="5"/>
        <v>-2268691</v>
      </c>
      <c r="J15" s="570"/>
      <c r="K15" s="383"/>
      <c r="L15" s="383"/>
      <c r="M15" s="1476">
        <f t="shared" si="6"/>
        <v>0</v>
      </c>
      <c r="N15" s="382">
        <f>'2.sz.tábla   (2)'!B92-'2.sz.tábla   (2)'!B75-'2.sz.tábla   (2)'!B8</f>
        <v>8404882840</v>
      </c>
      <c r="O15" s="375">
        <f>'2.sz.tábla   (2)'!C92-'2.sz.tábla   (2)'!C75-'2.sz.tábla   (2)'!C8-'2.sz.tábla   (2)'!C23</f>
        <v>9503127538</v>
      </c>
      <c r="P15" s="375">
        <f>'2.sz.tábla   (2)'!D92-'2.sz.tábla   (2)'!D75-'2.sz.tábla   (2)'!D8-'2.sz.tábla   (2)'!D23</f>
        <v>9503054991</v>
      </c>
      <c r="Q15" s="1476">
        <f t="shared" si="7"/>
        <v>-72547</v>
      </c>
      <c r="R15" s="381" t="s">
        <v>386</v>
      </c>
      <c r="S15" s="375">
        <f>'2.sz.tábla   (2)'!B76</f>
        <v>2863791597</v>
      </c>
      <c r="T15" s="375">
        <f>'2.sz.tábla   (2)'!C76</f>
        <v>3054641190</v>
      </c>
      <c r="U15" s="375">
        <f>'2.sz.tábla   (2)'!D76</f>
        <v>3048102611</v>
      </c>
      <c r="V15" s="1254">
        <f t="shared" si="3"/>
        <v>-6538579</v>
      </c>
      <c r="W15" s="382">
        <f>'2.sz.tábla   (2)'!B79</f>
        <v>438387185</v>
      </c>
      <c r="X15" s="383">
        <f>'2.sz.tábla   (2)'!C79</f>
        <v>2302112000</v>
      </c>
      <c r="Y15" s="383">
        <f>'2.sz.tábla   (2)'!D79</f>
        <v>2337532853</v>
      </c>
      <c r="Z15" s="383">
        <f>Y15-X15</f>
        <v>35420853</v>
      </c>
      <c r="AA15" s="445">
        <f>J15+N15+S15+W15+F15+B15</f>
        <v>12097944577</v>
      </c>
      <c r="AB15" s="386">
        <f>K15+O15+T15+X15+G15+C15</f>
        <v>15462861979</v>
      </c>
      <c r="AC15" s="386">
        <f>L15+P15+U15+Y15+H15+D15</f>
        <v>15491403015</v>
      </c>
      <c r="AD15" s="1488">
        <f t="shared" si="8"/>
        <v>28541036</v>
      </c>
      <c r="AE15" s="445"/>
      <c r="AF15" s="386"/>
      <c r="AG15" s="1148"/>
      <c r="AH15" s="386"/>
      <c r="AI15" s="384"/>
      <c r="AJ15" s="36"/>
      <c r="AK15" s="36"/>
      <c r="AL15" s="36"/>
      <c r="AM15" s="36"/>
      <c r="AO15" s="16"/>
      <c r="AP15" s="36"/>
      <c r="AQ15" s="36"/>
      <c r="AR15" s="16"/>
      <c r="AS15" s="36"/>
      <c r="AT15" s="36"/>
      <c r="AU15" s="36"/>
      <c r="AV15" s="36"/>
      <c r="AW15" s="36"/>
      <c r="AX15" s="36"/>
      <c r="AY15" s="36"/>
      <c r="AZ15" s="36"/>
      <c r="BA15" s="36"/>
    </row>
    <row r="16" spans="1:55" s="13" customFormat="1" ht="15.75" thickBot="1" x14ac:dyDescent="0.3">
      <c r="A16" s="352" t="s">
        <v>109</v>
      </c>
      <c r="B16" s="446">
        <f t="shared" ref="B16" si="25">SUM(B14:B15)</f>
        <v>1014730134</v>
      </c>
      <c r="C16" s="446">
        <f t="shared" ref="C16" si="26">SUM(C14:C15)</f>
        <v>1184702280</v>
      </c>
      <c r="D16" s="446">
        <f t="shared" ref="D16" si="27">SUM(D14:D15)</f>
        <v>1184702280</v>
      </c>
      <c r="E16" s="1484">
        <f t="shared" si="4"/>
        <v>0</v>
      </c>
      <c r="F16" s="447">
        <f t="shared" ref="F16" si="28">SUM(F14:F15)</f>
        <v>0</v>
      </c>
      <c r="G16" s="446"/>
      <c r="H16" s="446"/>
      <c r="I16" s="275"/>
      <c r="J16" s="447">
        <f t="shared" ref="J16" si="29">SUM(J14:J15)</f>
        <v>623847179</v>
      </c>
      <c r="K16" s="353">
        <f t="shared" ref="K16:L16" si="30">SUM(K14:K15)</f>
        <v>581721029</v>
      </c>
      <c r="L16" s="353">
        <f t="shared" si="30"/>
        <v>581989720</v>
      </c>
      <c r="M16" s="1478">
        <f t="shared" si="6"/>
        <v>268691</v>
      </c>
      <c r="N16" s="274">
        <f t="shared" ref="N16:O16" si="31">SUM(N14:N15)</f>
        <v>8662783725</v>
      </c>
      <c r="O16" s="172">
        <f t="shared" si="31"/>
        <v>9783932198</v>
      </c>
      <c r="P16" s="172">
        <f t="shared" ref="P16" si="32">SUM(P14:P15)</f>
        <v>9783859651</v>
      </c>
      <c r="Q16" s="1478">
        <f t="shared" si="7"/>
        <v>-72547</v>
      </c>
      <c r="R16" s="352" t="s">
        <v>109</v>
      </c>
      <c r="S16" s="172">
        <f t="shared" ref="S16" si="33">SUM(S14:S15)</f>
        <v>2874497034</v>
      </c>
      <c r="T16" s="172">
        <f>SUM(T14:T15)</f>
        <v>3119095564</v>
      </c>
      <c r="U16" s="172">
        <f>SUM(U14:U15)</f>
        <v>3112368559</v>
      </c>
      <c r="V16" s="1486">
        <f t="shared" si="3"/>
        <v>-6727005</v>
      </c>
      <c r="W16" s="172">
        <f t="shared" ref="W16:AB16" si="34">SUM(W14:W15)</f>
        <v>438387185</v>
      </c>
      <c r="X16" s="172">
        <f t="shared" ref="X16:Y16" si="35">SUM(X14:X15)</f>
        <v>2302112000</v>
      </c>
      <c r="Y16" s="172">
        <f t="shared" si="35"/>
        <v>2337532853</v>
      </c>
      <c r="Z16" s="172">
        <f t="shared" si="34"/>
        <v>35420853</v>
      </c>
      <c r="AA16" s="274">
        <f t="shared" si="34"/>
        <v>12990398078</v>
      </c>
      <c r="AB16" s="294">
        <f t="shared" si="34"/>
        <v>16389842042</v>
      </c>
      <c r="AC16" s="294">
        <f t="shared" ref="AC16" si="36">SUM(AC14:AC15)</f>
        <v>16418463343</v>
      </c>
      <c r="AD16" s="1489">
        <f t="shared" si="8"/>
        <v>28621301</v>
      </c>
      <c r="AE16" s="447"/>
      <c r="AF16" s="446"/>
      <c r="AG16" s="1149"/>
      <c r="AH16" s="1150"/>
      <c r="AI16" s="1151"/>
      <c r="AJ16" s="39"/>
      <c r="AK16" s="39"/>
      <c r="AL16" s="39"/>
      <c r="AM16" s="39"/>
      <c r="AN16" s="39"/>
      <c r="AO16" s="39"/>
      <c r="AQ16" s="12"/>
      <c r="AR16" s="39"/>
      <c r="AS16" s="39"/>
      <c r="AT16" s="12"/>
      <c r="AU16" s="39"/>
      <c r="AV16" s="39"/>
      <c r="AW16" s="39"/>
      <c r="AX16" s="39"/>
      <c r="AY16" s="39"/>
      <c r="AZ16" s="39"/>
      <c r="BA16" s="39"/>
      <c r="BB16" s="39"/>
      <c r="BC16" s="39"/>
    </row>
    <row r="17" spans="2:34" x14ac:dyDescent="0.2">
      <c r="C17" s="448"/>
      <c r="D17" s="448"/>
      <c r="E17" s="448"/>
      <c r="AD17" s="448">
        <f>'2.sz.tábla   (2)'!Q92</f>
        <v>28621301</v>
      </c>
      <c r="AF17" s="448"/>
      <c r="AH17" s="448"/>
    </row>
    <row r="18" spans="2:34" x14ac:dyDescent="0.2">
      <c r="B18" s="448">
        <v>1008634125</v>
      </c>
      <c r="C18" s="448">
        <v>1184702280</v>
      </c>
      <c r="D18" s="448">
        <v>1184702280</v>
      </c>
      <c r="E18" s="448"/>
      <c r="AD18" s="448">
        <f>AD16-AD17</f>
        <v>0</v>
      </c>
    </row>
    <row r="19" spans="2:34" x14ac:dyDescent="0.2">
      <c r="O19" s="29"/>
      <c r="P19" s="29"/>
      <c r="Q19" s="29"/>
    </row>
  </sheetData>
  <sheetProtection selectLockedCells="1" selectUnlockedCells="1"/>
  <mergeCells count="19">
    <mergeCell ref="AE6:AI6"/>
    <mergeCell ref="AE7:AE8"/>
    <mergeCell ref="AF7:AG7"/>
    <mergeCell ref="AH7:AI7"/>
    <mergeCell ref="S6:V7"/>
    <mergeCell ref="W6:Z7"/>
    <mergeCell ref="AA6:AD7"/>
    <mergeCell ref="A1:N1"/>
    <mergeCell ref="S1:AD1"/>
    <mergeCell ref="A2:N2"/>
    <mergeCell ref="R2:AD2"/>
    <mergeCell ref="A3:Q3"/>
    <mergeCell ref="R3:AI3"/>
    <mergeCell ref="R6:R8"/>
    <mergeCell ref="A6:A8"/>
    <mergeCell ref="B6:E7"/>
    <mergeCell ref="F6:I7"/>
    <mergeCell ref="J6:M7"/>
    <mergeCell ref="N6:Q7"/>
  </mergeCells>
  <printOptions horizontalCentered="1"/>
  <pageMargins left="0.25" right="0.25" top="0.75" bottom="0.75" header="0.3" footer="0.3"/>
  <pageSetup paperSize="9" scale="49" firstPageNumber="0" fitToWidth="0" fitToHeight="0" orientation="landscape" r:id="rId1"/>
  <headerFooter alignWithMargins="0">
    <oddHeader xml:space="preserve">&amp;C3. melléklet
a 6/2021. (III.05.) önkormányzati rendelethez
 az önkormányzat 2020. évi költségvetéséről szóló 6/2020. (III.06.) önkormányzati rendelet 
3. mellékletének helyébe a következő 3. melléklet lép:  &amp;R
&amp;P. oldal
</oddHeader>
  </headerFooter>
  <colBreaks count="1" manualBreakCount="1">
    <brk id="17" max="15" man="1"/>
  </colBreaks>
  <ignoredErrors>
    <ignoredError sqref="AA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5"/>
  <sheetViews>
    <sheetView view="pageLayout" topLeftCell="AM6" zoomScaleNormal="100" zoomScaleSheetLayoutView="89" workbookViewId="0">
      <selection activeCell="AB27" sqref="AB27:AB29"/>
    </sheetView>
  </sheetViews>
  <sheetFormatPr defaultColWidth="9.140625" defaultRowHeight="14.25" x14ac:dyDescent="0.2"/>
  <cols>
    <col min="1" max="1" width="23.28515625" style="10" customWidth="1"/>
    <col min="2" max="5" width="13.28515625" style="10" customWidth="1"/>
    <col min="6" max="6" width="15.28515625" style="10" customWidth="1"/>
    <col min="7" max="8" width="14.7109375" style="10" customWidth="1"/>
    <col min="9" max="9" width="14.85546875" style="10" customWidth="1"/>
    <col min="10" max="10" width="16.140625" style="10" customWidth="1"/>
    <col min="11" max="12" width="14.7109375" style="10" customWidth="1"/>
    <col min="13" max="13" width="14.28515625" style="441" bestFit="1" customWidth="1"/>
    <col min="14" max="14" width="18.7109375" style="10" customWidth="1"/>
    <col min="15" max="15" width="14" style="10" customWidth="1"/>
    <col min="16" max="17" width="13.5703125" style="10" customWidth="1"/>
    <col min="18" max="18" width="12" style="10" customWidth="1"/>
    <col min="19" max="19" width="14" style="10" customWidth="1"/>
    <col min="20" max="21" width="14.28515625" style="10" customWidth="1"/>
    <col min="22" max="22" width="14.28515625" style="10" bestFit="1" customWidth="1"/>
    <col min="23" max="23" width="15.140625" style="10" customWidth="1"/>
    <col min="24" max="25" width="15.28515625" style="10" customWidth="1"/>
    <col min="26" max="26" width="15.85546875" style="10" customWidth="1"/>
    <col min="27" max="27" width="16.140625" style="10" customWidth="1"/>
    <col min="28" max="28" width="13" style="10" customWidth="1"/>
    <col min="29" max="30" width="12.28515625" style="10" customWidth="1"/>
    <col min="31" max="31" width="13.5703125" style="10" customWidth="1"/>
    <col min="32" max="32" width="12.5703125" style="10" customWidth="1"/>
    <col min="33" max="34" width="14.5703125" style="10" customWidth="1"/>
    <col min="35" max="35" width="14.85546875" style="10" customWidth="1"/>
    <col min="36" max="36" width="13" style="10" customWidth="1"/>
    <col min="37" max="38" width="12.28515625" style="10" customWidth="1"/>
    <col min="39" max="39" width="12.5703125" style="10" customWidth="1"/>
    <col min="40" max="40" width="16.42578125" style="10" customWidth="1"/>
    <col min="41" max="41" width="13" style="10" customWidth="1"/>
    <col min="42" max="43" width="12.7109375" style="10" customWidth="1"/>
    <col min="44" max="44" width="15" style="10" customWidth="1"/>
    <col min="45" max="45" width="15.5703125" style="10" customWidth="1"/>
    <col min="46" max="47" width="15.140625" style="10" customWidth="1"/>
    <col min="48" max="48" width="16.7109375" style="10" customWidth="1"/>
    <col min="49" max="49" width="14.28515625" style="10" customWidth="1"/>
    <col min="50" max="50" width="15.42578125" style="10" customWidth="1"/>
    <col min="51" max="52" width="13" style="10" customWidth="1"/>
    <col min="53" max="16384" width="9.140625" style="10"/>
  </cols>
  <sheetData>
    <row r="1" spans="1:52" s="642" customFormat="1" x14ac:dyDescent="0.2">
      <c r="C1" s="1404"/>
      <c r="D1" s="1404"/>
      <c r="E1" s="1404"/>
      <c r="F1" s="1404"/>
      <c r="G1" s="1404"/>
      <c r="H1" s="1404"/>
      <c r="M1" s="1531"/>
    </row>
    <row r="2" spans="1:52" ht="77.25" customHeight="1" x14ac:dyDescent="0.25">
      <c r="A2" s="1622" t="s">
        <v>980</v>
      </c>
      <c r="B2" s="1622"/>
      <c r="C2" s="1622"/>
      <c r="D2" s="1622"/>
      <c r="E2" s="1622"/>
      <c r="F2" s="1622"/>
      <c r="G2" s="1622"/>
      <c r="H2" s="1622"/>
      <c r="I2" s="1622"/>
      <c r="J2" s="1622"/>
      <c r="K2" s="1622"/>
      <c r="L2" s="1622"/>
      <c r="M2" s="1622"/>
      <c r="N2" s="1622" t="s">
        <v>980</v>
      </c>
      <c r="O2" s="1622"/>
      <c r="P2" s="1622"/>
      <c r="Q2" s="1622"/>
      <c r="R2" s="1622"/>
      <c r="S2" s="1622"/>
      <c r="T2" s="1622"/>
      <c r="U2" s="1622"/>
      <c r="V2" s="1622"/>
      <c r="W2" s="1622"/>
      <c r="X2" s="1622"/>
      <c r="Y2" s="1622"/>
      <c r="Z2" s="1622"/>
      <c r="AA2" s="1622" t="s">
        <v>980</v>
      </c>
      <c r="AB2" s="1622"/>
      <c r="AC2" s="1622"/>
      <c r="AD2" s="1622"/>
      <c r="AE2" s="1622"/>
      <c r="AF2" s="1622"/>
      <c r="AG2" s="1622"/>
      <c r="AH2" s="1622"/>
      <c r="AI2" s="1622"/>
      <c r="AJ2" s="1622"/>
      <c r="AK2" s="1622"/>
      <c r="AL2" s="1622"/>
      <c r="AM2" s="1622"/>
      <c r="AN2" s="1622" t="s">
        <v>980</v>
      </c>
      <c r="AO2" s="1622"/>
      <c r="AP2" s="1622"/>
      <c r="AQ2" s="1622"/>
      <c r="AR2" s="1622"/>
      <c r="AS2" s="1622"/>
      <c r="AT2" s="1622"/>
      <c r="AU2" s="1622"/>
      <c r="AV2" s="1622"/>
      <c r="AW2" s="1622"/>
      <c r="AX2" s="1622"/>
      <c r="AY2" s="1622"/>
    </row>
    <row r="3" spans="1:52" ht="15" thickBot="1" x14ac:dyDescent="0.25">
      <c r="W3" s="643"/>
      <c r="X3" s="643"/>
      <c r="Y3" s="643"/>
      <c r="Z3" s="643"/>
      <c r="AA3" s="643"/>
      <c r="AB3" s="643"/>
      <c r="AC3" s="643"/>
      <c r="AD3" s="404"/>
    </row>
    <row r="4" spans="1:52" s="449" customFormat="1" ht="46.5" customHeight="1" thickBot="1" x14ac:dyDescent="0.25">
      <c r="A4" s="640" t="s">
        <v>301</v>
      </c>
      <c r="B4" s="1704" t="s">
        <v>110</v>
      </c>
      <c r="C4" s="1705"/>
      <c r="D4" s="1705"/>
      <c r="E4" s="1705"/>
      <c r="F4" s="1706" t="s">
        <v>111</v>
      </c>
      <c r="G4" s="1707"/>
      <c r="H4" s="1707"/>
      <c r="I4" s="1708"/>
      <c r="J4" s="1704" t="s">
        <v>112</v>
      </c>
      <c r="K4" s="1705"/>
      <c r="L4" s="1705"/>
      <c r="M4" s="1709"/>
      <c r="N4" s="1674" t="s">
        <v>301</v>
      </c>
      <c r="O4" s="1706" t="s">
        <v>113</v>
      </c>
      <c r="P4" s="1707"/>
      <c r="Q4" s="1707"/>
      <c r="R4" s="1707"/>
      <c r="S4" s="1710" t="s">
        <v>114</v>
      </c>
      <c r="T4" s="1711"/>
      <c r="U4" s="1711"/>
      <c r="V4" s="1711"/>
      <c r="W4" s="1701" t="s">
        <v>115</v>
      </c>
      <c r="X4" s="1702"/>
      <c r="Y4" s="1702"/>
      <c r="Z4" s="1703"/>
      <c r="AA4" s="1674" t="s">
        <v>301</v>
      </c>
      <c r="AB4" s="1701" t="s">
        <v>116</v>
      </c>
      <c r="AC4" s="1702"/>
      <c r="AD4" s="1702"/>
      <c r="AE4" s="1702"/>
      <c r="AF4" s="1645" t="s">
        <v>117</v>
      </c>
      <c r="AG4" s="1646"/>
      <c r="AH4" s="1646"/>
      <c r="AI4" s="1646"/>
      <c r="AJ4" s="1701" t="s">
        <v>118</v>
      </c>
      <c r="AK4" s="1702"/>
      <c r="AL4" s="1702"/>
      <c r="AM4" s="1703"/>
      <c r="AN4" s="1674" t="s">
        <v>301</v>
      </c>
      <c r="AO4" s="1701" t="s">
        <v>322</v>
      </c>
      <c r="AP4" s="1702"/>
      <c r="AQ4" s="1702"/>
      <c r="AR4" s="1702"/>
      <c r="AS4" s="1701" t="s">
        <v>119</v>
      </c>
      <c r="AT4" s="1702"/>
      <c r="AU4" s="1702"/>
      <c r="AV4" s="1703"/>
      <c r="AW4" s="1693" t="s">
        <v>929</v>
      </c>
      <c r="AX4" s="1712"/>
      <c r="AY4" s="1694"/>
    </row>
    <row r="5" spans="1:52" s="41" customFormat="1" ht="52.5" customHeight="1" thickBot="1" x14ac:dyDescent="0.25">
      <c r="A5" s="641"/>
      <c r="B5" s="556" t="s">
        <v>657</v>
      </c>
      <c r="C5" s="390" t="s">
        <v>1041</v>
      </c>
      <c r="D5" s="390" t="s">
        <v>1088</v>
      </c>
      <c r="E5" s="391" t="s">
        <v>983</v>
      </c>
      <c r="F5" s="556" t="s">
        <v>657</v>
      </c>
      <c r="G5" s="390" t="s">
        <v>1041</v>
      </c>
      <c r="H5" s="390" t="s">
        <v>1088</v>
      </c>
      <c r="I5" s="391" t="s">
        <v>983</v>
      </c>
      <c r="J5" s="1453" t="s">
        <v>657</v>
      </c>
      <c r="K5" s="390" t="s">
        <v>1041</v>
      </c>
      <c r="L5" s="390" t="s">
        <v>1088</v>
      </c>
      <c r="M5" s="391" t="s">
        <v>983</v>
      </c>
      <c r="N5" s="1676"/>
      <c r="O5" s="1386" t="s">
        <v>657</v>
      </c>
      <c r="P5" s="390" t="s">
        <v>1041</v>
      </c>
      <c r="Q5" s="390" t="s">
        <v>1088</v>
      </c>
      <c r="R5" s="391" t="s">
        <v>983</v>
      </c>
      <c r="S5" s="1379" t="s">
        <v>657</v>
      </c>
      <c r="T5" s="390" t="s">
        <v>1041</v>
      </c>
      <c r="U5" s="390" t="s">
        <v>1088</v>
      </c>
      <c r="V5" s="391" t="s">
        <v>983</v>
      </c>
      <c r="W5" s="556" t="s">
        <v>657</v>
      </c>
      <c r="X5" s="390" t="s">
        <v>1041</v>
      </c>
      <c r="Y5" s="390" t="s">
        <v>1088</v>
      </c>
      <c r="Z5" s="391" t="s">
        <v>983</v>
      </c>
      <c r="AA5" s="1676"/>
      <c r="AB5" s="1386" t="s">
        <v>657</v>
      </c>
      <c r="AC5" s="390" t="s">
        <v>1041</v>
      </c>
      <c r="AD5" s="390" t="s">
        <v>1088</v>
      </c>
      <c r="AE5" s="391" t="s">
        <v>983</v>
      </c>
      <c r="AF5" s="556" t="s">
        <v>657</v>
      </c>
      <c r="AG5" s="390" t="s">
        <v>1041</v>
      </c>
      <c r="AH5" s="390" t="s">
        <v>1088</v>
      </c>
      <c r="AI5" s="391" t="s">
        <v>983</v>
      </c>
      <c r="AJ5" s="556" t="s">
        <v>657</v>
      </c>
      <c r="AK5" s="390" t="s">
        <v>1041</v>
      </c>
      <c r="AL5" s="390" t="s">
        <v>1088</v>
      </c>
      <c r="AM5" s="391" t="s">
        <v>983</v>
      </c>
      <c r="AN5" s="1676"/>
      <c r="AO5" s="556" t="s">
        <v>657</v>
      </c>
      <c r="AP5" s="390" t="s">
        <v>1041</v>
      </c>
      <c r="AQ5" s="390" t="s">
        <v>1088</v>
      </c>
      <c r="AR5" s="391" t="s">
        <v>983</v>
      </c>
      <c r="AS5" s="556" t="s">
        <v>657</v>
      </c>
      <c r="AT5" s="390" t="s">
        <v>1041</v>
      </c>
      <c r="AU5" s="390" t="s">
        <v>1088</v>
      </c>
      <c r="AV5" s="391" t="s">
        <v>983</v>
      </c>
      <c r="AW5" s="1152" t="s">
        <v>925</v>
      </c>
      <c r="AX5" s="1153" t="s">
        <v>926</v>
      </c>
      <c r="AY5" s="1154" t="s">
        <v>927</v>
      </c>
    </row>
    <row r="6" spans="1:52" s="35" customFormat="1" ht="28.5" customHeight="1" x14ac:dyDescent="0.2">
      <c r="A6" s="403" t="s">
        <v>201</v>
      </c>
      <c r="B6" s="731">
        <v>38052298</v>
      </c>
      <c r="C6" s="271">
        <v>39877985</v>
      </c>
      <c r="D6" s="271">
        <v>39877985</v>
      </c>
      <c r="E6" s="271">
        <f>D6-C6</f>
        <v>0</v>
      </c>
      <c r="F6" s="731">
        <v>6701937</v>
      </c>
      <c r="G6" s="271">
        <v>6761529</v>
      </c>
      <c r="H6" s="271">
        <v>6761529</v>
      </c>
      <c r="I6" s="681">
        <f>H6-G6</f>
        <v>0</v>
      </c>
      <c r="J6" s="731">
        <v>12638000</v>
      </c>
      <c r="K6" s="271">
        <v>12537265</v>
      </c>
      <c r="L6" s="271">
        <f>12537265-189211</f>
        <v>12348054</v>
      </c>
      <c r="M6" s="681">
        <f>L6-K6</f>
        <v>-189211</v>
      </c>
      <c r="N6" s="1497" t="s">
        <v>201</v>
      </c>
      <c r="O6" s="270"/>
      <c r="P6" s="450"/>
      <c r="Q6" s="450"/>
      <c r="R6" s="450"/>
      <c r="S6" s="256"/>
      <c r="T6" s="595">
        <v>89479</v>
      </c>
      <c r="U6" s="595">
        <v>89479</v>
      </c>
      <c r="V6" s="1382">
        <f>U6-T6</f>
        <v>0</v>
      </c>
      <c r="W6" s="272">
        <f>16576000+1000000</f>
        <v>17576000</v>
      </c>
      <c r="X6" s="271">
        <f>'4a. sz. tábla (3)'!D5</f>
        <v>18121630</v>
      </c>
      <c r="Y6" s="271">
        <v>18121630</v>
      </c>
      <c r="Z6" s="681">
        <f>Y6-X6</f>
        <v>0</v>
      </c>
      <c r="AA6" s="403" t="s">
        <v>201</v>
      </c>
      <c r="AB6" s="295"/>
      <c r="AC6" s="158"/>
      <c r="AD6" s="158"/>
      <c r="AE6" s="158"/>
      <c r="AF6" s="272"/>
      <c r="AG6" s="158"/>
      <c r="AH6" s="158"/>
      <c r="AI6" s="158"/>
      <c r="AJ6" s="272"/>
      <c r="AK6" s="158"/>
      <c r="AL6" s="158"/>
      <c r="AM6" s="456"/>
      <c r="AN6" s="403" t="s">
        <v>201</v>
      </c>
      <c r="AO6" s="272"/>
      <c r="AP6" s="158"/>
      <c r="AQ6" s="158"/>
      <c r="AR6" s="158"/>
      <c r="AS6" s="273">
        <f t="shared" ref="AS6:AU8" si="0">SUM(AB6,AF6,AJ6,W6,S6,O6,J6,F6,B6)</f>
        <v>74968235</v>
      </c>
      <c r="AT6" s="451">
        <f t="shared" si="0"/>
        <v>77387888</v>
      </c>
      <c r="AU6" s="451">
        <f t="shared" si="0"/>
        <v>77198677</v>
      </c>
      <c r="AV6" s="452">
        <f>AU6-AT6</f>
        <v>-189211</v>
      </c>
      <c r="AW6" s="1142">
        <f>AU6</f>
        <v>77198677</v>
      </c>
      <c r="AX6" s="1155"/>
      <c r="AY6" s="1144"/>
      <c r="AZ6" s="453">
        <f t="shared" ref="AZ6:AZ9" si="1">SUM(AW6:AY6)</f>
        <v>77198677</v>
      </c>
    </row>
    <row r="7" spans="1:52" ht="57" x14ac:dyDescent="0.2">
      <c r="A7" s="169" t="s">
        <v>492</v>
      </c>
      <c r="B7" s="213">
        <v>135386000</v>
      </c>
      <c r="C7" s="153">
        <v>151163145</v>
      </c>
      <c r="D7" s="153">
        <v>151163145</v>
      </c>
      <c r="E7" s="153">
        <f>D7-C7</f>
        <v>0</v>
      </c>
      <c r="F7" s="213">
        <v>24038000</v>
      </c>
      <c r="G7" s="153">
        <v>25208782</v>
      </c>
      <c r="H7" s="153">
        <v>25208782</v>
      </c>
      <c r="I7" s="85">
        <f>H7-G7</f>
        <v>0</v>
      </c>
      <c r="J7" s="213">
        <v>101376000</v>
      </c>
      <c r="K7" s="74">
        <v>105266244</v>
      </c>
      <c r="L7" s="74">
        <f>105266244+306</f>
        <v>105266550</v>
      </c>
      <c r="M7" s="360">
        <f>L7-K7</f>
        <v>306</v>
      </c>
      <c r="N7" s="1490" t="s">
        <v>492</v>
      </c>
      <c r="O7" s="230"/>
      <c r="P7" s="252"/>
      <c r="Q7" s="252"/>
      <c r="R7" s="252"/>
      <c r="S7" s="213"/>
      <c r="T7" s="596"/>
      <c r="U7" s="596"/>
      <c r="V7" s="596">
        <f>U7-T7</f>
        <v>0</v>
      </c>
      <c r="W7" s="230">
        <v>500000</v>
      </c>
      <c r="X7" s="74">
        <f>'4a. sz. tábla (3)'!D14</f>
        <v>2650470</v>
      </c>
      <c r="Y7" s="74">
        <v>2650470</v>
      </c>
      <c r="Z7" s="85">
        <f>Y7-X7</f>
        <v>0</v>
      </c>
      <c r="AA7" s="169" t="s">
        <v>492</v>
      </c>
      <c r="AB7" s="454"/>
      <c r="AC7" s="158"/>
      <c r="AD7" s="158"/>
      <c r="AE7" s="158"/>
      <c r="AF7" s="230"/>
      <c r="AG7" s="252"/>
      <c r="AH7" s="252"/>
      <c r="AI7" s="252"/>
      <c r="AJ7" s="230"/>
      <c r="AK7" s="252"/>
      <c r="AL7" s="252"/>
      <c r="AM7" s="360"/>
      <c r="AN7" s="169" t="s">
        <v>492</v>
      </c>
      <c r="AO7" s="256"/>
      <c r="AP7" s="158"/>
      <c r="AQ7" s="158"/>
      <c r="AR7" s="158"/>
      <c r="AS7" s="213">
        <f t="shared" si="0"/>
        <v>261300000</v>
      </c>
      <c r="AT7" s="75">
        <f t="shared" si="0"/>
        <v>284288641</v>
      </c>
      <c r="AU7" s="75">
        <f t="shared" si="0"/>
        <v>284288947</v>
      </c>
      <c r="AV7" s="360">
        <f>AU7-AT7</f>
        <v>306</v>
      </c>
      <c r="AW7" s="1142">
        <f>155111872+62161+17500000+39753+3062500+1566084+330200+1100000-297300-56712</f>
        <v>178418558</v>
      </c>
      <c r="AX7" s="1143">
        <f>106188128-2503878+74906-378673+39130+1450470+1000000</f>
        <v>105870083</v>
      </c>
      <c r="AY7" s="360"/>
      <c r="AZ7" s="453">
        <f>SUM(AW7:AY7)</f>
        <v>284288641</v>
      </c>
    </row>
    <row r="8" spans="1:52" s="38" customFormat="1" ht="29.25" customHeight="1" x14ac:dyDescent="0.2">
      <c r="A8" s="187" t="s">
        <v>493</v>
      </c>
      <c r="B8" s="213">
        <v>49624000</v>
      </c>
      <c r="C8" s="253">
        <v>50439901</v>
      </c>
      <c r="D8" s="253">
        <v>50439901</v>
      </c>
      <c r="E8" s="153">
        <f t="shared" ref="E8:E13" si="2">D8-C8</f>
        <v>0</v>
      </c>
      <c r="F8" s="213">
        <v>8704000</v>
      </c>
      <c r="G8" s="253">
        <v>8536885</v>
      </c>
      <c r="H8" s="253">
        <v>8536885</v>
      </c>
      <c r="I8" s="85">
        <f t="shared" ref="I8:I13" si="3">H8-G8</f>
        <v>0</v>
      </c>
      <c r="J8" s="213">
        <v>14953232</v>
      </c>
      <c r="K8" s="74">
        <v>14194405</v>
      </c>
      <c r="L8" s="74">
        <f>14194405+999</f>
        <v>14195404</v>
      </c>
      <c r="M8" s="360">
        <f t="shared" ref="M8:M13" si="4">L8-K8</f>
        <v>999</v>
      </c>
      <c r="N8" s="1491" t="s">
        <v>493</v>
      </c>
      <c r="O8" s="230"/>
      <c r="P8" s="252"/>
      <c r="Q8" s="252"/>
      <c r="R8" s="252"/>
      <c r="S8" s="213"/>
      <c r="T8" s="597"/>
      <c r="U8" s="597"/>
      <c r="V8" s="597">
        <f>U8-T8</f>
        <v>0</v>
      </c>
      <c r="W8" s="230">
        <v>300000</v>
      </c>
      <c r="X8" s="74">
        <v>665281</v>
      </c>
      <c r="Y8" s="74">
        <v>665281</v>
      </c>
      <c r="Z8" s="85">
        <f t="shared" ref="Z8:Z13" si="5">Y8-X8</f>
        <v>0</v>
      </c>
      <c r="AA8" s="187" t="s">
        <v>493</v>
      </c>
      <c r="AB8" s="454"/>
      <c r="AC8" s="159"/>
      <c r="AD8" s="159"/>
      <c r="AE8" s="159"/>
      <c r="AF8" s="230"/>
      <c r="AG8" s="254"/>
      <c r="AH8" s="254"/>
      <c r="AI8" s="254"/>
      <c r="AJ8" s="230"/>
      <c r="AK8" s="254"/>
      <c r="AL8" s="254"/>
      <c r="AM8" s="726"/>
      <c r="AN8" s="187" t="s">
        <v>493</v>
      </c>
      <c r="AO8" s="256"/>
      <c r="AP8" s="159"/>
      <c r="AQ8" s="159"/>
      <c r="AR8" s="159"/>
      <c r="AS8" s="213">
        <f t="shared" si="0"/>
        <v>73581232</v>
      </c>
      <c r="AT8" s="455">
        <f t="shared" si="0"/>
        <v>73836472</v>
      </c>
      <c r="AU8" s="455">
        <f t="shared" si="0"/>
        <v>73837471</v>
      </c>
      <c r="AV8" s="360">
        <f t="shared" ref="AV8:AV13" si="6">AU8-AT8</f>
        <v>999</v>
      </c>
      <c r="AW8" s="1142">
        <f>69377318+211356-373657+225281+107349+138567+22348-63800-12204</f>
        <v>69632558</v>
      </c>
      <c r="AX8" s="1143">
        <v>4203914</v>
      </c>
      <c r="AY8" s="726"/>
      <c r="AZ8" s="453">
        <f>SUM(AW8:AY8)</f>
        <v>73836472</v>
      </c>
    </row>
    <row r="9" spans="1:52" s="13" customFormat="1" ht="28.15" customHeight="1" x14ac:dyDescent="0.25">
      <c r="A9" s="170" t="s">
        <v>108</v>
      </c>
      <c r="B9" s="214">
        <f t="shared" ref="B9" si="7">B6+B7+B8</f>
        <v>223062298</v>
      </c>
      <c r="C9" s="76">
        <f t="shared" ref="C9:D9" si="8">C6+C7+C8</f>
        <v>241481031</v>
      </c>
      <c r="D9" s="76">
        <f t="shared" si="8"/>
        <v>241481031</v>
      </c>
      <c r="E9" s="1499">
        <f t="shared" si="2"/>
        <v>0</v>
      </c>
      <c r="F9" s="214">
        <f t="shared" ref="F9" si="9">F6+F7+F8</f>
        <v>39443937</v>
      </c>
      <c r="G9" s="76">
        <f t="shared" ref="G9:H9" si="10">G6+G7+G8</f>
        <v>40507196</v>
      </c>
      <c r="H9" s="76">
        <f t="shared" si="10"/>
        <v>40507196</v>
      </c>
      <c r="I9" s="1500">
        <f t="shared" si="3"/>
        <v>0</v>
      </c>
      <c r="J9" s="732">
        <f t="shared" ref="J9" si="11">J6+J7+J8</f>
        <v>128967232</v>
      </c>
      <c r="K9" s="564">
        <f t="shared" ref="K9:L9" si="12">K6+K7+K8</f>
        <v>131997914</v>
      </c>
      <c r="L9" s="564">
        <f t="shared" si="12"/>
        <v>131810008</v>
      </c>
      <c r="M9" s="190">
        <f t="shared" si="4"/>
        <v>-187906</v>
      </c>
      <c r="N9" s="1492" t="s">
        <v>108</v>
      </c>
      <c r="O9" s="214">
        <f t="shared" ref="O9:R9" si="13">O6+O7+O8</f>
        <v>0</v>
      </c>
      <c r="P9" s="76">
        <f t="shared" si="13"/>
        <v>0</v>
      </c>
      <c r="Q9" s="76">
        <f t="shared" ref="Q9" si="14">Q6+Q7+Q8</f>
        <v>0</v>
      </c>
      <c r="R9" s="76">
        <f t="shared" si="13"/>
        <v>0</v>
      </c>
      <c r="S9" s="214">
        <f t="shared" ref="S9" si="15">S6+S7+S8</f>
        <v>0</v>
      </c>
      <c r="T9" s="129">
        <f t="shared" ref="T9:U9" si="16">T6+T7+T8</f>
        <v>89479</v>
      </c>
      <c r="U9" s="129">
        <f t="shared" si="16"/>
        <v>89479</v>
      </c>
      <c r="V9" s="1501">
        <f t="shared" ref="V9:V13" si="17">U9-T9</f>
        <v>0</v>
      </c>
      <c r="W9" s="214">
        <f t="shared" ref="W9:AI9" si="18">W6+W7+W8</f>
        <v>18376000</v>
      </c>
      <c r="X9" s="76">
        <f t="shared" si="18"/>
        <v>21437381</v>
      </c>
      <c r="Y9" s="76">
        <f t="shared" ref="Y9" si="19">Y6+Y7+Y8</f>
        <v>21437381</v>
      </c>
      <c r="Z9" s="1500">
        <f t="shared" si="5"/>
        <v>0</v>
      </c>
      <c r="AA9" s="170" t="s">
        <v>108</v>
      </c>
      <c r="AB9" s="128">
        <f t="shared" si="18"/>
        <v>0</v>
      </c>
      <c r="AC9" s="76"/>
      <c r="AD9" s="76"/>
      <c r="AE9" s="76">
        <f t="shared" si="18"/>
        <v>0</v>
      </c>
      <c r="AF9" s="214">
        <f t="shared" si="18"/>
        <v>0</v>
      </c>
      <c r="AG9" s="129"/>
      <c r="AH9" s="129"/>
      <c r="AI9" s="129">
        <f t="shared" si="18"/>
        <v>0</v>
      </c>
      <c r="AJ9" s="214">
        <f>AJ6+AJ7+AJ8</f>
        <v>0</v>
      </c>
      <c r="AK9" s="129"/>
      <c r="AL9" s="129"/>
      <c r="AM9" s="190">
        <f t="shared" ref="AM9:AR9" si="20">AM6+AM7+AM8</f>
        <v>0</v>
      </c>
      <c r="AN9" s="170" t="s">
        <v>108</v>
      </c>
      <c r="AO9" s="214">
        <f>AO6+AO7+AO8</f>
        <v>0</v>
      </c>
      <c r="AP9" s="76"/>
      <c r="AQ9" s="76"/>
      <c r="AR9" s="76">
        <f t="shared" si="20"/>
        <v>0</v>
      </c>
      <c r="AS9" s="214">
        <f>AS6+AS7+AS8</f>
        <v>409849467</v>
      </c>
      <c r="AT9" s="76">
        <f>AT6+AT7+AT8</f>
        <v>435513001</v>
      </c>
      <c r="AU9" s="76">
        <f>AU6+AU7+AU8</f>
        <v>435325095</v>
      </c>
      <c r="AV9" s="190">
        <f t="shared" si="6"/>
        <v>-187906</v>
      </c>
      <c r="AW9" s="214">
        <f>SUM(AW6:AW8)</f>
        <v>325249793</v>
      </c>
      <c r="AX9" s="76">
        <f>SUM(AX6:AX8)</f>
        <v>110073997</v>
      </c>
      <c r="AY9" s="190">
        <f>SUM(AY6:AY8)</f>
        <v>0</v>
      </c>
      <c r="AZ9" s="394">
        <f t="shared" si="1"/>
        <v>435323790</v>
      </c>
    </row>
    <row r="10" spans="1:52" s="42" customFormat="1" ht="27" customHeight="1" x14ac:dyDescent="0.2">
      <c r="A10" s="188" t="s">
        <v>200</v>
      </c>
      <c r="B10" s="74">
        <f>'5.tábla (2)'!B7</f>
        <v>325251408</v>
      </c>
      <c r="C10" s="74">
        <f>'5.tábla (2)'!C7</f>
        <v>319488147</v>
      </c>
      <c r="D10" s="74">
        <f>'5.tábla (2)'!D7</f>
        <v>319720780</v>
      </c>
      <c r="E10" s="153">
        <f t="shared" si="2"/>
        <v>232633</v>
      </c>
      <c r="F10" s="230">
        <f>'5.tábla (2)'!B17</f>
        <v>63721683</v>
      </c>
      <c r="G10" s="74">
        <f>'5.tábla (2)'!C17</f>
        <v>62798566</v>
      </c>
      <c r="H10" s="74">
        <f>'5.tábla (2)'!D17</f>
        <v>62834624</v>
      </c>
      <c r="I10" s="85">
        <f t="shared" si="3"/>
        <v>36058</v>
      </c>
      <c r="J10" s="230">
        <f>'5.tábla (2)'!B27</f>
        <v>81030943</v>
      </c>
      <c r="K10" s="74">
        <f>'5.tábla (2)'!C27</f>
        <v>85267988</v>
      </c>
      <c r="L10" s="74">
        <f>'5.tábla (2)'!D27</f>
        <v>85267468</v>
      </c>
      <c r="M10" s="360">
        <f t="shared" si="4"/>
        <v>-520</v>
      </c>
      <c r="N10" s="1493" t="s">
        <v>200</v>
      </c>
      <c r="O10" s="213">
        <f>'5.tábla (2)'!B33+'5.tábla (2)'!B35</f>
        <v>0</v>
      </c>
      <c r="P10" s="75">
        <f>'5.tábla (2)'!C33+'5.tábla (2)'!C35</f>
        <v>0</v>
      </c>
      <c r="Q10" s="75">
        <f>'5.tábla (2)'!D33+'5.tábla (2)'!D35</f>
        <v>0</v>
      </c>
      <c r="R10" s="75">
        <f>'5.tábla (2)'!E33+'5.tábla (2)'!E35</f>
        <v>0</v>
      </c>
      <c r="S10" s="567">
        <f>'5.tábla (2)'!B37</f>
        <v>0</v>
      </c>
      <c r="T10" s="254">
        <f>'5.tábla (2)'!C37</f>
        <v>2884470</v>
      </c>
      <c r="U10" s="254">
        <f>'5.tábla (2)'!D37</f>
        <v>2884470</v>
      </c>
      <c r="V10" s="597">
        <f t="shared" si="17"/>
        <v>0</v>
      </c>
      <c r="W10" s="230">
        <f>'5.tábla (2)'!B39</f>
        <v>12600000</v>
      </c>
      <c r="X10" s="74">
        <f>'5.tábla (2)'!C39</f>
        <v>21027891</v>
      </c>
      <c r="Y10" s="74">
        <f>'5.tábla (2)'!D39</f>
        <v>21027891</v>
      </c>
      <c r="Z10" s="85">
        <f t="shared" si="5"/>
        <v>0</v>
      </c>
      <c r="AA10" s="188" t="s">
        <v>200</v>
      </c>
      <c r="AB10" s="454"/>
      <c r="AC10" s="158"/>
      <c r="AD10" s="158"/>
      <c r="AE10" s="158"/>
      <c r="AF10" s="230"/>
      <c r="AG10" s="158"/>
      <c r="AH10" s="158"/>
      <c r="AI10" s="158"/>
      <c r="AJ10" s="230"/>
      <c r="AK10" s="603"/>
      <c r="AL10" s="603"/>
      <c r="AM10" s="727"/>
      <c r="AN10" s="188" t="s">
        <v>200</v>
      </c>
      <c r="AO10" s="230"/>
      <c r="AP10" s="603"/>
      <c r="AQ10" s="603"/>
      <c r="AR10" s="603"/>
      <c r="AS10" s="213">
        <f>SUM(AB10,AF10,AJ10,W10,S10,O10,J10,F10,B10)</f>
        <v>482604034</v>
      </c>
      <c r="AT10" s="75">
        <f>SUM(AC10,AG10,AK10,X10,T10,P10,K10,G10,C10)</f>
        <v>491467062</v>
      </c>
      <c r="AU10" s="75">
        <f>SUM(AD10,AH10,AL10,Y10,U10,Q10,L10,H10,D10)</f>
        <v>491735233</v>
      </c>
      <c r="AV10" s="360">
        <f t="shared" si="6"/>
        <v>268171</v>
      </c>
      <c r="AW10" s="1145">
        <f>AU10-AX10-AY10</f>
        <v>388760223</v>
      </c>
      <c r="AX10" s="1146">
        <f>'9. sz. tábla (2)'!H65</f>
        <v>11931615</v>
      </c>
      <c r="AY10" s="1147">
        <f>'9. sz. tábla (2)'!H84+'9. sz. tábla (2)'!H93</f>
        <v>91043395</v>
      </c>
      <c r="AZ10" s="453">
        <f>SUM(AW10:AY10)</f>
        <v>491735233</v>
      </c>
    </row>
    <row r="11" spans="1:52" s="13" customFormat="1" ht="45.75" thickBot="1" x14ac:dyDescent="0.3">
      <c r="A11" s="372" t="s">
        <v>107</v>
      </c>
      <c r="B11" s="373">
        <f t="shared" ref="B11" si="21">SUM(B9:B10)</f>
        <v>548313706</v>
      </c>
      <c r="C11" s="346">
        <f t="shared" ref="C11:D11" si="22">SUM(C9:C10)</f>
        <v>560969178</v>
      </c>
      <c r="D11" s="346">
        <f t="shared" si="22"/>
        <v>561201811</v>
      </c>
      <c r="E11" s="1502">
        <f t="shared" si="2"/>
        <v>232633</v>
      </c>
      <c r="F11" s="380">
        <f t="shared" ref="F11:G11" si="23">SUM(F9:F10)</f>
        <v>103165620</v>
      </c>
      <c r="G11" s="378">
        <f t="shared" si="23"/>
        <v>103305762</v>
      </c>
      <c r="H11" s="378">
        <f t="shared" ref="H11" si="24">SUM(H9:H10)</f>
        <v>103341820</v>
      </c>
      <c r="I11" s="1502">
        <f t="shared" si="3"/>
        <v>36058</v>
      </c>
      <c r="J11" s="373">
        <f t="shared" ref="J11" si="25">SUM(J9:J10)</f>
        <v>209998175</v>
      </c>
      <c r="K11" s="346">
        <f t="shared" ref="K11:L11" si="26">SUM(K9:K10)</f>
        <v>217265902</v>
      </c>
      <c r="L11" s="346">
        <f t="shared" si="26"/>
        <v>217077476</v>
      </c>
      <c r="M11" s="347">
        <f t="shared" si="4"/>
        <v>-188426</v>
      </c>
      <c r="N11" s="1494" t="s">
        <v>107</v>
      </c>
      <c r="O11" s="377">
        <f>SUM(O9:O10)</f>
        <v>0</v>
      </c>
      <c r="P11" s="385">
        <f t="shared" ref="P11" si="27">SUM(P9:P10)</f>
        <v>0</v>
      </c>
      <c r="Q11" s="385">
        <f t="shared" ref="Q11" si="28">SUM(Q9:Q10)</f>
        <v>0</v>
      </c>
      <c r="R11" s="385">
        <f t="shared" ref="R11" si="29">SUM(R9:R10)</f>
        <v>0</v>
      </c>
      <c r="S11" s="373">
        <f t="shared" ref="S11" si="30">SUM(S9:S10)</f>
        <v>0</v>
      </c>
      <c r="T11" s="351">
        <f t="shared" ref="T11:U11" si="31">SUM(T9:T10)</f>
        <v>2973949</v>
      </c>
      <c r="U11" s="351">
        <f t="shared" si="31"/>
        <v>2973949</v>
      </c>
      <c r="V11" s="1503">
        <f t="shared" si="17"/>
        <v>0</v>
      </c>
      <c r="W11" s="373">
        <f t="shared" ref="W11:AI11" si="32">SUM(W9:W10)</f>
        <v>30976000</v>
      </c>
      <c r="X11" s="346">
        <f t="shared" si="32"/>
        <v>42465272</v>
      </c>
      <c r="Y11" s="346">
        <f t="shared" ref="Y11" si="33">SUM(Y9:Y10)</f>
        <v>42465272</v>
      </c>
      <c r="Z11" s="1502">
        <f t="shared" si="5"/>
        <v>0</v>
      </c>
      <c r="AA11" s="372" t="s">
        <v>107</v>
      </c>
      <c r="AB11" s="444">
        <f t="shared" si="32"/>
        <v>0</v>
      </c>
      <c r="AC11" s="594"/>
      <c r="AD11" s="594"/>
      <c r="AE11" s="594"/>
      <c r="AF11" s="345">
        <f t="shared" si="32"/>
        <v>0</v>
      </c>
      <c r="AG11" s="351"/>
      <c r="AH11" s="351"/>
      <c r="AI11" s="351">
        <f t="shared" si="32"/>
        <v>0</v>
      </c>
      <c r="AJ11" s="345">
        <f t="shared" ref="AJ11:AY11" si="34">SUM(AJ9:AJ10)</f>
        <v>0</v>
      </c>
      <c r="AK11" s="351"/>
      <c r="AL11" s="351"/>
      <c r="AM11" s="347">
        <f t="shared" si="34"/>
        <v>0</v>
      </c>
      <c r="AN11" s="372" t="s">
        <v>107</v>
      </c>
      <c r="AO11" s="345">
        <f t="shared" si="34"/>
        <v>0</v>
      </c>
      <c r="AP11" s="346"/>
      <c r="AQ11" s="346"/>
      <c r="AR11" s="346">
        <f t="shared" si="34"/>
        <v>0</v>
      </c>
      <c r="AS11" s="373">
        <f t="shared" si="34"/>
        <v>892453501</v>
      </c>
      <c r="AT11" s="346">
        <f t="shared" si="34"/>
        <v>926980063</v>
      </c>
      <c r="AU11" s="346">
        <f t="shared" ref="AU11" si="35">SUM(AU9:AU10)</f>
        <v>927060328</v>
      </c>
      <c r="AV11" s="347">
        <f t="shared" si="6"/>
        <v>80265</v>
      </c>
      <c r="AW11" s="380">
        <f t="shared" si="34"/>
        <v>714010016</v>
      </c>
      <c r="AX11" s="346">
        <f t="shared" si="34"/>
        <v>122005612</v>
      </c>
      <c r="AY11" s="725">
        <f t="shared" si="34"/>
        <v>91043395</v>
      </c>
      <c r="AZ11" s="394">
        <f>SUM(AW11:AY11)</f>
        <v>927059023</v>
      </c>
    </row>
    <row r="12" spans="1:52" ht="15" thickBot="1" x14ac:dyDescent="0.25">
      <c r="A12" s="370" t="s">
        <v>386</v>
      </c>
      <c r="B12" s="382">
        <f>'5.tábla (2)'!B48</f>
        <v>115713271</v>
      </c>
      <c r="C12" s="383">
        <f>'5.tábla (2)'!C48</f>
        <v>125848387</v>
      </c>
      <c r="D12" s="383">
        <f>'5.tábla (2)'!D48</f>
        <v>125848387</v>
      </c>
      <c r="E12" s="379">
        <f t="shared" si="2"/>
        <v>0</v>
      </c>
      <c r="F12" s="382">
        <f>'5.tábla (2)'!B63</f>
        <v>18849518</v>
      </c>
      <c r="G12" s="375">
        <f>'5.tábla (2)'!C63</f>
        <v>21158997</v>
      </c>
      <c r="H12" s="375">
        <f>'5.tábla (2)'!D63</f>
        <v>21158997</v>
      </c>
      <c r="I12" s="379">
        <f t="shared" si="3"/>
        <v>0</v>
      </c>
      <c r="J12" s="367">
        <f>'5.tábla (2)'!B77</f>
        <v>1128251078</v>
      </c>
      <c r="K12" s="565">
        <f>'5.tábla (2)'!C77</f>
        <v>1111068870</v>
      </c>
      <c r="L12" s="565">
        <f>'5.tábla (2)'!D77</f>
        <v>1104729422</v>
      </c>
      <c r="M12" s="384">
        <f t="shared" si="4"/>
        <v>-6339448</v>
      </c>
      <c r="N12" s="1495" t="s">
        <v>386</v>
      </c>
      <c r="O12" s="445">
        <f>'5.tábla (2)'!B126</f>
        <v>27600000</v>
      </c>
      <c r="P12" s="1148">
        <f>'5.tábla (2)'!C126</f>
        <v>30600000</v>
      </c>
      <c r="Q12" s="1148">
        <f>'5.tábla (2)'!D126</f>
        <v>30600000</v>
      </c>
      <c r="R12" s="384">
        <f>Q12-P12</f>
        <v>0</v>
      </c>
      <c r="S12" s="369">
        <f>'5.tábla (2)'!B136</f>
        <v>1355809612</v>
      </c>
      <c r="T12" s="680">
        <f>'5.tábla (2)'!C136</f>
        <v>1229156400</v>
      </c>
      <c r="U12" s="680">
        <f>'5.tábla (2)'!D136</f>
        <v>1229056400</v>
      </c>
      <c r="V12" s="1498">
        <f t="shared" si="17"/>
        <v>-100000</v>
      </c>
      <c r="W12" s="382">
        <f>'7. sz. tábla 1'!B175</f>
        <v>8739294986</v>
      </c>
      <c r="X12" s="375">
        <f>'7. sz. tábla 1'!C175</f>
        <v>9762627560</v>
      </c>
      <c r="Y12" s="375">
        <f>'7. sz. tábla 1'!D175</f>
        <v>9777564985</v>
      </c>
      <c r="Z12" s="379">
        <f t="shared" si="5"/>
        <v>14937425</v>
      </c>
      <c r="AA12" s="370" t="s">
        <v>386</v>
      </c>
      <c r="AB12" s="382">
        <f>'7. sz. tábla 1'!B250</f>
        <v>107408627</v>
      </c>
      <c r="AC12" s="375">
        <f>'7. sz. tábla 1'!C250</f>
        <v>112001247</v>
      </c>
      <c r="AD12" s="375">
        <f>'7. sz. tábla 1'!D250</f>
        <v>107001247</v>
      </c>
      <c r="AE12" s="379">
        <f>AD12-AC12</f>
        <v>-5000000</v>
      </c>
      <c r="AF12" s="369">
        <f>'7. sz. tábla 1'!B237</f>
        <v>236380585</v>
      </c>
      <c r="AG12" s="369">
        <f>'7. sz. tábla 1'!C237</f>
        <v>1807660444</v>
      </c>
      <c r="AH12" s="369">
        <f>'7. sz. tábla 1'!D237</f>
        <v>1808860444</v>
      </c>
      <c r="AI12" s="369">
        <f>AH12-AG12</f>
        <v>1200000</v>
      </c>
      <c r="AJ12" s="728">
        <f>'7. sz. tábla 1'!B245</f>
        <v>127631629</v>
      </c>
      <c r="AK12" s="368">
        <f>'7. sz. tábla 1'!C245</f>
        <v>927631629</v>
      </c>
      <c r="AL12" s="368">
        <f>'7. sz. tábla 1'!D245</f>
        <v>927631629</v>
      </c>
      <c r="AM12" s="379">
        <f>'7. sz. tábla 1'!E245</f>
        <v>0</v>
      </c>
      <c r="AN12" s="370" t="s">
        <v>386</v>
      </c>
      <c r="AO12" s="367">
        <f>'1.sz.tábla   (2)'!B30</f>
        <v>241005271</v>
      </c>
      <c r="AP12" s="375">
        <f>'1.sz.tábla   (2)'!C30</f>
        <v>335108445</v>
      </c>
      <c r="AQ12" s="375">
        <f>'1.sz.tábla   (2)'!D30</f>
        <v>358951504</v>
      </c>
      <c r="AR12" s="375">
        <f>AQ12-AP12</f>
        <v>23843059</v>
      </c>
      <c r="AS12" s="371">
        <f>SUM(AB12,AF12,AJ12,W12,S12,O12,J12,F12,B12,AO12)</f>
        <v>12097944577</v>
      </c>
      <c r="AT12" s="371">
        <f>SUM(AC12,AG12,AK12,X12,T12,P12,K12,G12,C12,AP12)</f>
        <v>15462861979</v>
      </c>
      <c r="AU12" s="371">
        <f>SUM(AD12,AH12,AL12,Y12,U12,Q12,L12,H12,D12,AQ12)</f>
        <v>15491403015</v>
      </c>
      <c r="AV12" s="384">
        <f t="shared" si="6"/>
        <v>28541036</v>
      </c>
      <c r="AW12" s="445"/>
      <c r="AX12" s="1148"/>
      <c r="AY12" s="384"/>
      <c r="AZ12" s="453"/>
    </row>
    <row r="13" spans="1:52" s="13" customFormat="1" ht="15.75" thickBot="1" x14ac:dyDescent="0.3">
      <c r="A13" s="352" t="s">
        <v>109</v>
      </c>
      <c r="B13" s="294">
        <f t="shared" ref="B13:C13" si="36">SUM(B11:B12)</f>
        <v>664026977</v>
      </c>
      <c r="C13" s="294">
        <f t="shared" si="36"/>
        <v>686817565</v>
      </c>
      <c r="D13" s="294">
        <f t="shared" ref="D13" si="37">SUM(D11:D12)</f>
        <v>687050198</v>
      </c>
      <c r="E13" s="733">
        <f t="shared" si="2"/>
        <v>232633</v>
      </c>
      <c r="F13" s="447">
        <f t="shared" ref="F13:G13" si="38">SUM(F11:F12)</f>
        <v>122015138</v>
      </c>
      <c r="G13" s="353">
        <f t="shared" si="38"/>
        <v>124464759</v>
      </c>
      <c r="H13" s="353">
        <f t="shared" ref="H13" si="39">SUM(H11:H12)</f>
        <v>124500817</v>
      </c>
      <c r="I13" s="733">
        <f t="shared" si="3"/>
        <v>36058</v>
      </c>
      <c r="J13" s="563">
        <f t="shared" ref="J13" si="40">SUM(J11:J12)</f>
        <v>1338249253</v>
      </c>
      <c r="K13" s="566">
        <f t="shared" ref="K13:L13" si="41">SUM(K11:K12)</f>
        <v>1328334772</v>
      </c>
      <c r="L13" s="566">
        <f t="shared" si="41"/>
        <v>1321806898</v>
      </c>
      <c r="M13" s="275">
        <f t="shared" si="4"/>
        <v>-6527874</v>
      </c>
      <c r="N13" s="1496" t="s">
        <v>109</v>
      </c>
      <c r="O13" s="274">
        <f t="shared" ref="O13:R13" si="42">SUM(O11:O12)</f>
        <v>27600000</v>
      </c>
      <c r="P13" s="446">
        <f t="shared" si="42"/>
        <v>30600000</v>
      </c>
      <c r="Q13" s="446">
        <f t="shared" ref="Q13" si="43">SUM(Q11:Q12)</f>
        <v>30600000</v>
      </c>
      <c r="R13" s="446">
        <f t="shared" si="42"/>
        <v>0</v>
      </c>
      <c r="S13" s="274">
        <f>SUM(S11:S12)</f>
        <v>1355809612</v>
      </c>
      <c r="T13" s="294">
        <f>SUM(T11:T12)</f>
        <v>1232130349</v>
      </c>
      <c r="U13" s="294">
        <f>SUM(U11:U12)</f>
        <v>1232030349</v>
      </c>
      <c r="V13" s="1504">
        <f t="shared" si="17"/>
        <v>-100000</v>
      </c>
      <c r="W13" s="171">
        <f t="shared" ref="W13:X13" si="44">SUM(W11:W12)</f>
        <v>8770270986</v>
      </c>
      <c r="X13" s="172">
        <f t="shared" si="44"/>
        <v>9805092832</v>
      </c>
      <c r="Y13" s="172">
        <f t="shared" ref="Y13" si="45">SUM(Y11:Y12)</f>
        <v>9820030257</v>
      </c>
      <c r="Z13" s="733">
        <f t="shared" si="5"/>
        <v>14937425</v>
      </c>
      <c r="AA13" s="352" t="s">
        <v>109</v>
      </c>
      <c r="AB13" s="173">
        <f>SUM(AB11:AB12)</f>
        <v>107408627</v>
      </c>
      <c r="AC13" s="172">
        <f t="shared" ref="AC13" si="46">SUM(AC11:AC12)</f>
        <v>112001247</v>
      </c>
      <c r="AD13" s="172">
        <f t="shared" ref="AD13" si="47">SUM(AD11:AD12)</f>
        <v>107001247</v>
      </c>
      <c r="AE13" s="172">
        <f t="shared" ref="AE13" si="48">SUM(AE11:AE12)</f>
        <v>-5000000</v>
      </c>
      <c r="AF13" s="171">
        <f>SUM(AF11:AF12)</f>
        <v>236380585</v>
      </c>
      <c r="AG13" s="172">
        <f t="shared" ref="AG13" si="49">SUM(AG11:AG12)</f>
        <v>1807660444</v>
      </c>
      <c r="AH13" s="172">
        <f t="shared" ref="AH13" si="50">SUM(AH11:AH12)</f>
        <v>1808860444</v>
      </c>
      <c r="AI13" s="294">
        <f t="shared" ref="AI13" si="51">SUM(AI11:AI12)</f>
        <v>1200000</v>
      </c>
      <c r="AJ13" s="729">
        <f>SUM(AJ11:AJ12)</f>
        <v>127631629</v>
      </c>
      <c r="AK13" s="353">
        <f t="shared" ref="AK13" si="52">SUM(AK11:AK12)</f>
        <v>927631629</v>
      </c>
      <c r="AL13" s="353">
        <f t="shared" ref="AL13" si="53">SUM(AL11:AL12)</f>
        <v>927631629</v>
      </c>
      <c r="AM13" s="730">
        <f t="shared" ref="AM13" si="54">SUM(AM11:AM12)</f>
        <v>0</v>
      </c>
      <c r="AN13" s="352" t="s">
        <v>109</v>
      </c>
      <c r="AO13" s="294">
        <f>SUM(AO11:AO12)</f>
        <v>241005271</v>
      </c>
      <c r="AP13" s="294">
        <f t="shared" ref="AP13" si="55">SUM(AP11:AP12)</f>
        <v>335108445</v>
      </c>
      <c r="AQ13" s="294">
        <f t="shared" ref="AQ13" si="56">SUM(AQ11:AQ12)</f>
        <v>358951504</v>
      </c>
      <c r="AR13" s="294">
        <f t="shared" ref="AR13" si="57">SUM(AR11:AR12)</f>
        <v>23843059</v>
      </c>
      <c r="AS13" s="171">
        <f>SUM(AS11:AS12)</f>
        <v>12990398078</v>
      </c>
      <c r="AT13" s="294">
        <f>SUM(AT11:AT12)</f>
        <v>16389842042</v>
      </c>
      <c r="AU13" s="294">
        <f>SUM(AU11:AU12)</f>
        <v>16418463343</v>
      </c>
      <c r="AV13" s="275">
        <f t="shared" si="6"/>
        <v>28621301</v>
      </c>
      <c r="AW13" s="274"/>
      <c r="AX13" s="1505"/>
      <c r="AY13" s="1156"/>
    </row>
    <row r="14" spans="1:52" x14ac:dyDescent="0.2">
      <c r="R14" s="296"/>
      <c r="S14" s="296"/>
      <c r="AV14" s="691">
        <f>'1.sz.tábla   (2)'!E39</f>
        <v>28621301</v>
      </c>
    </row>
    <row r="15" spans="1:52" x14ac:dyDescent="0.2">
      <c r="R15" s="16"/>
      <c r="S15" s="296"/>
    </row>
  </sheetData>
  <sheetProtection selectLockedCells="1" selectUnlockedCells="1"/>
  <mergeCells count="19">
    <mergeCell ref="AW4:AY4"/>
    <mergeCell ref="AF4:AI4"/>
    <mergeCell ref="AJ4:AM4"/>
    <mergeCell ref="AS4:AV4"/>
    <mergeCell ref="AO4:AR4"/>
    <mergeCell ref="AN4:AN5"/>
    <mergeCell ref="AN2:AY2"/>
    <mergeCell ref="A2:M2"/>
    <mergeCell ref="N2:Z2"/>
    <mergeCell ref="AA2:AM2"/>
    <mergeCell ref="B4:E4"/>
    <mergeCell ref="F4:I4"/>
    <mergeCell ref="J4:M4"/>
    <mergeCell ref="S4:V4"/>
    <mergeCell ref="W4:Z4"/>
    <mergeCell ref="AA4:AA5"/>
    <mergeCell ref="N4:N5"/>
    <mergeCell ref="O4:R4"/>
    <mergeCell ref="AB4:AE4"/>
  </mergeCells>
  <printOptions horizontalCentered="1"/>
  <pageMargins left="0.7" right="0.7" top="0.75" bottom="0.75" header="0.3" footer="0.3"/>
  <pageSetup paperSize="9" scale="67" firstPageNumber="0" orientation="landscape" r:id="rId1"/>
  <headerFooter alignWithMargins="0">
    <oddHeader xml:space="preserve">&amp;C
4. melléklet
a 6/2021. (III.05.) önkormányzati rendelethez
 az önkormányzat 2020. évi költségvetéséről szóló 6/2020. (III.06.) önkormányzati rendelet 
4. mellékletének helyébe a következő 4. melléklet lép:  &amp;R
&amp;P. oldal
</oddHeader>
  </headerFooter>
  <colBreaks count="3" manualBreakCount="3">
    <brk id="13" max="12" man="1"/>
    <brk id="26" max="12" man="1"/>
    <brk id="39"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Layout" zoomScaleNormal="100" zoomScaleSheetLayoutView="100" workbookViewId="0">
      <selection activeCell="C1" sqref="C1"/>
    </sheetView>
  </sheetViews>
  <sheetFormatPr defaultColWidth="9.140625" defaultRowHeight="14.25" x14ac:dyDescent="0.2"/>
  <cols>
    <col min="1" max="1" width="15.42578125" style="748" customWidth="1"/>
    <col min="2" max="2" width="31.42578125" style="1128" customWidth="1"/>
    <col min="3" max="6" width="12.28515625" style="1129" customWidth="1"/>
    <col min="7" max="7" width="9.140625" style="748"/>
    <col min="8" max="8" width="9.7109375" style="748" bestFit="1" customWidth="1"/>
    <col min="9" max="16384" width="9.140625" style="748"/>
  </cols>
  <sheetData>
    <row r="1" spans="1:6" ht="15" x14ac:dyDescent="0.25">
      <c r="A1" s="1099"/>
      <c r="B1" s="1100"/>
      <c r="C1" s="1101"/>
      <c r="D1" s="1101"/>
      <c r="E1" s="1101"/>
      <c r="F1" s="1101"/>
    </row>
    <row r="2" spans="1:6" ht="15.75" thickBot="1" x14ac:dyDescent="0.3">
      <c r="A2" s="1713" t="s">
        <v>982</v>
      </c>
      <c r="B2" s="1713"/>
      <c r="C2" s="1713"/>
      <c r="D2" s="1713"/>
      <c r="E2" s="1713"/>
      <c r="F2" s="1713"/>
    </row>
    <row r="3" spans="1:6" ht="45.75" thickBot="1" x14ac:dyDescent="0.25">
      <c r="A3" s="1102" t="s">
        <v>914</v>
      </c>
      <c r="B3" s="1103" t="s">
        <v>86</v>
      </c>
      <c r="C3" s="556" t="s">
        <v>657</v>
      </c>
      <c r="D3" s="390" t="s">
        <v>1041</v>
      </c>
      <c r="E3" s="390" t="s">
        <v>1088</v>
      </c>
      <c r="F3" s="391" t="s">
        <v>983</v>
      </c>
    </row>
    <row r="4" spans="1:6" s="765" customFormat="1" x14ac:dyDescent="0.2">
      <c r="A4" s="1104"/>
      <c r="B4" s="1105"/>
      <c r="C4" s="1133"/>
      <c r="D4" s="1134"/>
      <c r="E4" s="1134"/>
      <c r="F4" s="1135"/>
    </row>
    <row r="5" spans="1:6" s="765" customFormat="1" ht="15" x14ac:dyDescent="0.25">
      <c r="A5" s="1106" t="s">
        <v>202</v>
      </c>
      <c r="B5" s="1107"/>
      <c r="C5" s="1130">
        <f>SUM(C6:C9)</f>
        <v>17576000</v>
      </c>
      <c r="D5" s="1131">
        <f>SUM(D6:D9)</f>
        <v>18121630</v>
      </c>
      <c r="E5" s="1131">
        <f>SUM(E6:E9)</f>
        <v>18121630</v>
      </c>
      <c r="F5" s="1132">
        <f>E5-D5</f>
        <v>0</v>
      </c>
    </row>
    <row r="6" spans="1:6" x14ac:dyDescent="0.2">
      <c r="A6" s="1108"/>
      <c r="B6" s="1105" t="s">
        <v>921</v>
      </c>
      <c r="C6" s="1109">
        <v>2544000</v>
      </c>
      <c r="D6" s="1110">
        <f>2544000+794600</f>
        <v>3338600</v>
      </c>
      <c r="E6" s="1110">
        <f>2544000+794600</f>
        <v>3338600</v>
      </c>
      <c r="F6" s="1111">
        <f>E6-D6</f>
        <v>0</v>
      </c>
    </row>
    <row r="7" spans="1:6" x14ac:dyDescent="0.2">
      <c r="A7" s="1108"/>
      <c r="B7" s="1105" t="s">
        <v>922</v>
      </c>
      <c r="C7" s="1112">
        <v>127000</v>
      </c>
      <c r="D7" s="1110">
        <f>127000+383400</f>
        <v>510400</v>
      </c>
      <c r="E7" s="1110">
        <f>127000+383400</f>
        <v>510400</v>
      </c>
      <c r="F7" s="1111">
        <f t="shared" ref="F7:F27" si="0">E7-D7</f>
        <v>0</v>
      </c>
    </row>
    <row r="8" spans="1:6" x14ac:dyDescent="0.2">
      <c r="A8" s="1108"/>
      <c r="B8" s="1105" t="s">
        <v>915</v>
      </c>
      <c r="C8" s="1136"/>
      <c r="D8" s="1137"/>
      <c r="E8" s="1137"/>
      <c r="F8" s="1111">
        <f t="shared" si="0"/>
        <v>0</v>
      </c>
    </row>
    <row r="9" spans="1:6" x14ac:dyDescent="0.2">
      <c r="A9" s="1108"/>
      <c r="B9" s="1105" t="s">
        <v>916</v>
      </c>
      <c r="C9" s="1109">
        <v>14905000</v>
      </c>
      <c r="D9" s="1110">
        <v>14272630</v>
      </c>
      <c r="E9" s="1110">
        <v>14272630</v>
      </c>
      <c r="F9" s="1111">
        <f t="shared" si="0"/>
        <v>0</v>
      </c>
    </row>
    <row r="10" spans="1:6" x14ac:dyDescent="0.2">
      <c r="A10" s="1108"/>
      <c r="B10" s="1105"/>
      <c r="C10" s="1109"/>
      <c r="D10" s="1110"/>
      <c r="E10" s="1110"/>
      <c r="F10" s="1111">
        <f t="shared" si="0"/>
        <v>0</v>
      </c>
    </row>
    <row r="11" spans="1:6" s="765" customFormat="1" ht="15" x14ac:dyDescent="0.25">
      <c r="A11" s="1114" t="s">
        <v>917</v>
      </c>
      <c r="B11" s="1107"/>
      <c r="C11" s="1115">
        <f>SUM(C12:C12)</f>
        <v>300000</v>
      </c>
      <c r="D11" s="1116">
        <f>D12</f>
        <v>665281</v>
      </c>
      <c r="E11" s="1116">
        <v>665281</v>
      </c>
      <c r="F11" s="1117">
        <f t="shared" si="0"/>
        <v>0</v>
      </c>
    </row>
    <row r="12" spans="1:6" s="765" customFormat="1" x14ac:dyDescent="0.2">
      <c r="A12" s="1119"/>
      <c r="B12" s="1118" t="s">
        <v>918</v>
      </c>
      <c r="C12" s="1109">
        <v>300000</v>
      </c>
      <c r="D12" s="1110">
        <v>665281</v>
      </c>
      <c r="E12" s="1110">
        <v>665281</v>
      </c>
      <c r="F12" s="1111">
        <f t="shared" si="0"/>
        <v>0</v>
      </c>
    </row>
    <row r="13" spans="1:6" x14ac:dyDescent="0.2">
      <c r="A13" s="1119"/>
      <c r="B13" s="1118"/>
      <c r="C13" s="1109"/>
      <c r="D13" s="1110"/>
      <c r="E13" s="1110"/>
      <c r="F13" s="1111">
        <f t="shared" si="0"/>
        <v>0</v>
      </c>
    </row>
    <row r="14" spans="1:6" ht="15" x14ac:dyDescent="0.25">
      <c r="A14" s="1106" t="s">
        <v>491</v>
      </c>
      <c r="B14" s="1120"/>
      <c r="C14" s="1115">
        <f>SUM(C15:C19)</f>
        <v>500000</v>
      </c>
      <c r="D14" s="1116">
        <f>SUM(D15:D19)</f>
        <v>2650470</v>
      </c>
      <c r="E14" s="1116">
        <f>SUM(E15:E19)</f>
        <v>2650470</v>
      </c>
      <c r="F14" s="1116">
        <f>SUM(F15:F19)</f>
        <v>0</v>
      </c>
    </row>
    <row r="15" spans="1:6" s="765" customFormat="1" ht="15" x14ac:dyDescent="0.25">
      <c r="A15" s="1106"/>
      <c r="B15" s="1138" t="s">
        <v>919</v>
      </c>
      <c r="C15" s="1115"/>
      <c r="D15" s="1110">
        <v>48000</v>
      </c>
      <c r="E15" s="1110">
        <v>48000</v>
      </c>
      <c r="F15" s="1111">
        <f t="shared" si="0"/>
        <v>0</v>
      </c>
    </row>
    <row r="16" spans="1:6" s="765" customFormat="1" ht="15" x14ac:dyDescent="0.25">
      <c r="A16" s="1106"/>
      <c r="B16" s="1411" t="s">
        <v>1013</v>
      </c>
      <c r="C16" s="1115"/>
      <c r="D16" s="1110">
        <v>366400</v>
      </c>
      <c r="E16" s="1110">
        <v>366400</v>
      </c>
      <c r="F16" s="1111">
        <f t="shared" si="0"/>
        <v>0</v>
      </c>
    </row>
    <row r="17" spans="1:6" s="765" customFormat="1" ht="15" x14ac:dyDescent="0.25">
      <c r="A17" s="1106"/>
      <c r="B17" s="1139" t="s">
        <v>923</v>
      </c>
      <c r="C17" s="1115"/>
      <c r="D17" s="1110">
        <v>1300000</v>
      </c>
      <c r="E17" s="1110">
        <v>1300000</v>
      </c>
      <c r="F17" s="1111">
        <f t="shared" si="0"/>
        <v>0</v>
      </c>
    </row>
    <row r="18" spans="1:6" s="765" customFormat="1" ht="15" x14ac:dyDescent="0.25">
      <c r="A18" s="1106"/>
      <c r="B18" s="1139" t="s">
        <v>1047</v>
      </c>
      <c r="C18" s="1115"/>
      <c r="D18" s="1110">
        <v>700000</v>
      </c>
      <c r="E18" s="1110">
        <v>700000</v>
      </c>
      <c r="F18" s="1111">
        <f t="shared" si="0"/>
        <v>0</v>
      </c>
    </row>
    <row r="19" spans="1:6" s="765" customFormat="1" x14ac:dyDescent="0.2">
      <c r="A19" s="1106"/>
      <c r="B19" s="1105" t="s">
        <v>918</v>
      </c>
      <c r="C19" s="1109">
        <v>500000</v>
      </c>
      <c r="D19" s="1110">
        <v>236070</v>
      </c>
      <c r="E19" s="1110">
        <v>236070</v>
      </c>
      <c r="F19" s="1111">
        <f t="shared" si="0"/>
        <v>0</v>
      </c>
    </row>
    <row r="20" spans="1:6" s="765" customFormat="1" x14ac:dyDescent="0.2">
      <c r="A20" s="1121"/>
      <c r="B20" s="1122"/>
      <c r="C20" s="1109"/>
      <c r="D20" s="1110"/>
      <c r="E20" s="1110"/>
      <c r="F20" s="1111">
        <f t="shared" si="0"/>
        <v>0</v>
      </c>
    </row>
    <row r="21" spans="1:6" ht="15" x14ac:dyDescent="0.25">
      <c r="A21" s="1714" t="s">
        <v>199</v>
      </c>
      <c r="B21" s="1715"/>
      <c r="C21" s="1115">
        <f>SUM(C22:C26)</f>
        <v>12600000</v>
      </c>
      <c r="D21" s="1116">
        <f>SUM(D22:D26)</f>
        <v>21027891</v>
      </c>
      <c r="E21" s="1116">
        <f>SUM(E22:E26)</f>
        <v>21027891</v>
      </c>
      <c r="F21" s="1117">
        <f t="shared" si="0"/>
        <v>0</v>
      </c>
    </row>
    <row r="22" spans="1:6" x14ac:dyDescent="0.2">
      <c r="A22" s="1105"/>
      <c r="B22" s="1105" t="s">
        <v>915</v>
      </c>
      <c r="C22" s="1109">
        <v>5000000</v>
      </c>
      <c r="D22" s="1110">
        <f>'5.tábla (2)'!C40</f>
        <v>11959994</v>
      </c>
      <c r="E22" s="1110">
        <f>'5.tábla (2)'!D40</f>
        <v>11959994</v>
      </c>
      <c r="F22" s="1111">
        <f t="shared" si="0"/>
        <v>0</v>
      </c>
    </row>
    <row r="23" spans="1:6" s="765" customFormat="1" x14ac:dyDescent="0.2">
      <c r="A23" s="1105"/>
      <c r="B23" s="1105" t="s">
        <v>924</v>
      </c>
      <c r="C23" s="1109"/>
      <c r="D23" s="1110"/>
      <c r="E23" s="1110"/>
      <c r="F23" s="1111">
        <f t="shared" si="0"/>
        <v>0</v>
      </c>
    </row>
    <row r="24" spans="1:6" x14ac:dyDescent="0.2">
      <c r="A24" s="1106"/>
      <c r="B24" s="1105" t="s">
        <v>918</v>
      </c>
      <c r="C24" s="1109">
        <v>1000000</v>
      </c>
      <c r="D24" s="1110">
        <f>'5.tábla (2)'!C41</f>
        <v>1747997</v>
      </c>
      <c r="E24" s="1110">
        <f>'5.tábla (2)'!D41</f>
        <v>1747997</v>
      </c>
      <c r="F24" s="1111">
        <f t="shared" si="0"/>
        <v>0</v>
      </c>
    </row>
    <row r="25" spans="1:6" x14ac:dyDescent="0.2">
      <c r="A25" s="1195"/>
      <c r="B25" s="1196" t="s">
        <v>993</v>
      </c>
      <c r="C25" s="1197"/>
      <c r="D25" s="1198">
        <f>'5.tábla (2)'!C42</f>
        <v>719900</v>
      </c>
      <c r="E25" s="1198">
        <f>'5.tábla (2)'!D42</f>
        <v>719900</v>
      </c>
      <c r="F25" s="1111">
        <f t="shared" si="0"/>
        <v>0</v>
      </c>
    </row>
    <row r="26" spans="1:6" x14ac:dyDescent="0.2">
      <c r="A26" s="1195"/>
      <c r="B26" s="1196" t="s">
        <v>969</v>
      </c>
      <c r="C26" s="1197">
        <v>6600000</v>
      </c>
      <c r="D26" s="1198">
        <f>'5.tábla (2)'!C43</f>
        <v>6600000</v>
      </c>
      <c r="E26" s="1198">
        <f>'5.tábla (2)'!D43</f>
        <v>6600000</v>
      </c>
      <c r="F26" s="1111">
        <f t="shared" si="0"/>
        <v>0</v>
      </c>
    </row>
    <row r="27" spans="1:6" ht="15.75" thickBot="1" x14ac:dyDescent="0.3">
      <c r="A27" s="1123" t="s">
        <v>920</v>
      </c>
      <c r="B27" s="1124"/>
      <c r="C27" s="1125">
        <f>SUM(C5+C11+C14+C21)</f>
        <v>30976000</v>
      </c>
      <c r="D27" s="1126">
        <f>SUM(D5+D11+D14+D21)</f>
        <v>42465272</v>
      </c>
      <c r="E27" s="1126">
        <f>SUM(E5+E11+E14+E21)</f>
        <v>42465272</v>
      </c>
      <c r="F27" s="1127">
        <f t="shared" si="0"/>
        <v>0</v>
      </c>
    </row>
    <row r="28" spans="1:6" ht="12.75" x14ac:dyDescent="0.2">
      <c r="C28" s="1113"/>
      <c r="D28" s="1113"/>
      <c r="E28" s="1113"/>
      <c r="F28" s="1113"/>
    </row>
    <row r="29" spans="1:6" s="765" customFormat="1" x14ac:dyDescent="0.2">
      <c r="A29" s="748"/>
      <c r="B29" s="1128"/>
      <c r="C29" s="1129"/>
      <c r="D29" s="1129"/>
      <c r="E29" s="1129"/>
      <c r="F29" s="1129"/>
    </row>
  </sheetData>
  <mergeCells count="2">
    <mergeCell ref="A2:F2"/>
    <mergeCell ref="A21:B21"/>
  </mergeCells>
  <phoneticPr fontId="27" type="noConversion"/>
  <pageMargins left="0.7" right="0.7" top="0.75" bottom="0.75" header="0.3" footer="0.3"/>
  <pageSetup paperSize="9" scale="90" orientation="portrait" r:id="rId1"/>
  <headerFooter>
    <oddHeader xml:space="preserve">&amp;C4/a. melléklet 
a 6/2021. (III.05.) önkormányzati rendelethez
 az önkormányzat 2020. évi költségvetéséről szóló 6/2020. (III.06.) önkormányzati rendelet 
4/a. mellékletének helyébe a következő 4/a. melléklet lép: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49"/>
  <sheetViews>
    <sheetView view="pageLayout" topLeftCell="A118" zoomScaleNormal="100" zoomScaleSheetLayoutView="80" workbookViewId="0">
      <selection activeCell="C139" sqref="C139"/>
    </sheetView>
  </sheetViews>
  <sheetFormatPr defaultColWidth="9.140625" defaultRowHeight="12.75" x14ac:dyDescent="0.2"/>
  <cols>
    <col min="1" max="1" width="58" style="9" customWidth="1"/>
    <col min="2" max="2" width="18.140625" style="191" customWidth="1"/>
    <col min="3" max="5" width="19" style="191" customWidth="1"/>
    <col min="6" max="6" width="11.7109375" style="9" customWidth="1"/>
    <col min="7" max="7" width="12" style="9" bestFit="1" customWidth="1"/>
    <col min="8" max="8" width="16.85546875" style="9" customWidth="1"/>
    <col min="9" max="16384" width="9.140625" style="9"/>
  </cols>
  <sheetData>
    <row r="3" spans="1:7" ht="15.75" x14ac:dyDescent="0.25">
      <c r="A3" s="1716" t="s">
        <v>662</v>
      </c>
      <c r="B3" s="1716"/>
      <c r="C3" s="1716"/>
      <c r="D3" s="1716"/>
      <c r="E3" s="1716"/>
    </row>
    <row r="4" spans="1:7" ht="13.5" thickBot="1" x14ac:dyDescent="0.25"/>
    <row r="5" spans="1:7" ht="51.75" customHeight="1" thickBot="1" x14ac:dyDescent="0.25">
      <c r="A5" s="77" t="s">
        <v>301</v>
      </c>
      <c r="B5" s="556" t="s">
        <v>657</v>
      </c>
      <c r="C5" s="390" t="s">
        <v>1041</v>
      </c>
      <c r="D5" s="390" t="s">
        <v>1088</v>
      </c>
      <c r="E5" s="391" t="s">
        <v>983</v>
      </c>
    </row>
    <row r="6" spans="1:7" s="1" customFormat="1" ht="30.75" customHeight="1" x14ac:dyDescent="0.25">
      <c r="A6" s="549" t="s">
        <v>203</v>
      </c>
      <c r="B6" s="1584"/>
      <c r="C6" s="1584"/>
      <c r="D6" s="1584"/>
      <c r="E6" s="690"/>
    </row>
    <row r="7" spans="1:7" s="1" customFormat="1" ht="19.149999999999999" customHeight="1" x14ac:dyDescent="0.25">
      <c r="A7" s="554" t="s">
        <v>121</v>
      </c>
      <c r="B7" s="553">
        <f>SUM(B8:B9)</f>
        <v>325251408</v>
      </c>
      <c r="C7" s="553">
        <f t="shared" ref="C7:D7" si="0">SUM(C8:C9)</f>
        <v>319488147</v>
      </c>
      <c r="D7" s="553">
        <f t="shared" si="0"/>
        <v>319720780</v>
      </c>
      <c r="E7" s="189">
        <f>D7-C7</f>
        <v>232633</v>
      </c>
    </row>
    <row r="8" spans="1:7" s="1" customFormat="1" ht="19.149999999999999" customHeight="1" x14ac:dyDescent="0.25">
      <c r="A8" s="554" t="s">
        <v>690</v>
      </c>
      <c r="B8" s="553">
        <v>37522109</v>
      </c>
      <c r="C8" s="586">
        <v>37521790</v>
      </c>
      <c r="D8" s="586">
        <v>37521790</v>
      </c>
      <c r="E8" s="189">
        <f t="shared" ref="E8:E12" si="1">D8-C8</f>
        <v>0</v>
      </c>
    </row>
    <row r="9" spans="1:7" s="1" customFormat="1" ht="19.149999999999999" customHeight="1" x14ac:dyDescent="0.25">
      <c r="A9" s="554" t="s">
        <v>689</v>
      </c>
      <c r="B9" s="553">
        <v>287729299</v>
      </c>
      <c r="C9" s="586">
        <v>281966357</v>
      </c>
      <c r="D9" s="586">
        <f>281966357+232633</f>
        <v>282198990</v>
      </c>
      <c r="E9" s="189">
        <f t="shared" si="1"/>
        <v>232633</v>
      </c>
      <c r="G9" s="2"/>
    </row>
    <row r="10" spans="1:7" s="1" customFormat="1" ht="45" x14ac:dyDescent="0.25">
      <c r="A10" s="537" t="s">
        <v>1048</v>
      </c>
      <c r="B10" s="553"/>
      <c r="C10" s="587"/>
      <c r="D10" s="587"/>
      <c r="E10" s="682">
        <f t="shared" si="1"/>
        <v>0</v>
      </c>
    </row>
    <row r="11" spans="1:7" s="1" customFormat="1" ht="45" x14ac:dyDescent="0.25">
      <c r="A11" s="537" t="s">
        <v>1099</v>
      </c>
      <c r="B11" s="553"/>
      <c r="C11" s="587"/>
      <c r="D11" s="587">
        <v>232633</v>
      </c>
      <c r="E11" s="682">
        <f t="shared" si="1"/>
        <v>232633</v>
      </c>
    </row>
    <row r="12" spans="1:7" s="1" customFormat="1" ht="45" customHeight="1" x14ac:dyDescent="0.25">
      <c r="A12" s="537" t="s">
        <v>1049</v>
      </c>
      <c r="B12" s="553"/>
      <c r="C12" s="587">
        <v>195943</v>
      </c>
      <c r="D12" s="587">
        <v>195943</v>
      </c>
      <c r="E12" s="682">
        <f t="shared" si="1"/>
        <v>0</v>
      </c>
      <c r="F12" s="2">
        <f>SUM(E12:E16)</f>
        <v>0</v>
      </c>
    </row>
    <row r="13" spans="1:7" s="1" customFormat="1" ht="30" x14ac:dyDescent="0.2">
      <c r="A13" s="537" t="s">
        <v>616</v>
      </c>
      <c r="B13" s="548">
        <v>922800</v>
      </c>
      <c r="C13" s="587">
        <v>2693352</v>
      </c>
      <c r="D13" s="587">
        <v>2693352</v>
      </c>
      <c r="E13" s="682">
        <f>D13-C13</f>
        <v>0</v>
      </c>
    </row>
    <row r="14" spans="1:7" s="1" customFormat="1" ht="30" x14ac:dyDescent="0.2">
      <c r="A14" s="537" t="s">
        <v>691</v>
      </c>
      <c r="B14" s="548">
        <v>1081125</v>
      </c>
      <c r="C14" s="587">
        <v>1112573</v>
      </c>
      <c r="D14" s="587">
        <v>1112573</v>
      </c>
      <c r="E14" s="682">
        <f t="shared" ref="E14:E19" si="2">D14-C14</f>
        <v>0</v>
      </c>
    </row>
    <row r="15" spans="1:7" s="1" customFormat="1" ht="45" x14ac:dyDescent="0.2">
      <c r="A15" s="537" t="s">
        <v>692</v>
      </c>
      <c r="B15" s="548">
        <v>5382094</v>
      </c>
      <c r="C15" s="587">
        <v>5532770</v>
      </c>
      <c r="D15" s="587">
        <v>5532770</v>
      </c>
      <c r="E15" s="682">
        <f t="shared" si="2"/>
        <v>0</v>
      </c>
    </row>
    <row r="16" spans="1:7" s="1" customFormat="1" ht="30" x14ac:dyDescent="0.2">
      <c r="A16" s="537" t="s">
        <v>693</v>
      </c>
      <c r="B16" s="548">
        <v>255061</v>
      </c>
      <c r="C16" s="587">
        <v>497244</v>
      </c>
      <c r="D16" s="587">
        <v>497244</v>
      </c>
      <c r="E16" s="682">
        <f t="shared" si="2"/>
        <v>0</v>
      </c>
    </row>
    <row r="17" spans="1:6" s="1" customFormat="1" ht="19.149999999999999" customHeight="1" x14ac:dyDescent="0.25">
      <c r="A17" s="554" t="s">
        <v>122</v>
      </c>
      <c r="B17" s="553">
        <f>SUM(B18:B19)</f>
        <v>63721683</v>
      </c>
      <c r="C17" s="586">
        <f>SUM(C18:C19)</f>
        <v>62798566</v>
      </c>
      <c r="D17" s="586">
        <f>SUM(D18:D19)</f>
        <v>62834624</v>
      </c>
      <c r="E17" s="189">
        <f t="shared" si="2"/>
        <v>36058</v>
      </c>
    </row>
    <row r="18" spans="1:6" s="1" customFormat="1" ht="19.149999999999999" customHeight="1" x14ac:dyDescent="0.25">
      <c r="A18" s="554" t="s">
        <v>690</v>
      </c>
      <c r="B18" s="553">
        <v>7369380</v>
      </c>
      <c r="C18" s="586">
        <v>7303776</v>
      </c>
      <c r="D18" s="586">
        <v>7303776</v>
      </c>
      <c r="E18" s="189">
        <f t="shared" si="2"/>
        <v>0</v>
      </c>
    </row>
    <row r="19" spans="1:6" s="1" customFormat="1" ht="19.149999999999999" customHeight="1" x14ac:dyDescent="0.25">
      <c r="A19" s="554" t="s">
        <v>689</v>
      </c>
      <c r="B19" s="553">
        <v>56352303</v>
      </c>
      <c r="C19" s="586">
        <v>55494790</v>
      </c>
      <c r="D19" s="586">
        <f>55494790+36058</f>
        <v>55530848</v>
      </c>
      <c r="E19" s="189">
        <f t="shared" si="2"/>
        <v>36058</v>
      </c>
    </row>
    <row r="20" spans="1:6" s="1" customFormat="1" ht="45" x14ac:dyDescent="0.25">
      <c r="A20" s="537" t="s">
        <v>1048</v>
      </c>
      <c r="B20" s="553"/>
      <c r="C20" s="587"/>
      <c r="D20" s="587"/>
      <c r="E20" s="682">
        <f t="shared" ref="E20:E44" si="3">D20-C20</f>
        <v>0</v>
      </c>
    </row>
    <row r="21" spans="1:6" s="1" customFormat="1" ht="45" x14ac:dyDescent="0.25">
      <c r="A21" s="537" t="s">
        <v>1099</v>
      </c>
      <c r="B21" s="553"/>
      <c r="C21" s="587"/>
      <c r="D21" s="587">
        <v>36058</v>
      </c>
      <c r="E21" s="682">
        <f t="shared" si="3"/>
        <v>36058</v>
      </c>
    </row>
    <row r="22" spans="1:6" s="1" customFormat="1" ht="45" x14ac:dyDescent="0.25">
      <c r="A22" s="537" t="s">
        <v>1049</v>
      </c>
      <c r="B22" s="553"/>
      <c r="C22" s="587">
        <v>34290</v>
      </c>
      <c r="D22" s="587">
        <v>34290</v>
      </c>
      <c r="E22" s="682">
        <f t="shared" si="3"/>
        <v>0</v>
      </c>
      <c r="F22" s="2">
        <f>SUM(E22:E26)</f>
        <v>0</v>
      </c>
    </row>
    <row r="23" spans="1:6" s="1" customFormat="1" ht="30" x14ac:dyDescent="0.2">
      <c r="A23" s="537" t="s">
        <v>616</v>
      </c>
      <c r="B23" s="548">
        <v>161490</v>
      </c>
      <c r="C23" s="587">
        <v>447788</v>
      </c>
      <c r="D23" s="587">
        <v>447788</v>
      </c>
      <c r="E23" s="682">
        <f t="shared" si="3"/>
        <v>0</v>
      </c>
    </row>
    <row r="24" spans="1:6" s="1" customFormat="1" ht="30" x14ac:dyDescent="0.2">
      <c r="A24" s="537" t="s">
        <v>691</v>
      </c>
      <c r="B24" s="548">
        <v>329156</v>
      </c>
      <c r="C24" s="587">
        <v>297708</v>
      </c>
      <c r="D24" s="587">
        <v>297708</v>
      </c>
      <c r="E24" s="682">
        <f t="shared" si="3"/>
        <v>0</v>
      </c>
    </row>
    <row r="25" spans="1:6" s="1" customFormat="1" ht="45" x14ac:dyDescent="0.2">
      <c r="A25" s="537" t="s">
        <v>692</v>
      </c>
      <c r="B25" s="548">
        <v>1499176</v>
      </c>
      <c r="C25" s="587">
        <v>1348500</v>
      </c>
      <c r="D25" s="587">
        <v>1348500</v>
      </c>
      <c r="E25" s="682">
        <f t="shared" si="3"/>
        <v>0</v>
      </c>
    </row>
    <row r="26" spans="1:6" s="1" customFormat="1" ht="30" x14ac:dyDescent="0.2">
      <c r="A26" s="537" t="s">
        <v>693</v>
      </c>
      <c r="B26" s="548">
        <v>44636</v>
      </c>
      <c r="C26" s="587">
        <v>85556</v>
      </c>
      <c r="D26" s="587">
        <v>85556</v>
      </c>
      <c r="E26" s="682">
        <f t="shared" si="3"/>
        <v>0</v>
      </c>
    </row>
    <row r="27" spans="1:6" s="1" customFormat="1" ht="19.149999999999999" customHeight="1" x14ac:dyDescent="0.25">
      <c r="A27" s="554" t="s">
        <v>123</v>
      </c>
      <c r="B27" s="80">
        <f>SUM(B28:B32)</f>
        <v>81030943</v>
      </c>
      <c r="C27" s="80">
        <f>SUM(C28:C32)</f>
        <v>85267988</v>
      </c>
      <c r="D27" s="80">
        <f>SUM(D28:D32)</f>
        <v>85267468</v>
      </c>
      <c r="E27" s="189">
        <f t="shared" si="3"/>
        <v>-520</v>
      </c>
    </row>
    <row r="28" spans="1:6" ht="19.149999999999999" customHeight="1" x14ac:dyDescent="0.2">
      <c r="A28" s="555" t="s">
        <v>694</v>
      </c>
      <c r="B28" s="548">
        <v>64371250</v>
      </c>
      <c r="C28" s="81">
        <f>68808988+1000000</f>
        <v>69808988</v>
      </c>
      <c r="D28" s="81">
        <f>68808988+1000000-520</f>
        <v>69808468</v>
      </c>
      <c r="E28" s="682">
        <f t="shared" si="3"/>
        <v>-520</v>
      </c>
    </row>
    <row r="29" spans="1:6" ht="19.149999999999999" customHeight="1" x14ac:dyDescent="0.2">
      <c r="A29" s="555" t="s">
        <v>124</v>
      </c>
      <c r="B29" s="548">
        <v>1400000</v>
      </c>
      <c r="C29" s="81">
        <v>1400000</v>
      </c>
      <c r="D29" s="81">
        <v>1400000</v>
      </c>
      <c r="E29" s="682">
        <f t="shared" si="3"/>
        <v>0</v>
      </c>
    </row>
    <row r="30" spans="1:6" ht="19.149999999999999" customHeight="1" x14ac:dyDescent="0.2">
      <c r="A30" s="537" t="s">
        <v>67</v>
      </c>
      <c r="B30" s="548">
        <v>403000</v>
      </c>
      <c r="C30" s="81">
        <v>403000</v>
      </c>
      <c r="D30" s="81">
        <v>403000</v>
      </c>
      <c r="E30" s="682">
        <f t="shared" si="3"/>
        <v>0</v>
      </c>
    </row>
    <row r="31" spans="1:6" ht="19.149999999999999" customHeight="1" x14ac:dyDescent="0.2">
      <c r="A31" s="537" t="s">
        <v>68</v>
      </c>
      <c r="B31" s="548">
        <v>10000000</v>
      </c>
      <c r="C31" s="81">
        <f>10000000-1000000</f>
        <v>9000000</v>
      </c>
      <c r="D31" s="81">
        <f>10000000-1000000</f>
        <v>9000000</v>
      </c>
      <c r="E31" s="682">
        <f t="shared" si="3"/>
        <v>0</v>
      </c>
    </row>
    <row r="32" spans="1:6" ht="19.149999999999999" customHeight="1" x14ac:dyDescent="0.2">
      <c r="A32" s="537" t="s">
        <v>69</v>
      </c>
      <c r="B32" s="548">
        <v>4856693</v>
      </c>
      <c r="C32" s="81">
        <v>4656000</v>
      </c>
      <c r="D32" s="81">
        <v>4656000</v>
      </c>
      <c r="E32" s="682">
        <f t="shared" si="3"/>
        <v>0</v>
      </c>
    </row>
    <row r="33" spans="1:11" s="1" customFormat="1" ht="15.75" x14ac:dyDescent="0.25">
      <c r="A33" s="554" t="s">
        <v>125</v>
      </c>
      <c r="B33" s="80">
        <f>B34</f>
        <v>0</v>
      </c>
      <c r="C33" s="80">
        <f>C34</f>
        <v>0</v>
      </c>
      <c r="D33" s="80">
        <f>D34</f>
        <v>0</v>
      </c>
      <c r="E33" s="189">
        <f t="shared" si="3"/>
        <v>0</v>
      </c>
    </row>
    <row r="34" spans="1:11" ht="29.25" customHeight="1" x14ac:dyDescent="0.2">
      <c r="A34" s="537" t="s">
        <v>126</v>
      </c>
      <c r="B34" s="548">
        <v>0</v>
      </c>
      <c r="C34" s="587">
        <v>0</v>
      </c>
      <c r="D34" s="587">
        <v>0</v>
      </c>
      <c r="E34" s="682">
        <f t="shared" si="3"/>
        <v>0</v>
      </c>
    </row>
    <row r="35" spans="1:11" s="1" customFormat="1" ht="15.75" x14ac:dyDescent="0.25">
      <c r="A35" s="554" t="s">
        <v>127</v>
      </c>
      <c r="B35" s="80">
        <f>SUM(B36:B36)</f>
        <v>0</v>
      </c>
      <c r="C35" s="80">
        <f>SUM(C36:C36)</f>
        <v>0</v>
      </c>
      <c r="D35" s="80">
        <f>SUM(D36:D36)</f>
        <v>0</v>
      </c>
      <c r="E35" s="189">
        <f t="shared" si="3"/>
        <v>0</v>
      </c>
      <c r="F35" s="2"/>
      <c r="H35" s="43"/>
      <c r="I35" s="44"/>
      <c r="J35" s="44"/>
      <c r="K35" s="44"/>
    </row>
    <row r="36" spans="1:11" s="1" customFormat="1" ht="15.75" x14ac:dyDescent="0.25">
      <c r="A36" s="537" t="s">
        <v>126</v>
      </c>
      <c r="B36" s="548">
        <v>0</v>
      </c>
      <c r="C36" s="587">
        <v>0</v>
      </c>
      <c r="D36" s="587">
        <v>0</v>
      </c>
      <c r="E36" s="682">
        <f t="shared" si="3"/>
        <v>0</v>
      </c>
      <c r="H36" s="43"/>
      <c r="I36" s="44"/>
      <c r="J36" s="44"/>
      <c r="K36" s="44"/>
    </row>
    <row r="37" spans="1:11" s="1" customFormat="1" ht="15.75" x14ac:dyDescent="0.25">
      <c r="A37" s="554" t="s">
        <v>461</v>
      </c>
      <c r="B37" s="80">
        <v>0</v>
      </c>
      <c r="C37" s="586">
        <v>2884470</v>
      </c>
      <c r="D37" s="586">
        <v>2884470</v>
      </c>
      <c r="E37" s="189">
        <f t="shared" si="3"/>
        <v>0</v>
      </c>
      <c r="H37" s="43"/>
      <c r="I37" s="44"/>
      <c r="J37" s="44"/>
      <c r="K37" s="44"/>
    </row>
    <row r="38" spans="1:11" s="1" customFormat="1" ht="15.75" x14ac:dyDescent="0.25">
      <c r="A38" s="554" t="s">
        <v>369</v>
      </c>
      <c r="B38" s="80">
        <f>B37+B35+B33+B27+B17+B7</f>
        <v>470004034</v>
      </c>
      <c r="C38" s="80">
        <f>C37+C35+C33+C27+C17+C7</f>
        <v>470439171</v>
      </c>
      <c r="D38" s="80">
        <f>D37+D35+D33+D27+D17+D7</f>
        <v>470707342</v>
      </c>
      <c r="E38" s="189">
        <f t="shared" si="3"/>
        <v>268171</v>
      </c>
      <c r="H38" s="43"/>
      <c r="I38" s="44"/>
      <c r="J38" s="44"/>
      <c r="K38" s="44"/>
    </row>
    <row r="39" spans="1:11" s="1" customFormat="1" ht="19.149999999999999" customHeight="1" x14ac:dyDescent="0.25">
      <c r="A39" s="554" t="s">
        <v>129</v>
      </c>
      <c r="B39" s="80">
        <f>SUM(B40:B43)</f>
        <v>12600000</v>
      </c>
      <c r="C39" s="80">
        <f>SUM(C40:C43)</f>
        <v>21027891</v>
      </c>
      <c r="D39" s="80">
        <f>SUM(D40:D43)</f>
        <v>21027891</v>
      </c>
      <c r="E39" s="189">
        <f t="shared" si="3"/>
        <v>0</v>
      </c>
      <c r="F39" s="2"/>
      <c r="H39" s="45"/>
      <c r="I39" s="46"/>
      <c r="J39" s="46"/>
      <c r="K39" s="46"/>
    </row>
    <row r="40" spans="1:11" ht="15.75" x14ac:dyDescent="0.25">
      <c r="A40" s="537" t="s">
        <v>225</v>
      </c>
      <c r="B40" s="548">
        <v>5000000</v>
      </c>
      <c r="C40" s="81">
        <v>11959994</v>
      </c>
      <c r="D40" s="81">
        <v>11959994</v>
      </c>
      <c r="E40" s="682">
        <f t="shared" si="3"/>
        <v>0</v>
      </c>
      <c r="H40" s="45"/>
      <c r="I40" s="46"/>
      <c r="J40" s="46"/>
      <c r="K40" s="46"/>
    </row>
    <row r="41" spans="1:11" ht="19.149999999999999" customHeight="1" x14ac:dyDescent="0.25">
      <c r="A41" s="537" t="s">
        <v>552</v>
      </c>
      <c r="B41" s="548">
        <v>1000000</v>
      </c>
      <c r="C41" s="81">
        <v>1747997</v>
      </c>
      <c r="D41" s="81">
        <v>1747997</v>
      </c>
      <c r="E41" s="682">
        <f t="shared" si="3"/>
        <v>0</v>
      </c>
      <c r="H41" s="45"/>
      <c r="I41" s="46"/>
      <c r="J41" s="46"/>
      <c r="K41" s="46"/>
    </row>
    <row r="42" spans="1:11" ht="19.149999999999999" customHeight="1" x14ac:dyDescent="0.25">
      <c r="A42" s="537" t="s">
        <v>991</v>
      </c>
      <c r="B42" s="548">
        <v>0</v>
      </c>
      <c r="C42" s="587">
        <v>719900</v>
      </c>
      <c r="D42" s="587">
        <v>719900</v>
      </c>
      <c r="E42" s="682">
        <f t="shared" si="3"/>
        <v>0</v>
      </c>
      <c r="H42" s="45"/>
      <c r="I42" s="46"/>
      <c r="J42" s="46"/>
      <c r="K42" s="46"/>
    </row>
    <row r="43" spans="1:11" ht="19.149999999999999" customHeight="1" x14ac:dyDescent="0.25">
      <c r="A43" s="1193" t="s">
        <v>969</v>
      </c>
      <c r="B43" s="1194">
        <v>6600000</v>
      </c>
      <c r="C43" s="1383">
        <v>6600000</v>
      </c>
      <c r="D43" s="1383">
        <v>6600000</v>
      </c>
      <c r="E43" s="682">
        <f t="shared" si="3"/>
        <v>0</v>
      </c>
      <c r="H43" s="45"/>
      <c r="I43" s="46"/>
      <c r="J43" s="46"/>
      <c r="K43" s="46"/>
    </row>
    <row r="44" spans="1:11" s="1" customFormat="1" ht="30.2" customHeight="1" thickBot="1" x14ac:dyDescent="0.3">
      <c r="A44" s="541" t="s">
        <v>553</v>
      </c>
      <c r="B44" s="542">
        <f>B39+B38</f>
        <v>482604034</v>
      </c>
      <c r="C44" s="542">
        <f>C39+C38</f>
        <v>491467062</v>
      </c>
      <c r="D44" s="542">
        <f>D39+D38</f>
        <v>491735233</v>
      </c>
      <c r="E44" s="684">
        <f t="shared" si="3"/>
        <v>268171</v>
      </c>
      <c r="F44" s="2"/>
      <c r="H44" s="45"/>
      <c r="I44" s="46"/>
      <c r="J44" s="46"/>
      <c r="K44" s="46"/>
    </row>
    <row r="45" spans="1:11" s="1" customFormat="1" ht="30.2" customHeight="1" thickBot="1" x14ac:dyDescent="0.3">
      <c r="A45" s="43"/>
      <c r="B45" s="247"/>
      <c r="C45" s="46"/>
      <c r="D45" s="46"/>
      <c r="E45" s="46"/>
      <c r="F45" s="2"/>
      <c r="H45" s="45"/>
      <c r="I45" s="46"/>
      <c r="J45" s="46"/>
      <c r="K45" s="46"/>
    </row>
    <row r="46" spans="1:11" ht="58.7" customHeight="1" thickBot="1" x14ac:dyDescent="0.25">
      <c r="A46" s="77" t="s">
        <v>301</v>
      </c>
      <c r="B46" s="556" t="s">
        <v>657</v>
      </c>
      <c r="C46" s="390" t="s">
        <v>1041</v>
      </c>
      <c r="D46" s="390" t="s">
        <v>1088</v>
      </c>
      <c r="E46" s="391" t="s">
        <v>983</v>
      </c>
      <c r="H46" s="47"/>
      <c r="I46" s="47"/>
      <c r="J46" s="47"/>
      <c r="K46" s="48"/>
    </row>
    <row r="47" spans="1:11" s="1" customFormat="1" ht="39.75" customHeight="1" x14ac:dyDescent="0.25">
      <c r="A47" s="549" t="s">
        <v>554</v>
      </c>
      <c r="B47" s="550"/>
      <c r="C47" s="588"/>
      <c r="D47" s="588"/>
      <c r="E47" s="685"/>
      <c r="H47" s="45"/>
      <c r="I47" s="46"/>
      <c r="J47" s="46"/>
      <c r="K47" s="46"/>
    </row>
    <row r="48" spans="1:11" s="1" customFormat="1" ht="19.149999999999999" customHeight="1" x14ac:dyDescent="0.25">
      <c r="A48" s="551" t="s">
        <v>130</v>
      </c>
      <c r="B48" s="80">
        <f>SUM(B49:B60)</f>
        <v>115713271</v>
      </c>
      <c r="C48" s="80">
        <f>SUM(C49:C62)</f>
        <v>125848387</v>
      </c>
      <c r="D48" s="80">
        <f>SUM(D49:D62)</f>
        <v>125848387</v>
      </c>
      <c r="E48" s="189">
        <f>SUM(E49:E61)</f>
        <v>0</v>
      </c>
      <c r="F48" s="2"/>
      <c r="G48" s="2"/>
      <c r="H48" s="45"/>
      <c r="I48" s="46"/>
      <c r="J48" s="46"/>
      <c r="K48" s="46"/>
    </row>
    <row r="49" spans="1:11" ht="19.149999999999999" customHeight="1" x14ac:dyDescent="0.2">
      <c r="A49" s="545" t="s">
        <v>131</v>
      </c>
      <c r="B49" s="589">
        <v>29727461</v>
      </c>
      <c r="C49" s="548">
        <v>29245841</v>
      </c>
      <c r="D49" s="548">
        <v>29245841</v>
      </c>
      <c r="E49" s="552">
        <f>D49-C49</f>
        <v>0</v>
      </c>
      <c r="H49" s="49"/>
      <c r="I49" s="48"/>
      <c r="J49" s="48"/>
      <c r="K49" s="48"/>
    </row>
    <row r="50" spans="1:11" ht="19.149999999999999" customHeight="1" x14ac:dyDescent="0.2">
      <c r="A50" s="545" t="s">
        <v>607</v>
      </c>
      <c r="B50" s="589">
        <v>15001920</v>
      </c>
      <c r="C50" s="548">
        <v>15001920</v>
      </c>
      <c r="D50" s="548">
        <v>15001920</v>
      </c>
      <c r="E50" s="552">
        <f t="shared" ref="E50:E75" si="4">D50-C50</f>
        <v>0</v>
      </c>
      <c r="H50" s="49"/>
      <c r="I50" s="48"/>
      <c r="J50" s="48"/>
      <c r="K50" s="48"/>
    </row>
    <row r="51" spans="1:11" ht="19.149999999999999" customHeight="1" x14ac:dyDescent="0.2">
      <c r="A51" s="545" t="s">
        <v>463</v>
      </c>
      <c r="B51" s="589">
        <v>14271456</v>
      </c>
      <c r="C51" s="548">
        <v>14271456</v>
      </c>
      <c r="D51" s="548">
        <v>14271456</v>
      </c>
      <c r="E51" s="552">
        <f t="shared" si="4"/>
        <v>0</v>
      </c>
      <c r="H51" s="49"/>
      <c r="I51" s="48"/>
      <c r="J51" s="48"/>
      <c r="K51" s="48"/>
    </row>
    <row r="52" spans="1:11" ht="19.149999999999999" customHeight="1" x14ac:dyDescent="0.2">
      <c r="A52" s="545" t="s">
        <v>133</v>
      </c>
      <c r="B52" s="589">
        <v>4429000</v>
      </c>
      <c r="C52" s="548">
        <v>4429000</v>
      </c>
      <c r="D52" s="548">
        <v>4429000</v>
      </c>
      <c r="E52" s="552">
        <f t="shared" si="4"/>
        <v>0</v>
      </c>
      <c r="H52" s="49"/>
      <c r="I52" s="48"/>
      <c r="J52" s="48"/>
      <c r="K52" s="48"/>
    </row>
    <row r="53" spans="1:11" ht="19.149999999999999" customHeight="1" x14ac:dyDescent="0.2">
      <c r="A53" s="545" t="s">
        <v>132</v>
      </c>
      <c r="B53" s="587">
        <v>1460000</v>
      </c>
      <c r="C53" s="81">
        <v>1360000</v>
      </c>
      <c r="D53" s="81">
        <v>1360000</v>
      </c>
      <c r="E53" s="552">
        <f t="shared" si="4"/>
        <v>0</v>
      </c>
      <c r="H53" s="49"/>
      <c r="I53" s="48"/>
      <c r="J53" s="48"/>
      <c r="K53" s="48"/>
    </row>
    <row r="54" spans="1:11" ht="19.149999999999999" customHeight="1" x14ac:dyDescent="0.2">
      <c r="A54" s="545" t="s">
        <v>134</v>
      </c>
      <c r="B54" s="589">
        <v>5800000</v>
      </c>
      <c r="C54" s="548">
        <v>5800000</v>
      </c>
      <c r="D54" s="548">
        <v>5800000</v>
      </c>
      <c r="E54" s="552">
        <f t="shared" si="4"/>
        <v>0</v>
      </c>
      <c r="H54" s="49"/>
      <c r="I54" s="48"/>
      <c r="J54" s="48"/>
      <c r="K54" s="48"/>
    </row>
    <row r="55" spans="1:11" ht="22.7" customHeight="1" x14ac:dyDescent="0.2">
      <c r="A55" s="545" t="s">
        <v>329</v>
      </c>
      <c r="B55" s="587">
        <v>3300000</v>
      </c>
      <c r="C55" s="81">
        <v>6732138</v>
      </c>
      <c r="D55" s="81">
        <v>6732138</v>
      </c>
      <c r="E55" s="552">
        <f t="shared" si="4"/>
        <v>0</v>
      </c>
      <c r="H55" s="49"/>
      <c r="I55" s="48"/>
      <c r="J55" s="48"/>
      <c r="K55" s="48"/>
    </row>
    <row r="56" spans="1:11" ht="30" x14ac:dyDescent="0.2">
      <c r="A56" s="546" t="s">
        <v>615</v>
      </c>
      <c r="B56" s="589">
        <v>3076963</v>
      </c>
      <c r="C56" s="548">
        <v>3683640</v>
      </c>
      <c r="D56" s="548">
        <v>3683640</v>
      </c>
      <c r="E56" s="552">
        <f t="shared" si="4"/>
        <v>0</v>
      </c>
      <c r="H56" s="49"/>
      <c r="I56" s="48"/>
      <c r="J56" s="48"/>
      <c r="K56" s="48"/>
    </row>
    <row r="57" spans="1:11" ht="30" x14ac:dyDescent="0.2">
      <c r="A57" s="535" t="s">
        <v>5</v>
      </c>
      <c r="B57" s="589">
        <v>36449743</v>
      </c>
      <c r="C57" s="548">
        <v>36449743</v>
      </c>
      <c r="D57" s="548">
        <v>36449743</v>
      </c>
      <c r="E57" s="552">
        <f t="shared" si="4"/>
        <v>0</v>
      </c>
      <c r="G57" s="40"/>
      <c r="H57" s="49"/>
      <c r="I57" s="48"/>
      <c r="J57" s="48"/>
      <c r="K57" s="48"/>
    </row>
    <row r="58" spans="1:11" ht="30" x14ac:dyDescent="0.2">
      <c r="A58" s="535" t="s">
        <v>7</v>
      </c>
      <c r="B58" s="589">
        <v>762000</v>
      </c>
      <c r="C58" s="548">
        <v>762000</v>
      </c>
      <c r="D58" s="548">
        <v>762000</v>
      </c>
      <c r="E58" s="552">
        <f t="shared" si="4"/>
        <v>0</v>
      </c>
      <c r="H58" s="49"/>
      <c r="I58" s="48"/>
      <c r="J58" s="48"/>
      <c r="K58" s="48"/>
    </row>
    <row r="59" spans="1:11" ht="30" x14ac:dyDescent="0.2">
      <c r="A59" s="311" t="s">
        <v>608</v>
      </c>
      <c r="B59" s="587">
        <v>1434728</v>
      </c>
      <c r="C59" s="81">
        <v>1434728</v>
      </c>
      <c r="D59" s="81">
        <v>1434728</v>
      </c>
      <c r="E59" s="552">
        <f t="shared" si="4"/>
        <v>0</v>
      </c>
      <c r="H59" s="49"/>
      <c r="I59" s="48"/>
      <c r="J59" s="48"/>
      <c r="K59" s="48"/>
    </row>
    <row r="60" spans="1:11" ht="60" x14ac:dyDescent="0.2">
      <c r="A60" s="1395" t="s">
        <v>994</v>
      </c>
      <c r="B60" s="587"/>
      <c r="C60" s="81">
        <v>425540</v>
      </c>
      <c r="D60" s="81">
        <v>425540</v>
      </c>
      <c r="E60" s="552">
        <f t="shared" si="4"/>
        <v>0</v>
      </c>
      <c r="H60" s="49"/>
      <c r="I60" s="48"/>
      <c r="J60" s="48"/>
      <c r="K60" s="48"/>
    </row>
    <row r="61" spans="1:11" ht="30" x14ac:dyDescent="0.2">
      <c r="A61" s="1395" t="s">
        <v>6</v>
      </c>
      <c r="B61" s="587"/>
      <c r="C61" s="81">
        <v>6100000</v>
      </c>
      <c r="D61" s="81">
        <v>6100000</v>
      </c>
      <c r="E61" s="552">
        <f t="shared" si="4"/>
        <v>0</v>
      </c>
      <c r="H61" s="49"/>
      <c r="I61" s="48"/>
      <c r="J61" s="48"/>
      <c r="K61" s="48"/>
    </row>
    <row r="62" spans="1:11" ht="30" x14ac:dyDescent="0.2">
      <c r="A62" s="1395" t="s">
        <v>1079</v>
      </c>
      <c r="B62" s="587"/>
      <c r="C62" s="81">
        <v>152381</v>
      </c>
      <c r="D62" s="81">
        <v>152381</v>
      </c>
      <c r="E62" s="552">
        <f t="shared" si="4"/>
        <v>0</v>
      </c>
      <c r="H62" s="49"/>
      <c r="I62" s="48"/>
      <c r="J62" s="48"/>
      <c r="K62" s="48"/>
    </row>
    <row r="63" spans="1:11" s="4" customFormat="1" ht="31.5" x14ac:dyDescent="0.25">
      <c r="A63" s="551" t="s">
        <v>135</v>
      </c>
      <c r="B63" s="80">
        <f>SUM(B64:B72)</f>
        <v>18849518</v>
      </c>
      <c r="C63" s="80">
        <f>SUM(C64:C75)</f>
        <v>21158997</v>
      </c>
      <c r="D63" s="80">
        <f>SUM(D64:D75)</f>
        <v>21158997</v>
      </c>
      <c r="E63" s="1506">
        <f t="shared" si="4"/>
        <v>0</v>
      </c>
      <c r="F63" s="3"/>
      <c r="H63" s="45"/>
      <c r="I63" s="46"/>
      <c r="J63" s="46"/>
      <c r="K63" s="46"/>
    </row>
    <row r="64" spans="1:11" ht="19.149999999999999" customHeight="1" x14ac:dyDescent="0.2">
      <c r="A64" s="545" t="s">
        <v>131</v>
      </c>
      <c r="B64" s="589">
        <v>5224946</v>
      </c>
      <c r="C64" s="548">
        <v>5140663</v>
      </c>
      <c r="D64" s="548">
        <v>5140663</v>
      </c>
      <c r="E64" s="552">
        <f t="shared" si="4"/>
        <v>0</v>
      </c>
      <c r="H64" s="49"/>
      <c r="I64" s="48"/>
      <c r="J64" s="48"/>
      <c r="K64" s="48"/>
    </row>
    <row r="65" spans="1:12" ht="19.149999999999999" customHeight="1" x14ac:dyDescent="0.2">
      <c r="A65" s="545" t="s">
        <v>463</v>
      </c>
      <c r="B65" s="589">
        <v>1248773</v>
      </c>
      <c r="C65" s="548">
        <v>1248773</v>
      </c>
      <c r="D65" s="548">
        <v>1248773</v>
      </c>
      <c r="E65" s="552">
        <f t="shared" si="4"/>
        <v>0</v>
      </c>
      <c r="H65" s="49"/>
      <c r="I65" s="48"/>
      <c r="J65" s="48"/>
      <c r="K65" s="48"/>
    </row>
    <row r="66" spans="1:12" ht="19.149999999999999" customHeight="1" x14ac:dyDescent="0.2">
      <c r="A66" s="545" t="s">
        <v>318</v>
      </c>
      <c r="B66" s="587">
        <v>697568</v>
      </c>
      <c r="C66" s="81">
        <v>697568</v>
      </c>
      <c r="D66" s="81">
        <v>697568</v>
      </c>
      <c r="E66" s="552">
        <f t="shared" si="4"/>
        <v>0</v>
      </c>
      <c r="H66" s="49"/>
      <c r="I66" s="48"/>
      <c r="J66" s="48"/>
      <c r="K66" s="48"/>
    </row>
    <row r="67" spans="1:12" ht="19.149999999999999" customHeight="1" x14ac:dyDescent="0.2">
      <c r="A67" s="545" t="s">
        <v>132</v>
      </c>
      <c r="B67" s="587">
        <v>255500</v>
      </c>
      <c r="C67" s="81">
        <v>255500</v>
      </c>
      <c r="D67" s="81">
        <v>255500</v>
      </c>
      <c r="E67" s="552">
        <f t="shared" si="4"/>
        <v>0</v>
      </c>
      <c r="H67" s="49"/>
      <c r="I67" s="48"/>
      <c r="J67" s="48"/>
      <c r="K67" s="48"/>
    </row>
    <row r="68" spans="1:12" ht="28.5" customHeight="1" x14ac:dyDescent="0.2">
      <c r="A68" s="545" t="s">
        <v>330</v>
      </c>
      <c r="B68" s="587">
        <v>1112150</v>
      </c>
      <c r="C68" s="81">
        <v>2546077</v>
      </c>
      <c r="D68" s="81">
        <v>2546077</v>
      </c>
      <c r="E68" s="552">
        <f t="shared" si="4"/>
        <v>0</v>
      </c>
      <c r="H68" s="49"/>
      <c r="I68" s="48"/>
      <c r="J68" s="48"/>
      <c r="K68" s="48"/>
    </row>
    <row r="69" spans="1:12" ht="30" x14ac:dyDescent="0.2">
      <c r="A69" s="546" t="s">
        <v>615</v>
      </c>
      <c r="B69" s="589">
        <v>860027</v>
      </c>
      <c r="C69" s="548">
        <v>860027</v>
      </c>
      <c r="D69" s="548">
        <v>860027</v>
      </c>
      <c r="E69" s="552">
        <f t="shared" si="4"/>
        <v>0</v>
      </c>
      <c r="G69" s="40"/>
      <c r="H69" s="49"/>
      <c r="I69" s="48"/>
      <c r="J69" s="48"/>
      <c r="K69" s="48"/>
    </row>
    <row r="70" spans="1:12" ht="30" x14ac:dyDescent="0.2">
      <c r="A70" s="535" t="s">
        <v>5</v>
      </c>
      <c r="B70" s="589">
        <v>9050766</v>
      </c>
      <c r="C70" s="548">
        <v>9050766</v>
      </c>
      <c r="D70" s="548">
        <v>9050766</v>
      </c>
      <c r="E70" s="552">
        <f t="shared" si="4"/>
        <v>0</v>
      </c>
      <c r="H70" s="49"/>
      <c r="I70" s="48"/>
      <c r="J70" s="48"/>
      <c r="K70" s="48"/>
    </row>
    <row r="71" spans="1:12" ht="30" x14ac:dyDescent="0.2">
      <c r="A71" s="535" t="s">
        <v>7</v>
      </c>
      <c r="B71" s="589">
        <v>120016</v>
      </c>
      <c r="C71" s="548">
        <v>120016</v>
      </c>
      <c r="D71" s="548">
        <v>120016</v>
      </c>
      <c r="E71" s="552">
        <f t="shared" si="4"/>
        <v>0</v>
      </c>
      <c r="H71" s="49"/>
      <c r="I71" s="48"/>
      <c r="J71" s="48"/>
      <c r="K71" s="48"/>
    </row>
    <row r="72" spans="1:12" ht="30" x14ac:dyDescent="0.2">
      <c r="A72" s="311" t="s">
        <v>608</v>
      </c>
      <c r="B72" s="587">
        <v>279772</v>
      </c>
      <c r="C72" s="81">
        <v>279772</v>
      </c>
      <c r="D72" s="81">
        <v>279772</v>
      </c>
      <c r="E72" s="552">
        <f t="shared" si="4"/>
        <v>0</v>
      </c>
      <c r="H72" s="49"/>
      <c r="I72" s="48"/>
      <c r="J72" s="48"/>
      <c r="K72" s="48"/>
    </row>
    <row r="73" spans="1:12" ht="60" x14ac:dyDescent="0.2">
      <c r="A73" s="1395" t="s">
        <v>994</v>
      </c>
      <c r="B73" s="587"/>
      <c r="C73" s="587">
        <v>74286</v>
      </c>
      <c r="D73" s="587">
        <v>74286</v>
      </c>
      <c r="E73" s="552">
        <f t="shared" si="4"/>
        <v>0</v>
      </c>
      <c r="H73" s="49"/>
      <c r="I73" s="48"/>
      <c r="J73" s="48"/>
      <c r="K73" s="48"/>
    </row>
    <row r="74" spans="1:12" ht="30" x14ac:dyDescent="0.2">
      <c r="A74" s="1595" t="s">
        <v>6</v>
      </c>
      <c r="B74" s="587"/>
      <c r="C74" s="587">
        <v>861930</v>
      </c>
      <c r="D74" s="587">
        <v>861930</v>
      </c>
      <c r="E74" s="552">
        <f t="shared" si="4"/>
        <v>0</v>
      </c>
      <c r="H74" s="49"/>
      <c r="I74" s="48"/>
      <c r="J74" s="48"/>
      <c r="K74" s="48"/>
    </row>
    <row r="75" spans="1:12" ht="30.75" thickBot="1" x14ac:dyDescent="0.25">
      <c r="A75" s="1598" t="s">
        <v>1079</v>
      </c>
      <c r="B75" s="1599"/>
      <c r="C75" s="1599">
        <v>23619</v>
      </c>
      <c r="D75" s="1599">
        <v>23619</v>
      </c>
      <c r="E75" s="1600">
        <f t="shared" si="4"/>
        <v>0</v>
      </c>
      <c r="H75" s="49"/>
      <c r="I75" s="48"/>
      <c r="J75" s="48"/>
      <c r="K75" s="48"/>
    </row>
    <row r="76" spans="1:12" ht="48" customHeight="1" thickBot="1" x14ac:dyDescent="0.25">
      <c r="A76" s="77" t="s">
        <v>301</v>
      </c>
      <c r="B76" s="556" t="s">
        <v>657</v>
      </c>
      <c r="C76" s="390" t="s">
        <v>1041</v>
      </c>
      <c r="D76" s="390" t="s">
        <v>1088</v>
      </c>
      <c r="E76" s="391" t="s">
        <v>983</v>
      </c>
      <c r="H76" s="49"/>
      <c r="I76" s="48"/>
      <c r="J76" s="48"/>
      <c r="K76" s="48"/>
    </row>
    <row r="77" spans="1:12" s="1" customFormat="1" ht="19.149999999999999" customHeight="1" x14ac:dyDescent="0.25">
      <c r="A77" s="544" t="s">
        <v>123</v>
      </c>
      <c r="B77" s="1293">
        <f>SUM(B78:B125)</f>
        <v>1128251078</v>
      </c>
      <c r="C77" s="1294">
        <f>SUM(C78:C125)</f>
        <v>1111068870</v>
      </c>
      <c r="D77" s="1294">
        <f>SUM(D78:D125)</f>
        <v>1104729422</v>
      </c>
      <c r="E77" s="543">
        <f>D77-C77</f>
        <v>-6339448</v>
      </c>
      <c r="G77" s="2"/>
      <c r="H77" s="45"/>
      <c r="I77" s="46"/>
      <c r="J77" s="46"/>
      <c r="K77" s="46"/>
      <c r="L77" s="9"/>
    </row>
    <row r="78" spans="1:12" ht="19.149999999999999" customHeight="1" x14ac:dyDescent="0.2">
      <c r="A78" s="537" t="s">
        <v>136</v>
      </c>
      <c r="B78" s="587">
        <v>6640000</v>
      </c>
      <c r="C78" s="81">
        <f>6919400-500000</f>
        <v>6419400</v>
      </c>
      <c r="D78" s="81">
        <v>5219400</v>
      </c>
      <c r="E78" s="682">
        <f>D78-C78</f>
        <v>-1200000</v>
      </c>
      <c r="H78" s="49"/>
      <c r="I78" s="48"/>
      <c r="J78" s="48"/>
      <c r="K78" s="48"/>
      <c r="L78" s="1"/>
    </row>
    <row r="79" spans="1:12" ht="19.149999999999999" customHeight="1" x14ac:dyDescent="0.2">
      <c r="A79" s="537" t="s">
        <v>137</v>
      </c>
      <c r="B79" s="587">
        <v>177219440</v>
      </c>
      <c r="C79" s="81">
        <v>180118426</v>
      </c>
      <c r="D79" s="81">
        <v>180130216</v>
      </c>
      <c r="E79" s="682">
        <f t="shared" ref="E79:E105" si="5">D79-C79</f>
        <v>11790</v>
      </c>
      <c r="H79" s="49"/>
      <c r="I79" s="48"/>
      <c r="J79" s="48"/>
      <c r="K79" s="48"/>
    </row>
    <row r="80" spans="1:12" ht="19.149999999999999" customHeight="1" x14ac:dyDescent="0.2">
      <c r="A80" s="537" t="s">
        <v>138</v>
      </c>
      <c r="B80" s="587">
        <v>32550000</v>
      </c>
      <c r="C80" s="81">
        <v>22937206</v>
      </c>
      <c r="D80" s="81">
        <v>22937206</v>
      </c>
      <c r="E80" s="682">
        <f t="shared" si="5"/>
        <v>0</v>
      </c>
      <c r="H80" s="49"/>
      <c r="I80" s="48"/>
      <c r="J80" s="48"/>
      <c r="K80" s="48"/>
    </row>
    <row r="81" spans="1:11" ht="19.149999999999999" customHeight="1" x14ac:dyDescent="0.2">
      <c r="A81" s="537" t="s">
        <v>139</v>
      </c>
      <c r="B81" s="587">
        <v>3860000</v>
      </c>
      <c r="C81" s="81">
        <v>3910000</v>
      </c>
      <c r="D81" s="81">
        <v>3910000</v>
      </c>
      <c r="E81" s="682">
        <f t="shared" si="5"/>
        <v>0</v>
      </c>
      <c r="H81" s="49"/>
      <c r="I81" s="48"/>
      <c r="J81" s="48"/>
      <c r="K81" s="48"/>
    </row>
    <row r="82" spans="1:11" ht="19.149999999999999" customHeight="1" x14ac:dyDescent="0.25">
      <c r="A82" s="537" t="s">
        <v>140</v>
      </c>
      <c r="B82" s="587">
        <v>10802032</v>
      </c>
      <c r="C82" s="81">
        <v>9561858</v>
      </c>
      <c r="D82" s="81">
        <v>9561858</v>
      </c>
      <c r="E82" s="682">
        <f t="shared" si="5"/>
        <v>0</v>
      </c>
      <c r="H82" s="45"/>
      <c r="I82" s="46"/>
      <c r="J82" s="46"/>
      <c r="K82" s="46"/>
    </row>
    <row r="83" spans="1:11" ht="19.149999999999999" customHeight="1" x14ac:dyDescent="0.2">
      <c r="A83" s="537" t="s">
        <v>141</v>
      </c>
      <c r="B83" s="587">
        <v>3880000</v>
      </c>
      <c r="C83" s="81">
        <v>2922315</v>
      </c>
      <c r="D83" s="81">
        <v>2922315</v>
      </c>
      <c r="E83" s="682">
        <f t="shared" si="5"/>
        <v>0</v>
      </c>
      <c r="H83" s="45"/>
      <c r="I83" s="48"/>
      <c r="J83" s="48"/>
      <c r="K83" s="48"/>
    </row>
    <row r="84" spans="1:11" ht="19.149999999999999" customHeight="1" x14ac:dyDescent="0.2">
      <c r="A84" s="537" t="s">
        <v>142</v>
      </c>
      <c r="B84" s="587">
        <v>954000</v>
      </c>
      <c r="C84" s="81">
        <v>1275223</v>
      </c>
      <c r="D84" s="81">
        <v>1275223</v>
      </c>
      <c r="E84" s="682">
        <f t="shared" si="5"/>
        <v>0</v>
      </c>
      <c r="H84" s="49"/>
      <c r="I84" s="48"/>
      <c r="J84" s="48"/>
      <c r="K84" s="48"/>
    </row>
    <row r="85" spans="1:11" ht="19.149999999999999" customHeight="1" x14ac:dyDescent="0.2">
      <c r="A85" s="537" t="s">
        <v>143</v>
      </c>
      <c r="B85" s="587">
        <v>11000000</v>
      </c>
      <c r="C85" s="81">
        <v>8006000</v>
      </c>
      <c r="D85" s="81">
        <v>8606000</v>
      </c>
      <c r="E85" s="682">
        <f t="shared" si="5"/>
        <v>600000</v>
      </c>
      <c r="H85" s="49"/>
      <c r="I85" s="48"/>
      <c r="J85" s="48"/>
      <c r="K85" s="48"/>
    </row>
    <row r="86" spans="1:11" ht="19.149999999999999" customHeight="1" x14ac:dyDescent="0.2">
      <c r="A86" s="537" t="s">
        <v>144</v>
      </c>
      <c r="B86" s="587">
        <v>87175427</v>
      </c>
      <c r="C86" s="81">
        <v>120889396</v>
      </c>
      <c r="D86" s="81">
        <v>120559396</v>
      </c>
      <c r="E86" s="682">
        <f t="shared" si="5"/>
        <v>-330000</v>
      </c>
      <c r="H86" s="49"/>
      <c r="I86" s="48"/>
      <c r="J86" s="48"/>
      <c r="K86" s="48"/>
    </row>
    <row r="87" spans="1:11" ht="19.149999999999999" customHeight="1" x14ac:dyDescent="0.2">
      <c r="A87" s="537" t="s">
        <v>2</v>
      </c>
      <c r="B87" s="587">
        <v>12700000</v>
      </c>
      <c r="C87" s="81">
        <v>18100000</v>
      </c>
      <c r="D87" s="81">
        <v>18100000</v>
      </c>
      <c r="E87" s="682">
        <f t="shared" si="5"/>
        <v>0</v>
      </c>
      <c r="H87" s="49"/>
      <c r="I87" s="48"/>
      <c r="J87" s="48"/>
      <c r="K87" s="48"/>
    </row>
    <row r="88" spans="1:11" ht="19.149999999999999" customHeight="1" x14ac:dyDescent="0.2">
      <c r="A88" s="537" t="s">
        <v>145</v>
      </c>
      <c r="B88" s="587">
        <f>270272989+28836000</f>
        <v>299108989</v>
      </c>
      <c r="C88" s="81">
        <v>241756440</v>
      </c>
      <c r="D88" s="81">
        <v>241756440</v>
      </c>
      <c r="E88" s="682">
        <f t="shared" si="5"/>
        <v>0</v>
      </c>
      <c r="H88" s="49"/>
      <c r="I88" s="48"/>
      <c r="J88" s="48"/>
      <c r="K88" s="48"/>
    </row>
    <row r="89" spans="1:11" ht="19.149999999999999" customHeight="1" x14ac:dyDescent="0.25">
      <c r="A89" s="537" t="s">
        <v>146</v>
      </c>
      <c r="B89" s="587">
        <v>1200000</v>
      </c>
      <c r="C89" s="81">
        <f>1200000-500000</f>
        <v>700000</v>
      </c>
      <c r="D89" s="81">
        <f>1200000-500000</f>
        <v>700000</v>
      </c>
      <c r="E89" s="682">
        <f t="shared" si="5"/>
        <v>0</v>
      </c>
      <c r="H89" s="45"/>
      <c r="I89" s="46"/>
      <c r="J89" s="44"/>
      <c r="K89" s="46"/>
    </row>
    <row r="90" spans="1:11" ht="19.149999999999999" customHeight="1" x14ac:dyDescent="0.2">
      <c r="A90" s="537" t="s">
        <v>147</v>
      </c>
      <c r="B90" s="587">
        <v>780000</v>
      </c>
      <c r="C90" s="81">
        <f>780000-500000</f>
        <v>280000</v>
      </c>
      <c r="D90" s="81">
        <f>780000-500000</f>
        <v>280000</v>
      </c>
      <c r="E90" s="682">
        <f t="shared" si="5"/>
        <v>0</v>
      </c>
      <c r="H90" s="49"/>
      <c r="I90" s="48"/>
      <c r="J90" s="48"/>
      <c r="K90" s="48"/>
    </row>
    <row r="91" spans="1:11" ht="19.149999999999999" customHeight="1" x14ac:dyDescent="0.2">
      <c r="A91" s="537" t="s">
        <v>518</v>
      </c>
      <c r="B91" s="587">
        <v>97872652</v>
      </c>
      <c r="C91" s="81">
        <v>59870620</v>
      </c>
      <c r="D91" s="81">
        <v>59870620</v>
      </c>
      <c r="E91" s="682">
        <f t="shared" si="5"/>
        <v>0</v>
      </c>
      <c r="H91" s="49"/>
      <c r="I91" s="48"/>
      <c r="J91" s="48"/>
      <c r="K91" s="48"/>
    </row>
    <row r="92" spans="1:11" ht="19.149999999999999" customHeight="1" x14ac:dyDescent="0.2">
      <c r="A92" s="537" t="s">
        <v>488</v>
      </c>
      <c r="B92" s="587">
        <v>300000</v>
      </c>
      <c r="C92" s="81">
        <v>217350</v>
      </c>
      <c r="D92" s="81">
        <v>217350</v>
      </c>
      <c r="E92" s="682">
        <f t="shared" si="5"/>
        <v>0</v>
      </c>
      <c r="H92" s="49"/>
      <c r="I92" s="48"/>
      <c r="J92" s="48"/>
      <c r="K92" s="48"/>
    </row>
    <row r="93" spans="1:11" ht="31.7" customHeight="1" x14ac:dyDescent="0.2">
      <c r="A93" s="537" t="s">
        <v>370</v>
      </c>
      <c r="B93" s="587">
        <v>21175000</v>
      </c>
      <c r="C93" s="81">
        <v>21229053</v>
      </c>
      <c r="D93" s="81">
        <v>21229053</v>
      </c>
      <c r="E93" s="682">
        <f t="shared" si="5"/>
        <v>0</v>
      </c>
      <c r="H93" s="49"/>
      <c r="I93" s="48"/>
      <c r="J93" s="48"/>
      <c r="K93" s="48"/>
    </row>
    <row r="94" spans="1:11" ht="15" x14ac:dyDescent="0.2">
      <c r="A94" s="537" t="s">
        <v>148</v>
      </c>
      <c r="B94" s="587">
        <v>7200000</v>
      </c>
      <c r="C94" s="81">
        <v>10246319</v>
      </c>
      <c r="D94" s="81">
        <v>10246319</v>
      </c>
      <c r="E94" s="682">
        <f t="shared" si="5"/>
        <v>0</v>
      </c>
      <c r="H94" s="49"/>
      <c r="I94" s="48"/>
      <c r="J94" s="48"/>
      <c r="K94" s="48"/>
    </row>
    <row r="95" spans="1:11" ht="15" x14ac:dyDescent="0.2">
      <c r="A95" s="537" t="s">
        <v>472</v>
      </c>
      <c r="B95" s="587">
        <v>11500000</v>
      </c>
      <c r="C95" s="81">
        <v>11500000</v>
      </c>
      <c r="D95" s="81">
        <v>11500000</v>
      </c>
      <c r="E95" s="682">
        <f t="shared" si="5"/>
        <v>0</v>
      </c>
      <c r="H95" s="49"/>
      <c r="I95" s="48"/>
      <c r="J95" s="48"/>
      <c r="K95" s="48"/>
    </row>
    <row r="96" spans="1:11" ht="30" x14ac:dyDescent="0.2">
      <c r="A96" s="536" t="s">
        <v>629</v>
      </c>
      <c r="B96" s="587">
        <v>41140000</v>
      </c>
      <c r="C96" s="81">
        <v>41140000</v>
      </c>
      <c r="D96" s="81">
        <v>41140000</v>
      </c>
      <c r="E96" s="682">
        <f t="shared" si="5"/>
        <v>0</v>
      </c>
      <c r="G96" s="40"/>
      <c r="H96" s="693"/>
      <c r="I96" s="48"/>
      <c r="J96" s="48"/>
      <c r="K96" s="48"/>
    </row>
    <row r="97" spans="1:11" ht="30.75" customHeight="1" x14ac:dyDescent="0.2">
      <c r="A97" s="535" t="s">
        <v>609</v>
      </c>
      <c r="B97" s="587">
        <v>1475232</v>
      </c>
      <c r="C97" s="81">
        <v>1475232</v>
      </c>
      <c r="D97" s="81">
        <v>1475232</v>
      </c>
      <c r="E97" s="682">
        <f t="shared" si="5"/>
        <v>0</v>
      </c>
      <c r="G97" s="40"/>
      <c r="H97" s="692"/>
      <c r="I97" s="48"/>
      <c r="J97" s="48"/>
      <c r="K97" s="48"/>
    </row>
    <row r="98" spans="1:11" ht="30.75" customHeight="1" x14ac:dyDescent="0.2">
      <c r="A98" s="457" t="s">
        <v>1080</v>
      </c>
      <c r="B98" s="587"/>
      <c r="C98" s="81">
        <v>7175499</v>
      </c>
      <c r="D98" s="81">
        <v>6834261</v>
      </c>
      <c r="E98" s="682">
        <f t="shared" si="5"/>
        <v>-341238</v>
      </c>
      <c r="G98" s="40"/>
      <c r="H98" s="692"/>
      <c r="I98" s="48"/>
      <c r="J98" s="48"/>
      <c r="K98" s="48"/>
    </row>
    <row r="99" spans="1:11" ht="45" x14ac:dyDescent="0.2">
      <c r="A99" s="311" t="s">
        <v>610</v>
      </c>
      <c r="B99" s="587">
        <v>142061</v>
      </c>
      <c r="C99" s="81">
        <v>142061</v>
      </c>
      <c r="D99" s="81">
        <v>142061</v>
      </c>
      <c r="E99" s="682">
        <f t="shared" si="5"/>
        <v>0</v>
      </c>
      <c r="G99" s="40"/>
      <c r="H99" s="692"/>
      <c r="I99" s="48"/>
      <c r="J99" s="48"/>
      <c r="K99" s="48"/>
    </row>
    <row r="100" spans="1:11" ht="30" x14ac:dyDescent="0.2">
      <c r="A100" s="536" t="s">
        <v>170</v>
      </c>
      <c r="B100" s="590">
        <v>1736400</v>
      </c>
      <c r="C100" s="533">
        <v>1453297</v>
      </c>
      <c r="D100" s="533">
        <v>1453297</v>
      </c>
      <c r="E100" s="682">
        <f t="shared" si="5"/>
        <v>0</v>
      </c>
      <c r="F100" s="40"/>
      <c r="G100" s="40"/>
      <c r="H100" s="693"/>
      <c r="I100" s="48"/>
      <c r="J100" s="48"/>
      <c r="K100" s="48"/>
    </row>
    <row r="101" spans="1:11" ht="30" x14ac:dyDescent="0.2">
      <c r="A101" s="546" t="s">
        <v>455</v>
      </c>
      <c r="B101" s="590">
        <v>22790772</v>
      </c>
      <c r="C101" s="533">
        <v>20127245</v>
      </c>
      <c r="D101" s="533">
        <v>20127245</v>
      </c>
      <c r="E101" s="682">
        <f t="shared" si="5"/>
        <v>0</v>
      </c>
      <c r="F101" s="40"/>
      <c r="G101" s="40"/>
      <c r="H101" s="49"/>
      <c r="I101" s="48"/>
      <c r="J101" s="48"/>
      <c r="K101" s="48"/>
    </row>
    <row r="102" spans="1:11" ht="45" x14ac:dyDescent="0.2">
      <c r="A102" s="535" t="s">
        <v>12</v>
      </c>
      <c r="B102" s="590">
        <v>103134170</v>
      </c>
      <c r="C102" s="533">
        <v>103134170</v>
      </c>
      <c r="D102" s="533">
        <v>103134170</v>
      </c>
      <c r="E102" s="682">
        <f t="shared" si="5"/>
        <v>0</v>
      </c>
      <c r="F102" s="40"/>
      <c r="H102" s="49"/>
      <c r="I102" s="48"/>
      <c r="J102" s="48"/>
      <c r="K102" s="48"/>
    </row>
    <row r="103" spans="1:11" ht="30" x14ac:dyDescent="0.2">
      <c r="A103" s="535" t="s">
        <v>11</v>
      </c>
      <c r="B103" s="590">
        <v>27686000</v>
      </c>
      <c r="C103" s="533">
        <v>18844349</v>
      </c>
      <c r="D103" s="533">
        <v>18844349</v>
      </c>
      <c r="E103" s="682">
        <f t="shared" si="5"/>
        <v>0</v>
      </c>
      <c r="F103" s="40"/>
      <c r="H103" s="49"/>
      <c r="I103" s="48"/>
      <c r="J103" s="48"/>
      <c r="K103" s="48"/>
    </row>
    <row r="104" spans="1:11" ht="45" x14ac:dyDescent="0.2">
      <c r="A104" s="535" t="s">
        <v>13</v>
      </c>
      <c r="B104" s="590">
        <v>298450</v>
      </c>
      <c r="C104" s="533">
        <v>298450</v>
      </c>
      <c r="D104" s="533">
        <v>298450</v>
      </c>
      <c r="E104" s="682">
        <f t="shared" si="5"/>
        <v>0</v>
      </c>
      <c r="F104" s="40"/>
      <c r="H104" s="49"/>
      <c r="I104" s="48"/>
      <c r="J104" s="48"/>
      <c r="K104" s="48"/>
    </row>
    <row r="105" spans="1:11" ht="30.75" thickBot="1" x14ac:dyDescent="0.25">
      <c r="A105" s="547" t="s">
        <v>14</v>
      </c>
      <c r="B105" s="1292">
        <v>1418200</v>
      </c>
      <c r="C105" s="1384">
        <v>1418200</v>
      </c>
      <c r="D105" s="1384">
        <v>1418200</v>
      </c>
      <c r="E105" s="1530">
        <f t="shared" si="5"/>
        <v>0</v>
      </c>
      <c r="F105" s="40"/>
      <c r="H105" s="49"/>
      <c r="I105" s="48"/>
      <c r="J105" s="48"/>
      <c r="K105" s="48"/>
    </row>
    <row r="106" spans="1:11" ht="44.25" customHeight="1" thickBot="1" x14ac:dyDescent="0.25">
      <c r="A106" s="1297" t="s">
        <v>301</v>
      </c>
      <c r="B106" s="556" t="s">
        <v>657</v>
      </c>
      <c r="C106" s="1298" t="s">
        <v>1041</v>
      </c>
      <c r="D106" s="1298" t="s">
        <v>1088</v>
      </c>
      <c r="E106" s="1296" t="s">
        <v>983</v>
      </c>
      <c r="F106" s="40"/>
      <c r="H106" s="49"/>
      <c r="I106" s="48"/>
      <c r="J106" s="48"/>
      <c r="K106" s="48"/>
    </row>
    <row r="107" spans="1:11" ht="33.75" customHeight="1" x14ac:dyDescent="0.2">
      <c r="A107" s="1299" t="s">
        <v>15</v>
      </c>
      <c r="B107" s="1300">
        <v>27940000</v>
      </c>
      <c r="C107" s="1385">
        <v>33655000</v>
      </c>
      <c r="D107" s="1385">
        <v>33655000</v>
      </c>
      <c r="E107" s="1295">
        <f>D107-C107</f>
        <v>0</v>
      </c>
      <c r="F107" s="40"/>
      <c r="H107" s="49"/>
      <c r="I107" s="48"/>
      <c r="J107" s="48"/>
      <c r="K107" s="48"/>
    </row>
    <row r="108" spans="1:11" ht="45" x14ac:dyDescent="0.2">
      <c r="A108" s="535" t="s">
        <v>16</v>
      </c>
      <c r="B108" s="590">
        <v>7952936</v>
      </c>
      <c r="C108" s="533">
        <v>6236595</v>
      </c>
      <c r="D108" s="533">
        <v>6236595</v>
      </c>
      <c r="E108" s="682">
        <f t="shared" ref="E108:E135" si="6">D108-C108</f>
        <v>0</v>
      </c>
      <c r="F108" s="40"/>
      <c r="G108" s="40"/>
      <c r="H108" s="49"/>
      <c r="I108" s="48"/>
      <c r="J108" s="48"/>
      <c r="K108" s="48"/>
    </row>
    <row r="109" spans="1:11" ht="30" x14ac:dyDescent="0.2">
      <c r="A109" s="536" t="s">
        <v>555</v>
      </c>
      <c r="B109" s="590">
        <v>37552500</v>
      </c>
      <c r="C109" s="533">
        <v>0</v>
      </c>
      <c r="D109" s="533">
        <v>0</v>
      </c>
      <c r="E109" s="682">
        <f t="shared" si="6"/>
        <v>0</v>
      </c>
      <c r="F109" s="40"/>
      <c r="H109" s="49"/>
      <c r="I109" s="48"/>
      <c r="J109" s="48"/>
      <c r="K109" s="48"/>
    </row>
    <row r="110" spans="1:11" ht="30" x14ac:dyDescent="0.2">
      <c r="A110" s="536" t="s">
        <v>598</v>
      </c>
      <c r="B110" s="590">
        <v>4648200</v>
      </c>
      <c r="C110" s="533">
        <v>4648200</v>
      </c>
      <c r="D110" s="533">
        <v>4648200</v>
      </c>
      <c r="E110" s="682">
        <f t="shared" si="6"/>
        <v>0</v>
      </c>
      <c r="F110" s="40"/>
      <c r="H110" s="49"/>
      <c r="I110" s="48"/>
      <c r="J110" s="48"/>
      <c r="K110" s="48"/>
    </row>
    <row r="111" spans="1:11" ht="15" x14ac:dyDescent="0.2">
      <c r="A111" s="536" t="s">
        <v>599</v>
      </c>
      <c r="B111" s="590">
        <v>4636670</v>
      </c>
      <c r="C111" s="533">
        <v>4636670</v>
      </c>
      <c r="D111" s="533">
        <v>4636670</v>
      </c>
      <c r="E111" s="682">
        <f t="shared" si="6"/>
        <v>0</v>
      </c>
      <c r="F111" s="40"/>
      <c r="H111" s="49"/>
      <c r="I111" s="48"/>
      <c r="J111" s="48"/>
      <c r="K111" s="48"/>
    </row>
    <row r="112" spans="1:11" ht="30" x14ac:dyDescent="0.2">
      <c r="A112" s="536" t="s">
        <v>600</v>
      </c>
      <c r="B112" s="590">
        <v>14661483</v>
      </c>
      <c r="C112" s="533">
        <v>14661483</v>
      </c>
      <c r="D112" s="533">
        <v>14661483</v>
      </c>
      <c r="E112" s="682">
        <f t="shared" si="6"/>
        <v>0</v>
      </c>
      <c r="F112" s="40"/>
      <c r="H112" s="49"/>
      <c r="I112" s="48"/>
      <c r="J112" s="48"/>
      <c r="K112" s="48"/>
    </row>
    <row r="113" spans="1:12" ht="30" x14ac:dyDescent="0.2">
      <c r="A113" s="536" t="s">
        <v>617</v>
      </c>
      <c r="B113" s="590">
        <v>0</v>
      </c>
      <c r="C113" s="533">
        <v>0</v>
      </c>
      <c r="D113" s="533">
        <v>0</v>
      </c>
      <c r="E113" s="682">
        <f t="shared" si="6"/>
        <v>0</v>
      </c>
      <c r="F113" s="40"/>
      <c r="H113" s="49"/>
      <c r="I113" s="48"/>
      <c r="J113" s="48"/>
      <c r="K113" s="48"/>
    </row>
    <row r="114" spans="1:12" ht="15" x14ac:dyDescent="0.2">
      <c r="A114" s="536" t="s">
        <v>695</v>
      </c>
      <c r="B114" s="590">
        <v>12225000</v>
      </c>
      <c r="C114" s="533">
        <v>11994767</v>
      </c>
      <c r="D114" s="533">
        <v>11994767</v>
      </c>
      <c r="E114" s="682">
        <f t="shared" si="6"/>
        <v>0</v>
      </c>
      <c r="F114" s="40"/>
      <c r="H114" s="49"/>
      <c r="I114" s="48"/>
      <c r="J114" s="48"/>
      <c r="K114" s="48"/>
    </row>
    <row r="115" spans="1:12" ht="15" x14ac:dyDescent="0.2">
      <c r="A115" s="536" t="s">
        <v>630</v>
      </c>
      <c r="B115" s="590">
        <v>19050000</v>
      </c>
      <c r="C115" s="533">
        <v>18923000</v>
      </c>
      <c r="D115" s="533">
        <v>18923000</v>
      </c>
      <c r="E115" s="682">
        <f t="shared" si="6"/>
        <v>0</v>
      </c>
      <c r="F115" s="40"/>
      <c r="H115" s="49"/>
      <c r="I115" s="48"/>
      <c r="J115" s="48"/>
      <c r="K115" s="48"/>
    </row>
    <row r="116" spans="1:12" ht="15" x14ac:dyDescent="0.2">
      <c r="A116" s="536" t="s">
        <v>995</v>
      </c>
      <c r="B116" s="590"/>
      <c r="C116" s="533">
        <v>2999137</v>
      </c>
      <c r="D116" s="533">
        <v>2999137</v>
      </c>
      <c r="E116" s="682">
        <f t="shared" si="6"/>
        <v>0</v>
      </c>
      <c r="F116" s="40"/>
      <c r="H116" s="49"/>
      <c r="I116" s="48"/>
      <c r="J116" s="48"/>
      <c r="K116" s="48"/>
    </row>
    <row r="117" spans="1:12" ht="60" x14ac:dyDescent="0.2">
      <c r="A117" s="1596" t="s">
        <v>1081</v>
      </c>
      <c r="B117" s="590"/>
      <c r="C117" s="533">
        <v>11331245</v>
      </c>
      <c r="D117" s="533">
        <v>11331245</v>
      </c>
      <c r="E117" s="682">
        <f t="shared" si="6"/>
        <v>0</v>
      </c>
      <c r="F117" s="40"/>
      <c r="H117" s="49"/>
      <c r="I117" s="48"/>
      <c r="J117" s="48"/>
      <c r="K117" s="48"/>
    </row>
    <row r="118" spans="1:12" ht="45" x14ac:dyDescent="0.2">
      <c r="A118" s="1596" t="s">
        <v>1082</v>
      </c>
      <c r="B118" s="590"/>
      <c r="C118" s="533">
        <v>304800</v>
      </c>
      <c r="D118" s="533">
        <v>304800</v>
      </c>
      <c r="E118" s="682">
        <f t="shared" si="6"/>
        <v>0</v>
      </c>
      <c r="F118" s="40"/>
      <c r="H118" s="49"/>
      <c r="I118" s="48"/>
      <c r="J118" s="48"/>
      <c r="K118" s="48"/>
    </row>
    <row r="119" spans="1:12" ht="30" x14ac:dyDescent="0.2">
      <c r="A119" s="1596" t="s">
        <v>1083</v>
      </c>
      <c r="B119" s="590"/>
      <c r="C119" s="533">
        <v>57785000</v>
      </c>
      <c r="D119" s="533">
        <v>57785000</v>
      </c>
      <c r="E119" s="682">
        <f t="shared" si="6"/>
        <v>0</v>
      </c>
      <c r="F119" s="40"/>
      <c r="H119" s="49"/>
      <c r="I119" s="48"/>
      <c r="J119" s="48"/>
      <c r="K119" s="48"/>
    </row>
    <row r="120" spans="1:12" ht="15" x14ac:dyDescent="0.2">
      <c r="A120" s="1596" t="s">
        <v>1084</v>
      </c>
      <c r="B120" s="590"/>
      <c r="C120" s="533">
        <v>5080000</v>
      </c>
      <c r="D120" s="533">
        <v>0</v>
      </c>
      <c r="E120" s="682">
        <f t="shared" si="6"/>
        <v>-5080000</v>
      </c>
      <c r="F120" s="40"/>
      <c r="H120" s="49"/>
      <c r="I120" s="48"/>
      <c r="J120" s="48"/>
      <c r="K120" s="48"/>
    </row>
    <row r="121" spans="1:12" ht="15" x14ac:dyDescent="0.2">
      <c r="A121" s="1596" t="s">
        <v>1085</v>
      </c>
      <c r="B121" s="590"/>
      <c r="C121" s="533">
        <v>8572500</v>
      </c>
      <c r="D121" s="533">
        <v>8572500</v>
      </c>
      <c r="E121" s="682">
        <f t="shared" si="6"/>
        <v>0</v>
      </c>
      <c r="F121" s="40"/>
      <c r="H121" s="49"/>
      <c r="I121" s="48"/>
      <c r="J121" s="48"/>
      <c r="K121" s="48"/>
    </row>
    <row r="122" spans="1:12" ht="15" x14ac:dyDescent="0.2">
      <c r="A122" s="1442" t="s">
        <v>1028</v>
      </c>
      <c r="B122" s="590"/>
      <c r="C122" s="533">
        <v>197880</v>
      </c>
      <c r="D122" s="533">
        <v>197880</v>
      </c>
      <c r="E122" s="682">
        <f t="shared" si="6"/>
        <v>0</v>
      </c>
      <c r="F122" s="40"/>
      <c r="H122" s="49"/>
      <c r="I122" s="48"/>
      <c r="J122" s="48"/>
      <c r="K122" s="48"/>
    </row>
    <row r="123" spans="1:12" ht="24" customHeight="1" x14ac:dyDescent="0.2">
      <c r="A123" s="537" t="s">
        <v>218</v>
      </c>
      <c r="B123" s="587">
        <v>10342900</v>
      </c>
      <c r="C123" s="81">
        <v>11391920</v>
      </c>
      <c r="D123" s="81">
        <v>11391920</v>
      </c>
      <c r="E123" s="682">
        <f t="shared" si="6"/>
        <v>0</v>
      </c>
      <c r="H123" s="49"/>
      <c r="I123" s="48"/>
      <c r="J123" s="48"/>
      <c r="K123" s="48"/>
    </row>
    <row r="124" spans="1:12" ht="27" customHeight="1" x14ac:dyDescent="0.2">
      <c r="A124" s="536" t="s">
        <v>197</v>
      </c>
      <c r="B124" s="587">
        <v>797779</v>
      </c>
      <c r="C124" s="81">
        <v>797779</v>
      </c>
      <c r="D124" s="81">
        <v>797779</v>
      </c>
      <c r="E124" s="682">
        <f t="shared" si="6"/>
        <v>0</v>
      </c>
      <c r="H124" s="49"/>
      <c r="I124" s="48"/>
      <c r="J124" s="48"/>
      <c r="K124" s="48"/>
    </row>
    <row r="125" spans="1:12" ht="27" customHeight="1" x14ac:dyDescent="0.2">
      <c r="A125" s="536" t="s">
        <v>631</v>
      </c>
      <c r="B125" s="587">
        <f>1218885+1485900</f>
        <v>2704785</v>
      </c>
      <c r="C125" s="81">
        <f>1218885+1485900</f>
        <v>2704785</v>
      </c>
      <c r="D125" s="81">
        <f>1218885+1485900</f>
        <v>2704785</v>
      </c>
      <c r="E125" s="682">
        <f t="shared" si="6"/>
        <v>0</v>
      </c>
      <c r="H125" s="49"/>
      <c r="I125" s="48"/>
      <c r="J125" s="48"/>
      <c r="K125" s="48"/>
    </row>
    <row r="126" spans="1:12" s="1" customFormat="1" ht="29.25" customHeight="1" x14ac:dyDescent="0.25">
      <c r="A126" s="538" t="s">
        <v>149</v>
      </c>
      <c r="B126" s="1301">
        <f>SUM(B127:B135)</f>
        <v>27600000</v>
      </c>
      <c r="C126" s="1301">
        <f>SUM(C127:C135)</f>
        <v>30600000</v>
      </c>
      <c r="D126" s="1301">
        <f>SUM(D127:D135)</f>
        <v>30600000</v>
      </c>
      <c r="E126" s="1302">
        <f>SUM(E127:E135)</f>
        <v>0</v>
      </c>
      <c r="F126" s="44"/>
      <c r="G126" s="44"/>
      <c r="H126" s="45"/>
      <c r="I126" s="46"/>
      <c r="J126" s="46"/>
      <c r="K126" s="46"/>
      <c r="L126" s="9"/>
    </row>
    <row r="127" spans="1:12" ht="30.2" customHeight="1" x14ac:dyDescent="0.2">
      <c r="A127" s="537" t="s">
        <v>150</v>
      </c>
      <c r="B127" s="590">
        <v>15200000</v>
      </c>
      <c r="C127" s="590">
        <v>13960000</v>
      </c>
      <c r="D127" s="590">
        <v>13960000</v>
      </c>
      <c r="E127" s="682">
        <f t="shared" si="6"/>
        <v>0</v>
      </c>
      <c r="H127" s="49"/>
      <c r="I127" s="48"/>
      <c r="J127" s="48"/>
      <c r="K127" s="48"/>
    </row>
    <row r="128" spans="1:12" ht="19.149999999999999" customHeight="1" x14ac:dyDescent="0.2">
      <c r="A128" s="537" t="s">
        <v>151</v>
      </c>
      <c r="B128" s="590">
        <v>0</v>
      </c>
      <c r="C128" s="590">
        <v>0</v>
      </c>
      <c r="D128" s="590">
        <v>0</v>
      </c>
      <c r="E128" s="682">
        <f t="shared" si="6"/>
        <v>0</v>
      </c>
      <c r="H128" s="49"/>
      <c r="I128" s="48"/>
      <c r="J128" s="48"/>
      <c r="K128" s="48"/>
    </row>
    <row r="129" spans="1:12" ht="19.149999999999999" customHeight="1" x14ac:dyDescent="0.2">
      <c r="A129" s="537" t="s">
        <v>633</v>
      </c>
      <c r="B129" s="590">
        <v>4500000</v>
      </c>
      <c r="C129" s="590">
        <v>5500000</v>
      </c>
      <c r="D129" s="590">
        <v>5500000</v>
      </c>
      <c r="E129" s="682">
        <f t="shared" si="6"/>
        <v>0</v>
      </c>
      <c r="H129" s="49"/>
      <c r="I129" s="48"/>
      <c r="J129" s="48"/>
      <c r="K129" s="48"/>
    </row>
    <row r="130" spans="1:12" ht="19.149999999999999" customHeight="1" x14ac:dyDescent="0.25">
      <c r="A130" s="537" t="s">
        <v>309</v>
      </c>
      <c r="B130" s="590">
        <v>500000</v>
      </c>
      <c r="C130" s="590">
        <v>500000</v>
      </c>
      <c r="D130" s="590">
        <v>500000</v>
      </c>
      <c r="E130" s="682">
        <f t="shared" si="6"/>
        <v>0</v>
      </c>
      <c r="H130" s="43"/>
      <c r="I130" s="46"/>
      <c r="J130" s="46"/>
      <c r="K130" s="46"/>
    </row>
    <row r="131" spans="1:12" ht="19.149999999999999" customHeight="1" x14ac:dyDescent="0.2">
      <c r="A131" s="537" t="s">
        <v>634</v>
      </c>
      <c r="B131" s="590">
        <v>1000000</v>
      </c>
      <c r="C131" s="590">
        <v>1000000</v>
      </c>
      <c r="D131" s="590">
        <v>1000000</v>
      </c>
      <c r="E131" s="682">
        <f t="shared" si="6"/>
        <v>0</v>
      </c>
      <c r="H131" s="50"/>
      <c r="I131" s="48"/>
      <c r="J131" s="48"/>
      <c r="K131" s="48"/>
    </row>
    <row r="132" spans="1:12" ht="19.149999999999999" customHeight="1" x14ac:dyDescent="0.2">
      <c r="A132" s="537" t="s">
        <v>152</v>
      </c>
      <c r="B132" s="590">
        <v>800000</v>
      </c>
      <c r="C132" s="590">
        <v>800000</v>
      </c>
      <c r="D132" s="590">
        <v>800000</v>
      </c>
      <c r="E132" s="682">
        <f t="shared" si="6"/>
        <v>0</v>
      </c>
      <c r="H132" s="50"/>
      <c r="I132" s="48"/>
      <c r="J132" s="48"/>
      <c r="K132" s="48"/>
    </row>
    <row r="133" spans="1:12" ht="15" x14ac:dyDescent="0.2">
      <c r="A133" s="539" t="s">
        <v>632</v>
      </c>
      <c r="B133" s="590">
        <v>1000000</v>
      </c>
      <c r="C133" s="590">
        <v>4240000</v>
      </c>
      <c r="D133" s="590">
        <v>4240000</v>
      </c>
      <c r="E133" s="682">
        <f t="shared" si="6"/>
        <v>0</v>
      </c>
      <c r="H133" s="50"/>
      <c r="I133" s="48"/>
      <c r="J133" s="48"/>
      <c r="K133" s="48"/>
    </row>
    <row r="134" spans="1:12" ht="19.149999999999999" customHeight="1" x14ac:dyDescent="0.2">
      <c r="A134" s="537" t="s">
        <v>310</v>
      </c>
      <c r="B134" s="590">
        <v>2800000</v>
      </c>
      <c r="C134" s="590">
        <v>2800000</v>
      </c>
      <c r="D134" s="590">
        <v>2800000</v>
      </c>
      <c r="E134" s="682">
        <f t="shared" si="6"/>
        <v>0</v>
      </c>
      <c r="H134" s="50"/>
      <c r="I134" s="48"/>
      <c r="J134" s="48"/>
      <c r="K134" s="48"/>
    </row>
    <row r="135" spans="1:12" ht="19.149999999999999" customHeight="1" x14ac:dyDescent="0.2">
      <c r="A135" s="537" t="s">
        <v>311</v>
      </c>
      <c r="B135" s="590">
        <v>1800000</v>
      </c>
      <c r="C135" s="590">
        <v>1800000</v>
      </c>
      <c r="D135" s="590">
        <v>1800000</v>
      </c>
      <c r="E135" s="682">
        <f t="shared" si="6"/>
        <v>0</v>
      </c>
      <c r="H135" s="50"/>
      <c r="I135" s="48"/>
      <c r="J135" s="48"/>
      <c r="K135" s="48"/>
    </row>
    <row r="136" spans="1:12" s="1" customFormat="1" ht="28.5" customHeight="1" x14ac:dyDescent="0.25">
      <c r="A136" s="538" t="s">
        <v>128</v>
      </c>
      <c r="B136" s="80">
        <f>B137+B138+B139+B140+B141+B142+B143+B146+B147</f>
        <v>1355809612</v>
      </c>
      <c r="C136" s="80">
        <f>C137+C138+C139+C140+C141+C142+C143+C146+C147</f>
        <v>1229156400</v>
      </c>
      <c r="D136" s="80">
        <f>D137+D138+D139+D140+D141+D142+D143+D146+D147</f>
        <v>1229056400</v>
      </c>
      <c r="E136" s="1302">
        <f>SUM(E137:E146)</f>
        <v>-100000</v>
      </c>
      <c r="H136" s="43"/>
      <c r="I136" s="87"/>
      <c r="J136" s="87"/>
      <c r="K136" s="87"/>
    </row>
    <row r="137" spans="1:12" ht="28.5" customHeight="1" x14ac:dyDescent="0.2">
      <c r="A137" s="540" t="s">
        <v>153</v>
      </c>
      <c r="B137" s="533">
        <v>7183231</v>
      </c>
      <c r="C137" s="81">
        <v>7183231</v>
      </c>
      <c r="D137" s="81">
        <v>7183231</v>
      </c>
      <c r="E137" s="682">
        <f>D137-B137</f>
        <v>0</v>
      </c>
      <c r="H137" s="43"/>
      <c r="I137" s="37"/>
      <c r="J137" s="37"/>
      <c r="K137" s="37"/>
      <c r="L137" s="1"/>
    </row>
    <row r="138" spans="1:12" ht="30" x14ac:dyDescent="0.25">
      <c r="A138" s="540" t="s">
        <v>154</v>
      </c>
      <c r="B138" s="533"/>
      <c r="C138" s="586"/>
      <c r="D138" s="586"/>
      <c r="E138" s="189"/>
      <c r="H138" s="43"/>
      <c r="I138" s="37"/>
      <c r="J138" s="37"/>
      <c r="K138" s="37"/>
    </row>
    <row r="139" spans="1:12" ht="48.75" customHeight="1" x14ac:dyDescent="0.25">
      <c r="A139" s="540" t="s">
        <v>155</v>
      </c>
      <c r="B139" s="534"/>
      <c r="C139" s="586"/>
      <c r="D139" s="586"/>
      <c r="E139" s="189"/>
      <c r="H139" s="43"/>
      <c r="I139" s="37"/>
      <c r="J139" s="37"/>
      <c r="K139" s="37"/>
    </row>
    <row r="140" spans="1:12" ht="48.75" customHeight="1" x14ac:dyDescent="0.25">
      <c r="A140" s="540" t="s">
        <v>156</v>
      </c>
      <c r="B140" s="533"/>
      <c r="C140" s="586"/>
      <c r="D140" s="586"/>
      <c r="E140" s="189"/>
      <c r="H140" s="43"/>
      <c r="I140" s="37"/>
      <c r="J140" s="37"/>
      <c r="K140" s="37"/>
    </row>
    <row r="141" spans="1:12" ht="15" x14ac:dyDescent="0.2">
      <c r="A141" s="540" t="s">
        <v>157</v>
      </c>
      <c r="B141" s="81">
        <f>'5b. sz. tábla  (2)'!B5</f>
        <v>535229687</v>
      </c>
      <c r="C141" s="81">
        <f>'5b. sz. tábla  (2)'!C5</f>
        <v>509783666</v>
      </c>
      <c r="D141" s="81">
        <f>'5b. sz. tábla  (2)'!D5</f>
        <v>509683666</v>
      </c>
      <c r="E141" s="682">
        <f t="shared" ref="E141" si="7">D141-C141</f>
        <v>-100000</v>
      </c>
      <c r="H141" s="49"/>
      <c r="I141" s="48"/>
      <c r="J141" s="48"/>
      <c r="K141" s="48"/>
    </row>
    <row r="142" spans="1:12" ht="30" x14ac:dyDescent="0.2">
      <c r="A142" s="540" t="s">
        <v>158</v>
      </c>
      <c r="B142" s="533"/>
      <c r="C142" s="587"/>
      <c r="D142" s="587"/>
      <c r="E142" s="682"/>
      <c r="H142" s="49"/>
      <c r="I142" s="48"/>
      <c r="J142" s="48"/>
      <c r="K142" s="48"/>
    </row>
    <row r="143" spans="1:12" ht="48.75" customHeight="1" x14ac:dyDescent="0.2">
      <c r="A143" s="540" t="s">
        <v>371</v>
      </c>
      <c r="B143" s="81">
        <f>SUM(B144:B144)</f>
        <v>0</v>
      </c>
      <c r="C143" s="81">
        <f>SUM(C144:C145)</f>
        <v>0</v>
      </c>
      <c r="D143" s="81">
        <f>SUM(D144:D145)</f>
        <v>0</v>
      </c>
      <c r="E143" s="682">
        <f>SUM(E144:E145)</f>
        <v>0</v>
      </c>
      <c r="F143" s="40"/>
      <c r="H143" s="49"/>
      <c r="I143" s="48"/>
      <c r="J143" s="48"/>
      <c r="K143" s="48"/>
    </row>
    <row r="144" spans="1:12" ht="19.5" customHeight="1" x14ac:dyDescent="0.2">
      <c r="A144" s="509" t="s">
        <v>611</v>
      </c>
      <c r="B144" s="533">
        <v>0</v>
      </c>
      <c r="C144" s="587">
        <v>0</v>
      </c>
      <c r="D144" s="587">
        <v>0</v>
      </c>
      <c r="E144" s="682">
        <f>D144-B144</f>
        <v>0</v>
      </c>
      <c r="F144" s="40"/>
      <c r="H144" s="49"/>
      <c r="I144" s="48"/>
      <c r="J144" s="48"/>
      <c r="K144" s="48"/>
    </row>
    <row r="145" spans="1:12" ht="30" x14ac:dyDescent="0.2">
      <c r="A145" s="509" t="s">
        <v>635</v>
      </c>
      <c r="B145" s="533">
        <v>0</v>
      </c>
      <c r="C145" s="587">
        <v>0</v>
      </c>
      <c r="D145" s="587">
        <v>0</v>
      </c>
      <c r="E145" s="682">
        <f>D145-B145</f>
        <v>0</v>
      </c>
      <c r="F145" s="40"/>
      <c r="H145" s="49"/>
      <c r="I145" s="48"/>
      <c r="J145" s="48"/>
      <c r="K145" s="48"/>
    </row>
    <row r="146" spans="1:12" ht="15" x14ac:dyDescent="0.2">
      <c r="A146" s="540" t="s">
        <v>159</v>
      </c>
      <c r="B146" s="81">
        <f>'5b. sz. tábla  (2)'!B13</f>
        <v>813396694</v>
      </c>
      <c r="C146" s="81">
        <f>'5b. sz. tábla  (2)'!C13</f>
        <v>712189503</v>
      </c>
      <c r="D146" s="81">
        <f>'5b. sz. tábla  (2)'!D13</f>
        <v>712189503</v>
      </c>
      <c r="E146" s="682">
        <f t="shared" ref="E146" si="8">D146-C146</f>
        <v>0</v>
      </c>
      <c r="H146" s="49"/>
      <c r="I146" s="48"/>
      <c r="J146" s="48"/>
      <c r="K146" s="48"/>
    </row>
    <row r="147" spans="1:12" ht="15" x14ac:dyDescent="0.2">
      <c r="A147" s="540"/>
      <c r="B147" s="533"/>
      <c r="C147" s="591"/>
      <c r="D147" s="591"/>
      <c r="E147" s="683"/>
      <c r="H147" s="49"/>
      <c r="I147" s="48"/>
      <c r="J147" s="48"/>
      <c r="K147" s="48"/>
    </row>
    <row r="148" spans="1:12" s="1" customFormat="1" ht="16.5" thickBot="1" x14ac:dyDescent="0.3">
      <c r="A148" s="541" t="s">
        <v>160</v>
      </c>
      <c r="B148" s="542">
        <f>B48+B63+B77+B126+B136</f>
        <v>2646223479</v>
      </c>
      <c r="C148" s="542">
        <f>C48+C63+C77+C126+C136</f>
        <v>2517832654</v>
      </c>
      <c r="D148" s="542">
        <f>D48+D63+D77+D126+D136</f>
        <v>2511393206</v>
      </c>
      <c r="E148" s="684">
        <f>D148-C148</f>
        <v>-6439448</v>
      </c>
      <c r="F148" s="2"/>
      <c r="H148" s="45"/>
      <c r="I148" s="46"/>
      <c r="J148" s="46"/>
      <c r="K148" s="46"/>
    </row>
    <row r="149" spans="1:12" x14ac:dyDescent="0.2">
      <c r="L149" s="1"/>
    </row>
  </sheetData>
  <sheetProtection selectLockedCells="1" selectUnlockedCells="1"/>
  <mergeCells count="1">
    <mergeCell ref="A3:E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 6/2021. (III.05.) önkormányzati rendelethez
 az önkormányzat 2020. évi költségvetéséről szóló 6/2020. (III.06.) önkormányzati rendelet 
5. mellékletének helyébe a következő 5. melléklet lép:  
&amp;R&amp;P. oldal
</oddHeader>
  </headerFooter>
  <rowBreaks count="3" manualBreakCount="3">
    <brk id="45" max="4" man="1"/>
    <brk id="75" max="3" man="1"/>
    <brk id="105"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2"/>
  <sheetViews>
    <sheetView view="pageLayout" zoomScaleNormal="100" zoomScaleSheetLayoutView="80" workbookViewId="0">
      <selection activeCell="B12" sqref="B12"/>
    </sheetView>
  </sheetViews>
  <sheetFormatPr defaultColWidth="9.140625" defaultRowHeight="15.75" customHeight="1" x14ac:dyDescent="0.2"/>
  <cols>
    <col min="1" max="1" width="56.7109375" style="234" customWidth="1"/>
    <col min="2" max="2" width="16.140625" style="238" customWidth="1"/>
    <col min="3" max="5" width="16.28515625" style="238" customWidth="1"/>
    <col min="6" max="7" width="13.7109375" style="51" customWidth="1"/>
    <col min="8" max="8" width="10.28515625" style="51" customWidth="1"/>
    <col min="9" max="9" width="16.85546875" style="51" customWidth="1"/>
    <col min="10" max="10" width="15.7109375" style="51" customWidth="1"/>
    <col min="11" max="11" width="11.28515625" style="51" customWidth="1"/>
    <col min="12" max="12" width="11" style="51" customWidth="1"/>
    <col min="13" max="13" width="13.7109375" style="51" customWidth="1"/>
    <col min="14" max="14" width="16.28515625" style="51" customWidth="1"/>
    <col min="15" max="15" width="14.28515625" style="51" customWidth="1"/>
    <col min="16" max="16" width="13" style="51" customWidth="1"/>
    <col min="17" max="17" width="14.140625" style="51" customWidth="1"/>
    <col min="18" max="18" width="13.28515625" style="51" customWidth="1"/>
    <col min="19" max="16384" width="9.140625" style="51"/>
  </cols>
  <sheetData>
    <row r="2" spans="1:6" ht="15.75" customHeight="1" x14ac:dyDescent="0.25">
      <c r="A2" s="1717" t="s">
        <v>661</v>
      </c>
      <c r="B2" s="1717"/>
      <c r="C2" s="1717"/>
      <c r="D2" s="1717"/>
      <c r="E2" s="1717"/>
    </row>
    <row r="3" spans="1:6" ht="15.75" customHeight="1" thickBot="1" x14ac:dyDescent="0.3">
      <c r="A3" s="405"/>
      <c r="B3" s="405"/>
      <c r="C3" s="1380"/>
      <c r="D3" s="1452"/>
      <c r="E3" s="580"/>
    </row>
    <row r="4" spans="1:6" s="5" customFormat="1" ht="63.75" customHeight="1" thickBot="1" x14ac:dyDescent="0.25">
      <c r="A4" s="517" t="s">
        <v>301</v>
      </c>
      <c r="B4" s="1291" t="s">
        <v>657</v>
      </c>
      <c r="C4" s="390" t="s">
        <v>1041</v>
      </c>
      <c r="D4" s="390" t="s">
        <v>1088</v>
      </c>
      <c r="E4" s="391" t="s">
        <v>983</v>
      </c>
    </row>
    <row r="5" spans="1:6" s="5" customFormat="1" ht="18" customHeight="1" x14ac:dyDescent="0.25">
      <c r="A5" s="514" t="s">
        <v>246</v>
      </c>
      <c r="B5" s="515">
        <f>SUM(B6:B11)</f>
        <v>535229687</v>
      </c>
      <c r="C5" s="515">
        <f>SUM(C6:C12)</f>
        <v>509783666</v>
      </c>
      <c r="D5" s="515">
        <f>SUM(D6:D12)</f>
        <v>509683666</v>
      </c>
      <c r="E5" s="516">
        <f>D5-C5</f>
        <v>-100000</v>
      </c>
      <c r="F5" s="6"/>
    </row>
    <row r="6" spans="1:6" s="5" customFormat="1" ht="18" customHeight="1" x14ac:dyDescent="0.2">
      <c r="A6" s="509" t="s">
        <v>161</v>
      </c>
      <c r="B6" s="507"/>
      <c r="C6" s="592"/>
      <c r="D6" s="592"/>
      <c r="E6" s="1303">
        <f>D6-C6</f>
        <v>0</v>
      </c>
    </row>
    <row r="7" spans="1:6" s="5" customFormat="1" ht="17.45" customHeight="1" x14ac:dyDescent="0.2">
      <c r="A7" s="510" t="s">
        <v>162</v>
      </c>
      <c r="B7" s="497"/>
      <c r="C7" s="593">
        <v>600754</v>
      </c>
      <c r="D7" s="593">
        <v>600754</v>
      </c>
      <c r="E7" s="1303">
        <f t="shared" ref="E7:E12" si="0">D7-C7</f>
        <v>0</v>
      </c>
    </row>
    <row r="8" spans="1:6" s="5" customFormat="1" ht="15.75" customHeight="1" x14ac:dyDescent="0.2">
      <c r="A8" s="510" t="s">
        <v>372</v>
      </c>
      <c r="B8" s="497">
        <v>1350000</v>
      </c>
      <c r="C8" s="593">
        <v>1350000</v>
      </c>
      <c r="D8" s="593">
        <v>1350000</v>
      </c>
      <c r="E8" s="1303">
        <f t="shared" si="0"/>
        <v>0</v>
      </c>
    </row>
    <row r="9" spans="1:6" s="5" customFormat="1" ht="18" customHeight="1" x14ac:dyDescent="0.2">
      <c r="A9" s="511" t="s">
        <v>163</v>
      </c>
      <c r="B9" s="497">
        <v>165514555</v>
      </c>
      <c r="C9" s="593">
        <v>153166569</v>
      </c>
      <c r="D9" s="593">
        <v>153166569</v>
      </c>
      <c r="E9" s="1303">
        <f t="shared" si="0"/>
        <v>0</v>
      </c>
    </row>
    <row r="10" spans="1:6" s="5" customFormat="1" ht="18" customHeight="1" x14ac:dyDescent="0.2">
      <c r="A10" s="511" t="s">
        <v>171</v>
      </c>
      <c r="B10" s="497">
        <v>368365132</v>
      </c>
      <c r="C10" s="593">
        <v>353404743</v>
      </c>
      <c r="D10" s="593">
        <v>353404743</v>
      </c>
      <c r="E10" s="1303">
        <f t="shared" si="0"/>
        <v>0</v>
      </c>
    </row>
    <row r="11" spans="1:6" s="5" customFormat="1" ht="30" x14ac:dyDescent="0.2">
      <c r="A11" s="511" t="s">
        <v>996</v>
      </c>
      <c r="B11" s="497"/>
      <c r="C11" s="593">
        <v>100000</v>
      </c>
      <c r="D11" s="593">
        <v>0</v>
      </c>
      <c r="E11" s="1303">
        <f t="shared" si="0"/>
        <v>-100000</v>
      </c>
    </row>
    <row r="12" spans="1:6" s="5" customFormat="1" ht="30" x14ac:dyDescent="0.2">
      <c r="A12" s="511" t="s">
        <v>597</v>
      </c>
      <c r="B12" s="497"/>
      <c r="C12" s="593">
        <v>1161600</v>
      </c>
      <c r="D12" s="593">
        <v>1161600</v>
      </c>
      <c r="E12" s="1303">
        <f t="shared" si="0"/>
        <v>0</v>
      </c>
    </row>
    <row r="13" spans="1:6" s="5" customFormat="1" ht="17.45" customHeight="1" x14ac:dyDescent="0.25">
      <c r="A13" s="508" t="s">
        <v>247</v>
      </c>
      <c r="B13" s="80">
        <f>SUM(B14:B77)</f>
        <v>813396694</v>
      </c>
      <c r="C13" s="80">
        <f>SUM(C14:C79)</f>
        <v>712189503</v>
      </c>
      <c r="D13" s="80">
        <f>SUM(D14:D79)</f>
        <v>712189503</v>
      </c>
      <c r="E13" s="516">
        <f>D13-C13</f>
        <v>0</v>
      </c>
      <c r="F13" s="6"/>
    </row>
    <row r="14" spans="1:6" ht="16.5" customHeight="1" x14ac:dyDescent="0.2">
      <c r="A14" s="510" t="s">
        <v>172</v>
      </c>
      <c r="B14" s="593">
        <v>0</v>
      </c>
      <c r="C14" s="497">
        <v>0</v>
      </c>
      <c r="D14" s="497">
        <v>0</v>
      </c>
      <c r="E14" s="1303">
        <f>D14-C14</f>
        <v>0</v>
      </c>
    </row>
    <row r="15" spans="1:6" ht="16.5" customHeight="1" x14ac:dyDescent="0.2">
      <c r="A15" s="510" t="s">
        <v>173</v>
      </c>
      <c r="B15" s="593">
        <v>1000000</v>
      </c>
      <c r="C15" s="497">
        <v>1300000</v>
      </c>
      <c r="D15" s="497">
        <v>1300000</v>
      </c>
      <c r="E15" s="1303">
        <f t="shared" ref="E15:E47" si="1">D15-C15</f>
        <v>0</v>
      </c>
    </row>
    <row r="16" spans="1:6" ht="16.5" customHeight="1" x14ac:dyDescent="0.2">
      <c r="A16" s="510" t="s">
        <v>174</v>
      </c>
      <c r="B16" s="593">
        <v>1000000</v>
      </c>
      <c r="C16" s="497">
        <v>1000000</v>
      </c>
      <c r="D16" s="497">
        <v>1000000</v>
      </c>
      <c r="E16" s="1303">
        <f t="shared" si="1"/>
        <v>0</v>
      </c>
    </row>
    <row r="17" spans="1:5" ht="16.5" customHeight="1" x14ac:dyDescent="0.2">
      <c r="A17" s="512" t="s">
        <v>766</v>
      </c>
      <c r="B17" s="593">
        <v>50733900</v>
      </c>
      <c r="C17" s="497">
        <v>50733900</v>
      </c>
      <c r="D17" s="497">
        <v>50733900</v>
      </c>
      <c r="E17" s="1303">
        <f t="shared" si="1"/>
        <v>0</v>
      </c>
    </row>
    <row r="18" spans="1:5" ht="16.5" customHeight="1" x14ac:dyDescent="0.2">
      <c r="A18" s="510" t="s">
        <v>175</v>
      </c>
      <c r="B18" s="593">
        <v>1400000</v>
      </c>
      <c r="C18" s="497">
        <v>1400000</v>
      </c>
      <c r="D18" s="497">
        <v>1400000</v>
      </c>
      <c r="E18" s="1303">
        <f t="shared" si="1"/>
        <v>0</v>
      </c>
    </row>
    <row r="19" spans="1:5" ht="16.5" customHeight="1" x14ac:dyDescent="0.2">
      <c r="A19" s="509" t="s">
        <v>176</v>
      </c>
      <c r="B19" s="593">
        <v>2500000</v>
      </c>
      <c r="C19" s="497">
        <v>2500000</v>
      </c>
      <c r="D19" s="497">
        <v>2500000</v>
      </c>
      <c r="E19" s="1303">
        <f t="shared" si="1"/>
        <v>0</v>
      </c>
    </row>
    <row r="20" spans="1:5" ht="16.5" customHeight="1" x14ac:dyDescent="0.2">
      <c r="A20" s="510" t="s">
        <v>177</v>
      </c>
      <c r="B20" s="593">
        <v>200000</v>
      </c>
      <c r="C20" s="497">
        <v>200000</v>
      </c>
      <c r="D20" s="497">
        <v>200000</v>
      </c>
      <c r="E20" s="1303">
        <f t="shared" si="1"/>
        <v>0</v>
      </c>
    </row>
    <row r="21" spans="1:5" ht="16.5" customHeight="1" x14ac:dyDescent="0.2">
      <c r="A21" s="510" t="s">
        <v>178</v>
      </c>
      <c r="B21" s="593">
        <v>200000</v>
      </c>
      <c r="C21" s="497">
        <v>200000</v>
      </c>
      <c r="D21" s="497">
        <v>200000</v>
      </c>
      <c r="E21" s="1303">
        <f t="shared" si="1"/>
        <v>0</v>
      </c>
    </row>
    <row r="22" spans="1:5" ht="16.5" customHeight="1" x14ac:dyDescent="0.2">
      <c r="A22" s="510" t="s">
        <v>179</v>
      </c>
      <c r="B22" s="593">
        <v>400000</v>
      </c>
      <c r="C22" s="497">
        <v>400000</v>
      </c>
      <c r="D22" s="497">
        <v>400000</v>
      </c>
      <c r="E22" s="1303">
        <f t="shared" si="1"/>
        <v>0</v>
      </c>
    </row>
    <row r="23" spans="1:5" ht="16.5" customHeight="1" x14ac:dyDescent="0.2">
      <c r="A23" s="510" t="s">
        <v>180</v>
      </c>
      <c r="B23" s="593">
        <v>2000000</v>
      </c>
      <c r="C23" s="497">
        <v>2000000</v>
      </c>
      <c r="D23" s="497">
        <v>2000000</v>
      </c>
      <c r="E23" s="1303">
        <f t="shared" si="1"/>
        <v>0</v>
      </c>
    </row>
    <row r="24" spans="1:5" ht="16.5" customHeight="1" x14ac:dyDescent="0.2">
      <c r="A24" s="510" t="s">
        <v>181</v>
      </c>
      <c r="B24" s="593">
        <v>2100000</v>
      </c>
      <c r="C24" s="497">
        <v>2100000</v>
      </c>
      <c r="D24" s="497">
        <v>2100000</v>
      </c>
      <c r="E24" s="1303">
        <f t="shared" si="1"/>
        <v>0</v>
      </c>
    </row>
    <row r="25" spans="1:5" ht="16.5" customHeight="1" x14ac:dyDescent="0.2">
      <c r="A25" s="510" t="s">
        <v>593</v>
      </c>
      <c r="B25" s="593">
        <v>82200000</v>
      </c>
      <c r="C25" s="497">
        <v>62272500</v>
      </c>
      <c r="D25" s="497">
        <v>62272500</v>
      </c>
      <c r="E25" s="1303">
        <f t="shared" si="1"/>
        <v>0</v>
      </c>
    </row>
    <row r="26" spans="1:5" ht="16.5" customHeight="1" x14ac:dyDescent="0.2">
      <c r="A26" s="510" t="s">
        <v>595</v>
      </c>
      <c r="B26" s="593">
        <v>0</v>
      </c>
      <c r="C26" s="497">
        <v>0</v>
      </c>
      <c r="D26" s="497">
        <v>0</v>
      </c>
      <c r="E26" s="1303">
        <f t="shared" si="1"/>
        <v>0</v>
      </c>
    </row>
    <row r="27" spans="1:5" ht="16.5" customHeight="1" x14ac:dyDescent="0.2">
      <c r="A27" s="510" t="s">
        <v>182</v>
      </c>
      <c r="B27" s="593">
        <v>600000</v>
      </c>
      <c r="C27" s="497">
        <v>600000</v>
      </c>
      <c r="D27" s="497">
        <v>600000</v>
      </c>
      <c r="E27" s="1303">
        <f t="shared" si="1"/>
        <v>0</v>
      </c>
    </row>
    <row r="28" spans="1:5" ht="15" customHeight="1" x14ac:dyDescent="0.2">
      <c r="A28" s="510" t="s">
        <v>183</v>
      </c>
      <c r="B28" s="593">
        <v>484000</v>
      </c>
      <c r="C28" s="497">
        <v>484000</v>
      </c>
      <c r="D28" s="497">
        <v>484000</v>
      </c>
      <c r="E28" s="1303">
        <f t="shared" si="1"/>
        <v>0</v>
      </c>
    </row>
    <row r="29" spans="1:5" ht="15" customHeight="1" x14ac:dyDescent="0.2">
      <c r="A29" s="510" t="s">
        <v>184</v>
      </c>
      <c r="B29" s="593">
        <v>326000</v>
      </c>
      <c r="C29" s="497">
        <v>326000</v>
      </c>
      <c r="D29" s="497">
        <v>326000</v>
      </c>
      <c r="E29" s="1303">
        <f t="shared" si="1"/>
        <v>0</v>
      </c>
    </row>
    <row r="30" spans="1:5" ht="15" customHeight="1" x14ac:dyDescent="0.2">
      <c r="A30" s="510" t="s">
        <v>185</v>
      </c>
      <c r="B30" s="593">
        <v>492000</v>
      </c>
      <c r="C30" s="497">
        <v>492000</v>
      </c>
      <c r="D30" s="497">
        <v>492000</v>
      </c>
      <c r="E30" s="1303">
        <f t="shared" si="1"/>
        <v>0</v>
      </c>
    </row>
    <row r="31" spans="1:5" ht="15" customHeight="1" x14ac:dyDescent="0.2">
      <c r="A31" s="510" t="s">
        <v>186</v>
      </c>
      <c r="B31" s="593">
        <v>1444000</v>
      </c>
      <c r="C31" s="497">
        <v>1444000</v>
      </c>
      <c r="D31" s="497">
        <v>1444000</v>
      </c>
      <c r="E31" s="1303">
        <f t="shared" si="1"/>
        <v>0</v>
      </c>
    </row>
    <row r="32" spans="1:5" ht="16.5" customHeight="1" x14ac:dyDescent="0.2">
      <c r="A32" s="510" t="s">
        <v>978</v>
      </c>
      <c r="B32" s="593">
        <v>4757798</v>
      </c>
      <c r="C32" s="497">
        <v>2697798</v>
      </c>
      <c r="D32" s="497">
        <v>2697798</v>
      </c>
      <c r="E32" s="1303">
        <f t="shared" si="1"/>
        <v>0</v>
      </c>
    </row>
    <row r="33" spans="1:5" ht="16.5" customHeight="1" x14ac:dyDescent="0.2">
      <c r="A33" s="510" t="s">
        <v>187</v>
      </c>
      <c r="B33" s="593">
        <v>400000</v>
      </c>
      <c r="C33" s="497">
        <v>400000</v>
      </c>
      <c r="D33" s="497">
        <v>400000</v>
      </c>
      <c r="E33" s="1303">
        <f t="shared" si="1"/>
        <v>0</v>
      </c>
    </row>
    <row r="34" spans="1:5" ht="16.5" customHeight="1" x14ac:dyDescent="0.2">
      <c r="A34" s="510" t="s">
        <v>188</v>
      </c>
      <c r="B34" s="593">
        <v>425000</v>
      </c>
      <c r="C34" s="497">
        <v>255000</v>
      </c>
      <c r="D34" s="497">
        <v>255000</v>
      </c>
      <c r="E34" s="1303">
        <f t="shared" si="1"/>
        <v>0</v>
      </c>
    </row>
    <row r="35" spans="1:5" ht="16.5" customHeight="1" x14ac:dyDescent="0.2">
      <c r="A35" s="510" t="s">
        <v>189</v>
      </c>
      <c r="B35" s="593">
        <v>1275000</v>
      </c>
      <c r="C35" s="497">
        <v>610095</v>
      </c>
      <c r="D35" s="497">
        <v>610095</v>
      </c>
      <c r="E35" s="1303">
        <f t="shared" si="1"/>
        <v>0</v>
      </c>
    </row>
    <row r="36" spans="1:5" ht="30" x14ac:dyDescent="0.2">
      <c r="A36" s="510" t="s">
        <v>190</v>
      </c>
      <c r="B36" s="593">
        <v>750000</v>
      </c>
      <c r="C36" s="497">
        <v>562500</v>
      </c>
      <c r="D36" s="497">
        <v>562500</v>
      </c>
      <c r="E36" s="1303">
        <f t="shared" si="1"/>
        <v>0</v>
      </c>
    </row>
    <row r="37" spans="1:5" ht="15" x14ac:dyDescent="0.2">
      <c r="A37" s="510" t="s">
        <v>1077</v>
      </c>
      <c r="B37" s="593"/>
      <c r="C37" s="497">
        <v>412242</v>
      </c>
      <c r="D37" s="497">
        <v>412242</v>
      </c>
      <c r="E37" s="1303">
        <f t="shared" si="1"/>
        <v>0</v>
      </c>
    </row>
    <row r="38" spans="1:5" ht="30" x14ac:dyDescent="0.2">
      <c r="A38" s="510" t="s">
        <v>191</v>
      </c>
      <c r="B38" s="593">
        <v>3500000</v>
      </c>
      <c r="C38" s="497">
        <v>3500000</v>
      </c>
      <c r="D38" s="497">
        <v>3500000</v>
      </c>
      <c r="E38" s="1303">
        <f t="shared" si="1"/>
        <v>0</v>
      </c>
    </row>
    <row r="39" spans="1:5" ht="29.25" customHeight="1" x14ac:dyDescent="0.2">
      <c r="A39" s="510" t="s">
        <v>164</v>
      </c>
      <c r="B39" s="593">
        <v>500000</v>
      </c>
      <c r="C39" s="497">
        <v>500000</v>
      </c>
      <c r="D39" s="497">
        <v>500000</v>
      </c>
      <c r="E39" s="1303">
        <f t="shared" si="1"/>
        <v>0</v>
      </c>
    </row>
    <row r="40" spans="1:5" ht="30" x14ac:dyDescent="0.2">
      <c r="A40" s="510" t="s">
        <v>968</v>
      </c>
      <c r="B40" s="593">
        <v>36750000</v>
      </c>
      <c r="C40" s="497">
        <v>32750000</v>
      </c>
      <c r="D40" s="497">
        <v>32750000</v>
      </c>
      <c r="E40" s="1303">
        <f t="shared" si="1"/>
        <v>0</v>
      </c>
    </row>
    <row r="41" spans="1:5" ht="16.5" customHeight="1" x14ac:dyDescent="0.2">
      <c r="A41" s="503" t="s">
        <v>210</v>
      </c>
      <c r="B41" s="593"/>
      <c r="C41" s="497"/>
      <c r="D41" s="497"/>
      <c r="E41" s="1303">
        <f t="shared" si="1"/>
        <v>0</v>
      </c>
    </row>
    <row r="42" spans="1:5" ht="30" x14ac:dyDescent="0.2">
      <c r="A42" s="510" t="s">
        <v>698</v>
      </c>
      <c r="B42" s="593">
        <v>900000</v>
      </c>
      <c r="C42" s="497">
        <v>100000</v>
      </c>
      <c r="D42" s="497">
        <v>100000</v>
      </c>
      <c r="E42" s="1303">
        <f t="shared" si="1"/>
        <v>0</v>
      </c>
    </row>
    <row r="43" spans="1:5" ht="21.2" customHeight="1" x14ac:dyDescent="0.2">
      <c r="A43" s="510" t="s">
        <v>192</v>
      </c>
      <c r="B43" s="593">
        <v>600000</v>
      </c>
      <c r="C43" s="497">
        <v>600000</v>
      </c>
      <c r="D43" s="497">
        <v>600000</v>
      </c>
      <c r="E43" s="1303">
        <f t="shared" si="1"/>
        <v>0</v>
      </c>
    </row>
    <row r="44" spans="1:5" ht="21.2" customHeight="1" x14ac:dyDescent="0.2">
      <c r="A44" s="510" t="s">
        <v>683</v>
      </c>
      <c r="B44" s="593">
        <v>500000</v>
      </c>
      <c r="C44" s="497">
        <v>0</v>
      </c>
      <c r="D44" s="497">
        <v>0</v>
      </c>
      <c r="E44" s="1303">
        <f t="shared" si="1"/>
        <v>0</v>
      </c>
    </row>
    <row r="45" spans="1:5" ht="21.2" customHeight="1" x14ac:dyDescent="0.2">
      <c r="A45" s="510" t="s">
        <v>1078</v>
      </c>
      <c r="B45" s="593"/>
      <c r="C45" s="497">
        <v>60000</v>
      </c>
      <c r="D45" s="497">
        <v>60000</v>
      </c>
      <c r="E45" s="1303">
        <f t="shared" si="1"/>
        <v>0</v>
      </c>
    </row>
    <row r="46" spans="1:5" ht="30" x14ac:dyDescent="0.2">
      <c r="A46" s="510" t="s">
        <v>699</v>
      </c>
      <c r="B46" s="593">
        <v>645000</v>
      </c>
      <c r="C46" s="497">
        <v>245000</v>
      </c>
      <c r="D46" s="497">
        <v>245000</v>
      </c>
      <c r="E46" s="1303">
        <f t="shared" si="1"/>
        <v>0</v>
      </c>
    </row>
    <row r="47" spans="1:5" ht="30.75" thickBot="1" x14ac:dyDescent="0.25">
      <c r="A47" s="513" t="s">
        <v>193</v>
      </c>
      <c r="B47" s="1304">
        <v>1810140</v>
      </c>
      <c r="C47" s="1389">
        <v>1810140</v>
      </c>
      <c r="D47" s="1389">
        <v>1810140</v>
      </c>
      <c r="E47" s="1507">
        <f t="shared" si="1"/>
        <v>0</v>
      </c>
    </row>
    <row r="48" spans="1:5" ht="17.45" customHeight="1" x14ac:dyDescent="0.25">
      <c r="A48" s="1717" t="s">
        <v>661</v>
      </c>
      <c r="B48" s="1717"/>
      <c r="C48" s="1717"/>
      <c r="D48" s="1717"/>
      <c r="E48" s="1717"/>
    </row>
    <row r="49" spans="1:5" ht="17.45" customHeight="1" thickBot="1" x14ac:dyDescent="0.25">
      <c r="A49" s="236"/>
      <c r="B49" s="209"/>
      <c r="C49" s="209"/>
      <c r="D49" s="209"/>
      <c r="E49" s="209"/>
    </row>
    <row r="50" spans="1:5" s="5" customFormat="1" ht="63.75" customHeight="1" thickBot="1" x14ac:dyDescent="0.25">
      <c r="A50" s="179" t="s">
        <v>301</v>
      </c>
      <c r="B50" s="1291" t="s">
        <v>657</v>
      </c>
      <c r="C50" s="390" t="s">
        <v>1041</v>
      </c>
      <c r="D50" s="390" t="s">
        <v>1088</v>
      </c>
      <c r="E50" s="391" t="s">
        <v>983</v>
      </c>
    </row>
    <row r="51" spans="1:5" s="395" customFormat="1" ht="22.7" customHeight="1" x14ac:dyDescent="0.2">
      <c r="A51" s="498" t="s">
        <v>521</v>
      </c>
      <c r="B51" s="1306">
        <v>220098335</v>
      </c>
      <c r="C51" s="1390">
        <v>206825723</v>
      </c>
      <c r="D51" s="1390">
        <v>206825723</v>
      </c>
      <c r="E51" s="1305">
        <f>D51-C51</f>
        <v>0</v>
      </c>
    </row>
    <row r="52" spans="1:5" ht="29.25" customHeight="1" x14ac:dyDescent="0.2">
      <c r="A52" s="499" t="s">
        <v>194</v>
      </c>
      <c r="B52" s="593">
        <v>2000000</v>
      </c>
      <c r="C52" s="497">
        <v>1000000</v>
      </c>
      <c r="D52" s="497">
        <v>1000000</v>
      </c>
      <c r="E52" s="619">
        <f>D52-C52</f>
        <v>0</v>
      </c>
    </row>
    <row r="53" spans="1:5" ht="18" customHeight="1" x14ac:dyDescent="0.2">
      <c r="A53" s="235" t="s">
        <v>312</v>
      </c>
      <c r="B53" s="593">
        <v>0</v>
      </c>
      <c r="C53" s="497">
        <v>0</v>
      </c>
      <c r="D53" s="497">
        <v>0</v>
      </c>
      <c r="E53" s="619">
        <f t="shared" ref="E53:E80" si="2">D53-C53</f>
        <v>0</v>
      </c>
    </row>
    <row r="54" spans="1:5" ht="16.5" customHeight="1" x14ac:dyDescent="0.2">
      <c r="A54" s="237" t="s">
        <v>195</v>
      </c>
      <c r="B54" s="593">
        <v>208455000</v>
      </c>
      <c r="C54" s="497">
        <v>153429284</v>
      </c>
      <c r="D54" s="497">
        <v>153429284</v>
      </c>
      <c r="E54" s="619">
        <f t="shared" si="2"/>
        <v>0</v>
      </c>
    </row>
    <row r="55" spans="1:5" ht="18" customHeight="1" x14ac:dyDescent="0.2">
      <c r="A55" s="500" t="s">
        <v>196</v>
      </c>
      <c r="B55" s="593">
        <v>800000</v>
      </c>
      <c r="C55" s="497">
        <v>800000</v>
      </c>
      <c r="D55" s="497">
        <v>450000</v>
      </c>
      <c r="E55" s="619">
        <f t="shared" si="2"/>
        <v>-350000</v>
      </c>
    </row>
    <row r="56" spans="1:5" ht="18" customHeight="1" x14ac:dyDescent="0.2">
      <c r="A56" s="237" t="s">
        <v>205</v>
      </c>
      <c r="B56" s="593">
        <v>1000000</v>
      </c>
      <c r="C56" s="497">
        <v>750000</v>
      </c>
      <c r="D56" s="497">
        <v>750000</v>
      </c>
      <c r="E56" s="619">
        <f t="shared" si="2"/>
        <v>0</v>
      </c>
    </row>
    <row r="57" spans="1:5" ht="15.75" customHeight="1" x14ac:dyDescent="0.2">
      <c r="A57" s="501" t="s">
        <v>206</v>
      </c>
      <c r="B57" s="593">
        <v>200000</v>
      </c>
      <c r="C57" s="497">
        <v>200000</v>
      </c>
      <c r="D57" s="497">
        <v>200000</v>
      </c>
      <c r="E57" s="619">
        <f t="shared" si="2"/>
        <v>0</v>
      </c>
    </row>
    <row r="58" spans="1:5" ht="15.75" customHeight="1" x14ac:dyDescent="0.2">
      <c r="A58" s="501" t="s">
        <v>682</v>
      </c>
      <c r="B58" s="593">
        <v>100000</v>
      </c>
      <c r="C58" s="497">
        <v>100000</v>
      </c>
      <c r="D58" s="497">
        <v>100000</v>
      </c>
      <c r="E58" s="619">
        <f t="shared" si="2"/>
        <v>0</v>
      </c>
    </row>
    <row r="59" spans="1:5" ht="15.75" customHeight="1" x14ac:dyDescent="0.2">
      <c r="A59" s="501" t="s">
        <v>207</v>
      </c>
      <c r="B59" s="593">
        <f>32887000+1644000</f>
        <v>34531000</v>
      </c>
      <c r="C59" s="497">
        <v>30231000</v>
      </c>
      <c r="D59" s="497">
        <v>30231000</v>
      </c>
      <c r="E59" s="619">
        <f t="shared" si="2"/>
        <v>0</v>
      </c>
    </row>
    <row r="60" spans="1:5" ht="30" x14ac:dyDescent="0.2">
      <c r="A60" s="504" t="s">
        <v>452</v>
      </c>
      <c r="B60" s="593">
        <v>1000000</v>
      </c>
      <c r="C60" s="497">
        <v>1000000</v>
      </c>
      <c r="D60" s="497">
        <v>1000000</v>
      </c>
      <c r="E60" s="619">
        <f t="shared" si="2"/>
        <v>0</v>
      </c>
    </row>
    <row r="61" spans="1:5" ht="15.75" customHeight="1" x14ac:dyDescent="0.2">
      <c r="A61" s="501" t="s">
        <v>208</v>
      </c>
      <c r="B61" s="593">
        <v>1100000</v>
      </c>
      <c r="C61" s="497">
        <v>1100000</v>
      </c>
      <c r="D61" s="497">
        <v>1100000</v>
      </c>
      <c r="E61" s="619">
        <f t="shared" si="2"/>
        <v>0</v>
      </c>
    </row>
    <row r="62" spans="1:5" ht="15.75" customHeight="1" x14ac:dyDescent="0.2">
      <c r="A62" s="502" t="s">
        <v>209</v>
      </c>
      <c r="B62" s="593">
        <v>95500000</v>
      </c>
      <c r="C62" s="497">
        <v>90000000</v>
      </c>
      <c r="D62" s="497">
        <v>90000000</v>
      </c>
      <c r="E62" s="619">
        <f t="shared" si="2"/>
        <v>0</v>
      </c>
    </row>
    <row r="63" spans="1:5" ht="30.75" customHeight="1" x14ac:dyDescent="0.2">
      <c r="A63" s="503" t="s">
        <v>684</v>
      </c>
      <c r="B63" s="593">
        <v>0</v>
      </c>
      <c r="C63" s="497">
        <v>17278800</v>
      </c>
      <c r="D63" s="497">
        <v>17278800</v>
      </c>
      <c r="E63" s="619">
        <f t="shared" si="2"/>
        <v>0</v>
      </c>
    </row>
    <row r="64" spans="1:5" ht="15.75" customHeight="1" x14ac:dyDescent="0.2">
      <c r="A64" s="504" t="s">
        <v>685</v>
      </c>
      <c r="B64" s="593">
        <v>800000</v>
      </c>
      <c r="C64" s="497">
        <v>0</v>
      </c>
      <c r="D64" s="497">
        <v>0</v>
      </c>
      <c r="E64" s="619">
        <f t="shared" si="2"/>
        <v>0</v>
      </c>
    </row>
    <row r="65" spans="1:5" ht="15.75" customHeight="1" x14ac:dyDescent="0.2">
      <c r="A65" s="504" t="s">
        <v>686</v>
      </c>
      <c r="B65" s="593">
        <v>800000</v>
      </c>
      <c r="C65" s="497">
        <v>800000</v>
      </c>
      <c r="D65" s="497">
        <v>800000</v>
      </c>
      <c r="E65" s="619">
        <f t="shared" si="2"/>
        <v>0</v>
      </c>
    </row>
    <row r="66" spans="1:5" ht="15.75" customHeight="1" x14ac:dyDescent="0.2">
      <c r="A66" s="504" t="s">
        <v>687</v>
      </c>
      <c r="B66" s="593">
        <v>1500000</v>
      </c>
      <c r="C66" s="497">
        <v>1500000</v>
      </c>
      <c r="D66" s="497">
        <v>1500000</v>
      </c>
      <c r="E66" s="619">
        <f t="shared" si="2"/>
        <v>0</v>
      </c>
    </row>
    <row r="67" spans="1:5" ht="15.75" customHeight="1" x14ac:dyDescent="0.2">
      <c r="A67" s="504" t="s">
        <v>688</v>
      </c>
      <c r="B67" s="593">
        <v>500000</v>
      </c>
      <c r="C67" s="497">
        <v>500000</v>
      </c>
      <c r="D67" s="497">
        <v>500000</v>
      </c>
      <c r="E67" s="619">
        <f t="shared" si="2"/>
        <v>0</v>
      </c>
    </row>
    <row r="68" spans="1:5" ht="15.75" customHeight="1" x14ac:dyDescent="0.2">
      <c r="A68" s="504" t="s">
        <v>3</v>
      </c>
      <c r="B68" s="593">
        <v>1000000</v>
      </c>
      <c r="C68" s="497">
        <v>1000000</v>
      </c>
      <c r="D68" s="497">
        <v>1000000</v>
      </c>
      <c r="E68" s="619">
        <f t="shared" si="2"/>
        <v>0</v>
      </c>
    </row>
    <row r="69" spans="1:5" ht="15.75" customHeight="1" x14ac:dyDescent="0.2">
      <c r="A69" s="504" t="s">
        <v>4</v>
      </c>
      <c r="B69" s="593">
        <v>1000000</v>
      </c>
      <c r="C69" s="497">
        <v>1000000</v>
      </c>
      <c r="D69" s="497">
        <v>1000000</v>
      </c>
      <c r="E69" s="619">
        <f t="shared" si="2"/>
        <v>0</v>
      </c>
    </row>
    <row r="70" spans="1:5" ht="15" x14ac:dyDescent="0.2">
      <c r="A70" s="504" t="s">
        <v>354</v>
      </c>
      <c r="B70" s="593">
        <v>510000</v>
      </c>
      <c r="C70" s="497">
        <v>510000</v>
      </c>
      <c r="D70" s="497">
        <v>510000</v>
      </c>
      <c r="E70" s="619">
        <f t="shared" si="2"/>
        <v>0</v>
      </c>
    </row>
    <row r="71" spans="1:5" ht="15" x14ac:dyDescent="0.2">
      <c r="A71" s="504" t="s">
        <v>930</v>
      </c>
      <c r="B71" s="593">
        <v>8000000</v>
      </c>
      <c r="C71" s="497">
        <v>0</v>
      </c>
      <c r="D71" s="497">
        <v>0</v>
      </c>
      <c r="E71" s="619">
        <f t="shared" si="2"/>
        <v>0</v>
      </c>
    </row>
    <row r="72" spans="1:5" ht="15.75" customHeight="1" x14ac:dyDescent="0.2">
      <c r="A72" s="504" t="s">
        <v>473</v>
      </c>
      <c r="B72" s="593">
        <v>0</v>
      </c>
      <c r="C72" s="497">
        <v>0</v>
      </c>
      <c r="D72" s="497">
        <v>0</v>
      </c>
      <c r="E72" s="619">
        <f t="shared" si="2"/>
        <v>0</v>
      </c>
    </row>
    <row r="73" spans="1:5" ht="30" x14ac:dyDescent="0.2">
      <c r="A73" s="504" t="s">
        <v>618</v>
      </c>
      <c r="B73" s="593">
        <v>6109521</v>
      </c>
      <c r="C73" s="497">
        <v>6109521</v>
      </c>
      <c r="D73" s="497">
        <v>6109521</v>
      </c>
      <c r="E73" s="619">
        <f t="shared" si="2"/>
        <v>0</v>
      </c>
    </row>
    <row r="74" spans="1:5" ht="15.75" customHeight="1" x14ac:dyDescent="0.2">
      <c r="A74" s="504" t="s">
        <v>0</v>
      </c>
      <c r="B74" s="593">
        <v>0</v>
      </c>
      <c r="C74" s="497">
        <v>0</v>
      </c>
      <c r="D74" s="497">
        <v>0</v>
      </c>
      <c r="E74" s="619">
        <f t="shared" si="2"/>
        <v>0</v>
      </c>
    </row>
    <row r="75" spans="1:5" ht="30" x14ac:dyDescent="0.2">
      <c r="A75" s="215" t="s">
        <v>603</v>
      </c>
      <c r="B75" s="1306">
        <v>1000000</v>
      </c>
      <c r="C75" s="1391">
        <v>1000000</v>
      </c>
      <c r="D75" s="1391">
        <v>1000000</v>
      </c>
      <c r="E75" s="619">
        <f t="shared" si="2"/>
        <v>0</v>
      </c>
    </row>
    <row r="76" spans="1:5" ht="30" x14ac:dyDescent="0.2">
      <c r="A76" s="571" t="s">
        <v>602</v>
      </c>
      <c r="B76" s="593"/>
      <c r="C76" s="497"/>
      <c r="D76" s="497"/>
      <c r="E76" s="619">
        <f t="shared" si="2"/>
        <v>0</v>
      </c>
    </row>
    <row r="77" spans="1:5" ht="15" x14ac:dyDescent="0.2">
      <c r="A77" s="504" t="s">
        <v>556</v>
      </c>
      <c r="B77" s="593">
        <v>27500000</v>
      </c>
      <c r="C77" s="497">
        <v>25100000</v>
      </c>
      <c r="D77" s="497">
        <v>25100000</v>
      </c>
      <c r="E77" s="619">
        <f t="shared" si="2"/>
        <v>0</v>
      </c>
    </row>
    <row r="78" spans="1:5" ht="30" x14ac:dyDescent="0.2">
      <c r="A78" s="504" t="s">
        <v>1096</v>
      </c>
      <c r="B78" s="1307"/>
      <c r="C78" s="1392"/>
      <c r="D78" s="1392">
        <v>350000</v>
      </c>
      <c r="E78" s="619">
        <f t="shared" si="2"/>
        <v>350000</v>
      </c>
    </row>
    <row r="79" spans="1:5" ht="15" x14ac:dyDescent="0.2">
      <c r="A79" s="504" t="s">
        <v>636</v>
      </c>
      <c r="B79" s="1307"/>
      <c r="C79" s="497"/>
      <c r="D79" s="497"/>
      <c r="E79" s="619">
        <f t="shared" si="2"/>
        <v>0</v>
      </c>
    </row>
    <row r="80" spans="1:5" ht="16.5" thickBot="1" x14ac:dyDescent="0.3">
      <c r="A80" s="505" t="s">
        <v>120</v>
      </c>
      <c r="B80" s="210">
        <f>B13+B5</f>
        <v>1348626381</v>
      </c>
      <c r="C80" s="618">
        <f>C13+C5</f>
        <v>1221973169</v>
      </c>
      <c r="D80" s="618">
        <f>D13+D5</f>
        <v>1221873169</v>
      </c>
      <c r="E80" s="1508">
        <f t="shared" si="2"/>
        <v>-100000</v>
      </c>
    </row>
    <row r="81" spans="1:5" s="88" customFormat="1" ht="20.25" customHeight="1" x14ac:dyDescent="0.2">
      <c r="A81" s="506"/>
      <c r="B81" s="239"/>
      <c r="C81" s="238"/>
      <c r="D81" s="238"/>
      <c r="E81" s="238"/>
    </row>
    <row r="82" spans="1:5" ht="20.25" customHeight="1" x14ac:dyDescent="0.2"/>
  </sheetData>
  <sheetProtection selectLockedCells="1" selectUnlockedCells="1"/>
  <mergeCells count="2">
    <mergeCell ref="A2:E2"/>
    <mergeCell ref="A48:E48"/>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 6/2021. (III.05.) önkormányzati rendelethez
 az önkormányzat 2020. évi költségvetéséről szóló 6/2020. (III.06.) önkormányzati rendelet 
5/b. mellékletének helyébe a következő 5/a. melléklet lép:  &amp;R&amp;P. oldal</oddHeader>
  </headerFooter>
  <rowBreaks count="2" manualBreakCount="2">
    <brk id="47" max="4" man="1"/>
    <brk id="8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26"/>
  <sheetViews>
    <sheetView view="pageLayout" topLeftCell="A106" zoomScaleNormal="100" zoomScaleSheetLayoutView="100" workbookViewId="0">
      <selection activeCell="D12" sqref="D12"/>
    </sheetView>
  </sheetViews>
  <sheetFormatPr defaultColWidth="9.140625" defaultRowHeight="12.75" x14ac:dyDescent="0.2"/>
  <cols>
    <col min="1" max="1" width="29.7109375" style="748" customWidth="1"/>
    <col min="2" max="5" width="15.28515625" style="748" customWidth="1"/>
    <col min="6" max="6" width="12.5703125" style="748" customWidth="1"/>
    <col min="7" max="7" width="13.7109375" style="748" customWidth="1"/>
    <col min="8" max="8" width="13" style="748" customWidth="1"/>
    <col min="9" max="9" width="13.85546875" style="748" customWidth="1"/>
    <col min="10" max="10" width="11.42578125" style="748" customWidth="1"/>
    <col min="11" max="11" width="12" style="748" customWidth="1"/>
    <col min="12" max="12" width="12.42578125" style="748" customWidth="1"/>
    <col min="13" max="13" width="13.140625" style="748" customWidth="1"/>
    <col min="14" max="16384" width="9.140625" style="748"/>
  </cols>
  <sheetData>
    <row r="1" spans="1:9" ht="15" customHeight="1" x14ac:dyDescent="0.25">
      <c r="A1" s="1187"/>
      <c r="B1" s="747"/>
      <c r="C1" s="747"/>
      <c r="D1" s="747"/>
      <c r="E1" s="747"/>
    </row>
    <row r="2" spans="1:9" ht="29.25" customHeight="1" x14ac:dyDescent="0.25">
      <c r="A2" s="1718" t="s">
        <v>721</v>
      </c>
      <c r="B2" s="1718"/>
      <c r="C2" s="1718"/>
      <c r="D2" s="1718"/>
      <c r="E2" s="1718"/>
    </row>
    <row r="3" spans="1:9" ht="29.25" customHeight="1" thickBot="1" x14ac:dyDescent="0.3">
      <c r="A3" s="749"/>
      <c r="B3" s="749"/>
      <c r="C3" s="749"/>
      <c r="D3" s="749"/>
      <c r="E3" s="749"/>
    </row>
    <row r="4" spans="1:9" ht="48" customHeight="1" thickBot="1" x14ac:dyDescent="0.25">
      <c r="A4" s="750" t="s">
        <v>722</v>
      </c>
      <c r="B4" s="556" t="s">
        <v>657</v>
      </c>
      <c r="C4" s="390" t="s">
        <v>1041</v>
      </c>
      <c r="D4" s="390" t="s">
        <v>1088</v>
      </c>
      <c r="E4" s="391" t="s">
        <v>983</v>
      </c>
    </row>
    <row r="5" spans="1:9" ht="15.75" x14ac:dyDescent="0.25">
      <c r="A5" s="751" t="s">
        <v>723</v>
      </c>
      <c r="B5" s="752"/>
      <c r="C5" s="753"/>
      <c r="D5" s="753"/>
      <c r="E5" s="754"/>
    </row>
    <row r="6" spans="1:9" ht="15" x14ac:dyDescent="0.2">
      <c r="A6" s="759" t="s">
        <v>724</v>
      </c>
      <c r="B6" s="760">
        <v>300000</v>
      </c>
      <c r="C6" s="756">
        <v>300000</v>
      </c>
      <c r="D6" s="756">
        <v>300000</v>
      </c>
      <c r="E6" s="757">
        <f>D6-C6</f>
        <v>0</v>
      </c>
      <c r="G6" s="758"/>
    </row>
    <row r="7" spans="1:9" ht="15" x14ac:dyDescent="0.2">
      <c r="A7" s="759" t="s">
        <v>725</v>
      </c>
      <c r="B7" s="760">
        <v>2800000</v>
      </c>
      <c r="C7" s="756">
        <v>2800000</v>
      </c>
      <c r="D7" s="756">
        <v>2800000</v>
      </c>
      <c r="E7" s="757">
        <f t="shared" ref="E7:E13" si="0">D7-C7</f>
        <v>0</v>
      </c>
      <c r="G7" s="758"/>
    </row>
    <row r="8" spans="1:9" ht="18" customHeight="1" x14ac:dyDescent="0.2">
      <c r="A8" s="759" t="s">
        <v>726</v>
      </c>
      <c r="B8" s="760">
        <v>1300000</v>
      </c>
      <c r="C8" s="756">
        <v>1300000</v>
      </c>
      <c r="D8" s="756">
        <v>1300000</v>
      </c>
      <c r="E8" s="757">
        <f t="shared" si="0"/>
        <v>0</v>
      </c>
      <c r="G8" s="758"/>
    </row>
    <row r="9" spans="1:9" ht="27.75" customHeight="1" x14ac:dyDescent="0.2">
      <c r="A9" s="744" t="s">
        <v>730</v>
      </c>
      <c r="B9" s="760">
        <v>444500</v>
      </c>
      <c r="C9" s="756">
        <v>444500</v>
      </c>
      <c r="D9" s="756">
        <v>444500</v>
      </c>
      <c r="E9" s="757">
        <f t="shared" si="0"/>
        <v>0</v>
      </c>
      <c r="G9" s="758"/>
    </row>
    <row r="10" spans="1:9" ht="18" customHeight="1" x14ac:dyDescent="0.2">
      <c r="A10" s="744" t="s">
        <v>941</v>
      </c>
      <c r="B10" s="760">
        <v>250000</v>
      </c>
      <c r="C10" s="756">
        <v>250000</v>
      </c>
      <c r="D10" s="756">
        <v>250000</v>
      </c>
      <c r="E10" s="757">
        <f t="shared" si="0"/>
        <v>0</v>
      </c>
      <c r="G10" s="758"/>
    </row>
    <row r="11" spans="1:9" ht="18" customHeight="1" x14ac:dyDescent="0.2">
      <c r="A11" s="744" t="s">
        <v>942</v>
      </c>
      <c r="B11" s="760">
        <v>2500000</v>
      </c>
      <c r="C11" s="756">
        <v>2500000</v>
      </c>
      <c r="D11" s="756">
        <v>0</v>
      </c>
      <c r="E11" s="757">
        <f t="shared" si="0"/>
        <v>-2500000</v>
      </c>
      <c r="G11" s="758"/>
    </row>
    <row r="12" spans="1:9" ht="18" customHeight="1" x14ac:dyDescent="0.2">
      <c r="A12" s="744" t="s">
        <v>943</v>
      </c>
      <c r="B12" s="760">
        <v>120000</v>
      </c>
      <c r="C12" s="756">
        <v>0</v>
      </c>
      <c r="D12" s="756">
        <v>0</v>
      </c>
      <c r="E12" s="757">
        <f t="shared" si="0"/>
        <v>0</v>
      </c>
      <c r="G12" s="758"/>
    </row>
    <row r="13" spans="1:9" ht="15" x14ac:dyDescent="0.2">
      <c r="A13" s="744"/>
      <c r="B13" s="756"/>
      <c r="C13" s="760"/>
      <c r="D13" s="760"/>
      <c r="E13" s="757">
        <f t="shared" si="0"/>
        <v>0</v>
      </c>
      <c r="G13" s="758"/>
    </row>
    <row r="14" spans="1:9" s="765" customFormat="1" ht="15.75" x14ac:dyDescent="0.25">
      <c r="A14" s="761" t="s">
        <v>120</v>
      </c>
      <c r="B14" s="762">
        <f>SUM(B6:B13)</f>
        <v>7714500</v>
      </c>
      <c r="C14" s="763">
        <f>SUM(C6:C13)</f>
        <v>7594500</v>
      </c>
      <c r="D14" s="763">
        <f>SUM(D6:D13)</f>
        <v>5094500</v>
      </c>
      <c r="E14" s="764">
        <f>SUM(E6:E13)</f>
        <v>-2500000</v>
      </c>
    </row>
    <row r="15" spans="1:9" ht="15" x14ac:dyDescent="0.2">
      <c r="A15" s="755"/>
      <c r="B15" s="756"/>
      <c r="C15" s="760"/>
      <c r="D15" s="760"/>
      <c r="E15" s="757"/>
    </row>
    <row r="16" spans="1:9" ht="31.5" x14ac:dyDescent="0.25">
      <c r="A16" s="761" t="s">
        <v>731</v>
      </c>
      <c r="B16" s="756"/>
      <c r="C16" s="760"/>
      <c r="D16" s="760"/>
      <c r="E16" s="757"/>
      <c r="I16" s="1308"/>
    </row>
    <row r="17" spans="1:7" ht="15" x14ac:dyDescent="0.2">
      <c r="A17" s="744" t="s">
        <v>727</v>
      </c>
      <c r="B17" s="760">
        <v>415000</v>
      </c>
      <c r="C17" s="756">
        <v>415000</v>
      </c>
      <c r="D17" s="756">
        <v>415000</v>
      </c>
      <c r="E17" s="757">
        <f t="shared" ref="E17:E19" si="1">D17-C17</f>
        <v>0</v>
      </c>
    </row>
    <row r="18" spans="1:7" ht="15" x14ac:dyDescent="0.2">
      <c r="A18" s="744" t="s">
        <v>728</v>
      </c>
      <c r="B18" s="760">
        <v>38100</v>
      </c>
      <c r="C18" s="756">
        <v>38100</v>
      </c>
      <c r="D18" s="756">
        <v>38100</v>
      </c>
      <c r="E18" s="757">
        <f t="shared" si="1"/>
        <v>0</v>
      </c>
    </row>
    <row r="19" spans="1:7" ht="15" x14ac:dyDescent="0.2">
      <c r="A19" s="744" t="s">
        <v>729</v>
      </c>
      <c r="B19" s="760">
        <v>381000</v>
      </c>
      <c r="C19" s="756">
        <v>381000</v>
      </c>
      <c r="D19" s="756">
        <v>381000</v>
      </c>
      <c r="E19" s="757">
        <f t="shared" si="1"/>
        <v>0</v>
      </c>
    </row>
    <row r="20" spans="1:7" s="765" customFormat="1" ht="15.75" x14ac:dyDescent="0.25">
      <c r="A20" s="761" t="s">
        <v>120</v>
      </c>
      <c r="B20" s="763">
        <f>SUM(B17:B19)</f>
        <v>834100</v>
      </c>
      <c r="C20" s="763">
        <f>SUM(C17:C19)</f>
        <v>834100</v>
      </c>
      <c r="D20" s="763">
        <f>SUM(D17:D19)</f>
        <v>834100</v>
      </c>
      <c r="E20" s="764">
        <f>SUM(E17:E19)</f>
        <v>0</v>
      </c>
    </row>
    <row r="21" spans="1:7" ht="15" x14ac:dyDescent="0.2">
      <c r="A21" s="755"/>
      <c r="B21" s="756"/>
      <c r="C21" s="760"/>
      <c r="D21" s="760"/>
      <c r="E21" s="757"/>
    </row>
    <row r="22" spans="1:7" ht="15.75" x14ac:dyDescent="0.25">
      <c r="A22" s="761" t="s">
        <v>732</v>
      </c>
      <c r="B22" s="756"/>
      <c r="C22" s="760"/>
      <c r="D22" s="760"/>
      <c r="E22" s="757"/>
    </row>
    <row r="23" spans="1:7" s="765" customFormat="1" ht="15.75" x14ac:dyDescent="0.25">
      <c r="A23" s="761" t="s">
        <v>120</v>
      </c>
      <c r="B23" s="762"/>
      <c r="C23" s="763"/>
      <c r="D23" s="763"/>
      <c r="E23" s="764">
        <f>SUM(E20:E22)</f>
        <v>0</v>
      </c>
    </row>
    <row r="24" spans="1:7" ht="15" x14ac:dyDescent="0.2">
      <c r="A24" s="755"/>
      <c r="B24" s="756"/>
      <c r="C24" s="760"/>
      <c r="D24" s="760"/>
      <c r="E24" s="757"/>
    </row>
    <row r="25" spans="1:7" ht="15.75" x14ac:dyDescent="0.25">
      <c r="A25" s="761" t="s">
        <v>733</v>
      </c>
      <c r="B25" s="756"/>
      <c r="C25" s="760"/>
      <c r="D25" s="760"/>
      <c r="E25" s="757"/>
    </row>
    <row r="26" spans="1:7" ht="28.5" x14ac:dyDescent="0.2">
      <c r="A26" s="759" t="s">
        <v>734</v>
      </c>
      <c r="B26" s="760">
        <v>2500000</v>
      </c>
      <c r="C26" s="756">
        <v>2500000</v>
      </c>
      <c r="D26" s="756">
        <v>2500000</v>
      </c>
      <c r="E26" s="757">
        <f t="shared" ref="E26:E31" si="2">D26-C26</f>
        <v>0</v>
      </c>
      <c r="G26" s="758"/>
    </row>
    <row r="27" spans="1:7" ht="15" x14ac:dyDescent="0.2">
      <c r="A27" s="759" t="s">
        <v>735</v>
      </c>
      <c r="B27" s="760">
        <v>2000000</v>
      </c>
      <c r="C27" s="756">
        <v>2000000</v>
      </c>
      <c r="D27" s="756">
        <v>2000000</v>
      </c>
      <c r="E27" s="757">
        <f t="shared" si="2"/>
        <v>0</v>
      </c>
      <c r="G27" s="758"/>
    </row>
    <row r="28" spans="1:7" ht="15" x14ac:dyDescent="0.2">
      <c r="A28" s="759" t="s">
        <v>736</v>
      </c>
      <c r="B28" s="760">
        <v>300000</v>
      </c>
      <c r="C28" s="756">
        <v>300000</v>
      </c>
      <c r="D28" s="756">
        <v>300000</v>
      </c>
      <c r="E28" s="757">
        <f t="shared" si="2"/>
        <v>0</v>
      </c>
      <c r="G28" s="758"/>
    </row>
    <row r="29" spans="1:7" ht="28.5" x14ac:dyDescent="0.2">
      <c r="A29" s="759" t="s">
        <v>734</v>
      </c>
      <c r="B29" s="760">
        <v>2000000</v>
      </c>
      <c r="C29" s="756">
        <v>0</v>
      </c>
      <c r="D29" s="756">
        <v>0</v>
      </c>
      <c r="E29" s="757">
        <f t="shared" si="2"/>
        <v>0</v>
      </c>
      <c r="G29" s="758"/>
    </row>
    <row r="30" spans="1:7" ht="28.5" x14ac:dyDescent="0.2">
      <c r="A30" s="759" t="s">
        <v>944</v>
      </c>
      <c r="B30" s="760">
        <v>2500000</v>
      </c>
      <c r="C30" s="756">
        <v>2500000</v>
      </c>
      <c r="D30" s="756">
        <v>2500000</v>
      </c>
      <c r="E30" s="757">
        <f t="shared" si="2"/>
        <v>0</v>
      </c>
      <c r="G30" s="758"/>
    </row>
    <row r="31" spans="1:7" ht="15" x14ac:dyDescent="0.2">
      <c r="A31" s="759" t="s">
        <v>945</v>
      </c>
      <c r="B31" s="760">
        <v>400000</v>
      </c>
      <c r="C31" s="756">
        <v>0</v>
      </c>
      <c r="D31" s="756">
        <v>0</v>
      </c>
      <c r="E31" s="757">
        <f t="shared" si="2"/>
        <v>0</v>
      </c>
      <c r="G31" s="758"/>
    </row>
    <row r="32" spans="1:7" s="765" customFormat="1" ht="15.75" x14ac:dyDescent="0.25">
      <c r="A32" s="761" t="s">
        <v>120</v>
      </c>
      <c r="B32" s="762">
        <f>SUM(B26:B31)</f>
        <v>9700000</v>
      </c>
      <c r="C32" s="762">
        <f>SUM(C26:C31)</f>
        <v>7300000</v>
      </c>
      <c r="D32" s="762">
        <f>SUM(D26:D31)</f>
        <v>7300000</v>
      </c>
      <c r="E32" s="764">
        <f>SUM(E26:E31)</f>
        <v>0</v>
      </c>
      <c r="G32" s="767"/>
    </row>
    <row r="33" spans="1:9" ht="15.75" thickBot="1" x14ac:dyDescent="0.25">
      <c r="A33" s="768"/>
      <c r="B33" s="769"/>
      <c r="C33" s="770"/>
      <c r="D33" s="770"/>
      <c r="E33" s="771"/>
      <c r="G33" s="758"/>
    </row>
    <row r="34" spans="1:9" ht="45.75" thickBot="1" x14ac:dyDescent="0.25">
      <c r="A34" s="772" t="s">
        <v>722</v>
      </c>
      <c r="B34" s="556" t="s">
        <v>657</v>
      </c>
      <c r="C34" s="390" t="s">
        <v>1041</v>
      </c>
      <c r="D34" s="390" t="s">
        <v>1088</v>
      </c>
      <c r="E34" s="391" t="s">
        <v>983</v>
      </c>
      <c r="F34" s="773"/>
      <c r="G34" s="774"/>
      <c r="H34" s="773"/>
      <c r="I34" s="773"/>
    </row>
    <row r="35" spans="1:9" ht="15.75" x14ac:dyDescent="0.25">
      <c r="A35" s="751" t="s">
        <v>737</v>
      </c>
      <c r="B35" s="752"/>
      <c r="C35" s="775"/>
      <c r="D35" s="775"/>
      <c r="E35" s="776"/>
      <c r="G35" s="758"/>
    </row>
    <row r="36" spans="1:9" ht="28.5" x14ac:dyDescent="0.2">
      <c r="A36" s="759" t="s">
        <v>734</v>
      </c>
      <c r="B36" s="760">
        <v>2500000</v>
      </c>
      <c r="C36" s="756">
        <v>2500000</v>
      </c>
      <c r="D36" s="756">
        <v>2500000</v>
      </c>
      <c r="E36" s="757">
        <f t="shared" ref="E36:E39" si="3">D36-C36</f>
        <v>0</v>
      </c>
      <c r="G36" s="758"/>
    </row>
    <row r="37" spans="1:9" ht="28.5" x14ac:dyDescent="0.2">
      <c r="A37" s="759" t="s">
        <v>946</v>
      </c>
      <c r="B37" s="760">
        <v>2500000</v>
      </c>
      <c r="C37" s="756">
        <v>2500000</v>
      </c>
      <c r="D37" s="756">
        <v>0</v>
      </c>
      <c r="E37" s="757">
        <f t="shared" si="3"/>
        <v>-2500000</v>
      </c>
      <c r="G37" s="758"/>
    </row>
    <row r="38" spans="1:9" ht="15" x14ac:dyDescent="0.2">
      <c r="A38" s="759" t="s">
        <v>947</v>
      </c>
      <c r="B38" s="760">
        <v>1000000</v>
      </c>
      <c r="C38" s="756">
        <v>0</v>
      </c>
      <c r="D38" s="756">
        <v>0</v>
      </c>
      <c r="E38" s="757">
        <f t="shared" si="3"/>
        <v>0</v>
      </c>
      <c r="G38" s="758"/>
    </row>
    <row r="39" spans="1:9" ht="15" x14ac:dyDescent="0.2">
      <c r="A39" s="759" t="s">
        <v>1075</v>
      </c>
      <c r="B39" s="760"/>
      <c r="C39" s="760">
        <v>1100000</v>
      </c>
      <c r="D39" s="760">
        <v>1100000</v>
      </c>
      <c r="E39" s="757">
        <f t="shared" si="3"/>
        <v>0</v>
      </c>
      <c r="G39" s="758"/>
    </row>
    <row r="40" spans="1:9" s="765" customFormat="1" ht="15.75" x14ac:dyDescent="0.25">
      <c r="A40" s="761" t="s">
        <v>120</v>
      </c>
      <c r="B40" s="762">
        <f>SUM(B36:B38)</f>
        <v>6000000</v>
      </c>
      <c r="C40" s="763">
        <f>SUM(C36:C39)</f>
        <v>6100000</v>
      </c>
      <c r="D40" s="763">
        <f>SUM(D36:D39)</f>
        <v>3600000</v>
      </c>
      <c r="E40" s="764">
        <f>SUM(E36:E38)</f>
        <v>-2500000</v>
      </c>
      <c r="G40" s="767"/>
    </row>
    <row r="41" spans="1:9" s="765" customFormat="1" ht="15.75" x14ac:dyDescent="0.25">
      <c r="A41" s="761"/>
      <c r="B41" s="777"/>
      <c r="C41" s="763"/>
      <c r="D41" s="763"/>
      <c r="E41" s="764"/>
      <c r="G41" s="767"/>
    </row>
    <row r="42" spans="1:9" ht="16.5" customHeight="1" x14ac:dyDescent="0.25">
      <c r="A42" s="761" t="s">
        <v>738</v>
      </c>
      <c r="B42" s="778"/>
      <c r="C42" s="760"/>
      <c r="D42" s="760"/>
      <c r="E42" s="757"/>
      <c r="G42" s="758"/>
    </row>
    <row r="43" spans="1:9" ht="15" x14ac:dyDescent="0.2">
      <c r="A43" s="779" t="s">
        <v>739</v>
      </c>
      <c r="B43" s="760">
        <v>2500000</v>
      </c>
      <c r="C43" s="756">
        <v>2500000</v>
      </c>
      <c r="D43" s="756">
        <v>2500000</v>
      </c>
      <c r="E43" s="757">
        <f t="shared" ref="E43:E47" si="4">D43-C43</f>
        <v>0</v>
      </c>
      <c r="G43" s="758"/>
    </row>
    <row r="44" spans="1:9" ht="28.5" x14ac:dyDescent="0.2">
      <c r="A44" s="779" t="s">
        <v>948</v>
      </c>
      <c r="B44" s="760">
        <v>900000</v>
      </c>
      <c r="C44" s="756">
        <v>900000</v>
      </c>
      <c r="D44" s="756">
        <v>900000</v>
      </c>
      <c r="E44" s="757">
        <f t="shared" si="4"/>
        <v>0</v>
      </c>
      <c r="G44" s="758"/>
    </row>
    <row r="45" spans="1:9" ht="28.5" x14ac:dyDescent="0.2">
      <c r="A45" s="779" t="s">
        <v>949</v>
      </c>
      <c r="B45" s="760">
        <v>2000000</v>
      </c>
      <c r="C45" s="756">
        <v>2000000</v>
      </c>
      <c r="D45" s="756">
        <v>2000000</v>
      </c>
      <c r="E45" s="757">
        <f t="shared" si="4"/>
        <v>0</v>
      </c>
      <c r="G45" s="758"/>
    </row>
    <row r="46" spans="1:9" ht="15" x14ac:dyDescent="0.2">
      <c r="A46" s="779" t="s">
        <v>950</v>
      </c>
      <c r="B46" s="760">
        <v>3000000</v>
      </c>
      <c r="C46" s="756">
        <v>3000000</v>
      </c>
      <c r="D46" s="756">
        <v>3000000</v>
      </c>
      <c r="E46" s="757">
        <f t="shared" si="4"/>
        <v>0</v>
      </c>
      <c r="G46" s="758"/>
    </row>
    <row r="47" spans="1:9" ht="15" x14ac:dyDescent="0.2">
      <c r="A47" s="779" t="s">
        <v>951</v>
      </c>
      <c r="B47" s="760">
        <v>1000000</v>
      </c>
      <c r="C47" s="756">
        <v>1000000</v>
      </c>
      <c r="D47" s="756">
        <v>1000000</v>
      </c>
      <c r="E47" s="757">
        <f t="shared" si="4"/>
        <v>0</v>
      </c>
      <c r="G47" s="758"/>
    </row>
    <row r="48" spans="1:9" s="765" customFormat="1" ht="15.75" x14ac:dyDescent="0.25">
      <c r="A48" s="761" t="s">
        <v>120</v>
      </c>
      <c r="B48" s="763">
        <f>SUM(B43:B47)</f>
        <v>9400000</v>
      </c>
      <c r="C48" s="763">
        <f>SUM(C43:C47)</f>
        <v>9400000</v>
      </c>
      <c r="D48" s="763">
        <f>SUM(D43:D47)</f>
        <v>9400000</v>
      </c>
      <c r="E48" s="764">
        <f>SUM(E43:E47)</f>
        <v>0</v>
      </c>
      <c r="G48" s="767"/>
    </row>
    <row r="49" spans="1:7" ht="15" x14ac:dyDescent="0.2">
      <c r="A49" s="755"/>
      <c r="B49" s="778"/>
      <c r="C49" s="760"/>
      <c r="D49" s="760"/>
      <c r="E49" s="757"/>
      <c r="G49" s="758"/>
    </row>
    <row r="50" spans="1:7" ht="15.75" x14ac:dyDescent="0.25">
      <c r="A50" s="761" t="s">
        <v>740</v>
      </c>
      <c r="B50" s="778"/>
      <c r="C50" s="760"/>
      <c r="D50" s="760"/>
      <c r="E50" s="757"/>
      <c r="G50" s="758"/>
    </row>
    <row r="51" spans="1:7" s="765" customFormat="1" ht="15.75" x14ac:dyDescent="0.25">
      <c r="A51" s="761" t="s">
        <v>120</v>
      </c>
      <c r="B51" s="762"/>
      <c r="C51" s="763"/>
      <c r="D51" s="763"/>
      <c r="E51" s="764"/>
      <c r="G51" s="767"/>
    </row>
    <row r="52" spans="1:7" s="765" customFormat="1" ht="15.75" x14ac:dyDescent="0.25">
      <c r="A52" s="761"/>
      <c r="B52" s="777"/>
      <c r="C52" s="763"/>
      <c r="D52" s="763"/>
      <c r="E52" s="764"/>
      <c r="G52" s="767"/>
    </row>
    <row r="53" spans="1:7" ht="31.5" x14ac:dyDescent="0.25">
      <c r="A53" s="761" t="s">
        <v>741</v>
      </c>
      <c r="B53" s="778"/>
      <c r="C53" s="760"/>
      <c r="D53" s="760"/>
      <c r="E53" s="757"/>
      <c r="G53" s="758"/>
    </row>
    <row r="54" spans="1:7" s="765" customFormat="1" ht="15.75" x14ac:dyDescent="0.25">
      <c r="A54" s="761" t="s">
        <v>120</v>
      </c>
      <c r="B54" s="762"/>
      <c r="C54" s="763"/>
      <c r="D54" s="763"/>
      <c r="E54" s="764"/>
      <c r="G54" s="767"/>
    </row>
    <row r="55" spans="1:7" ht="15.75" x14ac:dyDescent="0.25">
      <c r="A55" s="761"/>
      <c r="B55" s="778"/>
      <c r="C55" s="763"/>
      <c r="D55" s="763"/>
      <c r="E55" s="764"/>
      <c r="G55" s="758"/>
    </row>
    <row r="56" spans="1:7" ht="31.5" x14ac:dyDescent="0.25">
      <c r="A56" s="761" t="s">
        <v>742</v>
      </c>
      <c r="B56" s="778"/>
      <c r="C56" s="760"/>
      <c r="D56" s="760"/>
      <c r="E56" s="757"/>
      <c r="G56" s="758"/>
    </row>
    <row r="57" spans="1:7" ht="15" x14ac:dyDescent="0.2">
      <c r="A57" s="755" t="s">
        <v>952</v>
      </c>
      <c r="B57" s="1192">
        <v>500000</v>
      </c>
      <c r="C57" s="778">
        <v>0</v>
      </c>
      <c r="D57" s="778">
        <v>0</v>
      </c>
      <c r="E57" s="757">
        <f t="shared" ref="E57:E58" si="5">D57-C57</f>
        <v>0</v>
      </c>
      <c r="G57" s="758"/>
    </row>
    <row r="58" spans="1:7" ht="15" x14ac:dyDescent="0.2">
      <c r="A58" s="755" t="s">
        <v>953</v>
      </c>
      <c r="B58" s="1192">
        <v>127000</v>
      </c>
      <c r="C58" s="778">
        <v>127000</v>
      </c>
      <c r="D58" s="778">
        <v>127000</v>
      </c>
      <c r="E58" s="757">
        <f t="shared" si="5"/>
        <v>0</v>
      </c>
      <c r="G58" s="758"/>
    </row>
    <row r="59" spans="1:7" s="765" customFormat="1" ht="15.75" x14ac:dyDescent="0.25">
      <c r="A59" s="761" t="s">
        <v>120</v>
      </c>
      <c r="B59" s="762">
        <f>SUM(B57:B58)</f>
        <v>627000</v>
      </c>
      <c r="C59" s="762">
        <f>SUM(C57:C58)</f>
        <v>127000</v>
      </c>
      <c r="D59" s="762">
        <f>SUM(D57:D58)</f>
        <v>127000</v>
      </c>
      <c r="E59" s="764">
        <f>SUM(E57:E58)</f>
        <v>0</v>
      </c>
      <c r="G59" s="767"/>
    </row>
    <row r="60" spans="1:7" ht="15.75" x14ac:dyDescent="0.25">
      <c r="A60" s="761"/>
      <c r="B60" s="778"/>
      <c r="C60" s="780"/>
      <c r="D60" s="780"/>
      <c r="E60" s="781"/>
      <c r="G60" s="758"/>
    </row>
    <row r="61" spans="1:7" ht="31.5" x14ac:dyDescent="0.25">
      <c r="A61" s="761" t="s">
        <v>743</v>
      </c>
      <c r="B61" s="778"/>
      <c r="C61" s="760"/>
      <c r="D61" s="760"/>
      <c r="E61" s="757"/>
      <c r="G61" s="758"/>
    </row>
    <row r="62" spans="1:7" s="765" customFormat="1" ht="15.75" x14ac:dyDescent="0.25">
      <c r="A62" s="761" t="s">
        <v>120</v>
      </c>
      <c r="B62" s="762"/>
      <c r="C62" s="763"/>
      <c r="D62" s="763"/>
      <c r="E62" s="764"/>
      <c r="G62" s="767"/>
    </row>
    <row r="63" spans="1:7" ht="15.75" x14ac:dyDescent="0.25">
      <c r="A63" s="761"/>
      <c r="B63" s="778"/>
      <c r="C63" s="763"/>
      <c r="D63" s="763"/>
      <c r="E63" s="764"/>
      <c r="G63" s="758"/>
    </row>
    <row r="64" spans="1:7" ht="31.5" x14ac:dyDescent="0.25">
      <c r="A64" s="782" t="s">
        <v>744</v>
      </c>
      <c r="B64" s="778"/>
      <c r="C64" s="783"/>
      <c r="D64" s="783"/>
      <c r="E64" s="784"/>
      <c r="G64" s="758"/>
    </row>
    <row r="65" spans="1:7" s="765" customFormat="1" ht="15.75" x14ac:dyDescent="0.25">
      <c r="A65" s="782" t="s">
        <v>120</v>
      </c>
      <c r="B65" s="777"/>
      <c r="C65" s="785"/>
      <c r="D65" s="785"/>
      <c r="E65" s="786"/>
      <c r="G65" s="767"/>
    </row>
    <row r="66" spans="1:7" s="765" customFormat="1" ht="15.75" x14ac:dyDescent="0.25">
      <c r="A66" s="782"/>
      <c r="B66" s="777"/>
      <c r="C66" s="785"/>
      <c r="D66" s="785"/>
      <c r="E66" s="786"/>
      <c r="G66" s="767"/>
    </row>
    <row r="67" spans="1:7" ht="31.5" x14ac:dyDescent="0.25">
      <c r="A67" s="761" t="s">
        <v>745</v>
      </c>
      <c r="B67" s="778"/>
      <c r="C67" s="760"/>
      <c r="D67" s="760"/>
      <c r="E67" s="757"/>
      <c r="G67" s="758"/>
    </row>
    <row r="68" spans="1:7" s="765" customFormat="1" ht="15.75" x14ac:dyDescent="0.25">
      <c r="A68" s="761" t="s">
        <v>120</v>
      </c>
      <c r="B68" s="762"/>
      <c r="C68" s="763"/>
      <c r="D68" s="763"/>
      <c r="E68" s="764"/>
      <c r="G68" s="767"/>
    </row>
    <row r="69" spans="1:7" s="765" customFormat="1" ht="15.75" x14ac:dyDescent="0.25">
      <c r="A69" s="761"/>
      <c r="B69" s="777"/>
      <c r="C69" s="763"/>
      <c r="D69" s="763"/>
      <c r="E69" s="764"/>
      <c r="G69" s="767"/>
    </row>
    <row r="70" spans="1:7" s="765" customFormat="1" ht="31.5" x14ac:dyDescent="0.25">
      <c r="A70" s="761" t="s">
        <v>746</v>
      </c>
      <c r="B70" s="777"/>
      <c r="C70" s="763"/>
      <c r="D70" s="763"/>
      <c r="E70" s="764"/>
      <c r="G70" s="767"/>
    </row>
    <row r="71" spans="1:7" ht="16.5" thickBot="1" x14ac:dyDescent="0.3">
      <c r="A71" s="787" t="s">
        <v>747</v>
      </c>
      <c r="B71" s="788"/>
      <c r="C71" s="789"/>
      <c r="D71" s="789"/>
      <c r="E71" s="790"/>
      <c r="G71" s="758"/>
    </row>
    <row r="72" spans="1:7" ht="45.75" thickBot="1" x14ac:dyDescent="0.25">
      <c r="A72" s="750" t="s">
        <v>722</v>
      </c>
      <c r="B72" s="556" t="s">
        <v>657</v>
      </c>
      <c r="C72" s="390" t="s">
        <v>1041</v>
      </c>
      <c r="D72" s="390" t="s">
        <v>1088</v>
      </c>
      <c r="E72" s="391" t="s">
        <v>983</v>
      </c>
      <c r="G72" s="758"/>
    </row>
    <row r="73" spans="1:7" ht="15.75" x14ac:dyDescent="0.25">
      <c r="A73" s="751"/>
      <c r="B73" s="752"/>
      <c r="C73" s="775"/>
      <c r="D73" s="775"/>
      <c r="E73" s="776"/>
      <c r="G73" s="758"/>
    </row>
    <row r="74" spans="1:7" ht="31.5" x14ac:dyDescent="0.25">
      <c r="A74" s="761" t="s">
        <v>748</v>
      </c>
      <c r="B74" s="777"/>
      <c r="C74" s="763"/>
      <c r="D74" s="763"/>
      <c r="E74" s="764"/>
      <c r="G74" s="758"/>
    </row>
    <row r="75" spans="1:7" ht="30" x14ac:dyDescent="0.2">
      <c r="A75" s="755" t="s">
        <v>954</v>
      </c>
      <c r="B75" s="760">
        <v>10000000</v>
      </c>
      <c r="C75" s="760">
        <v>19057620</v>
      </c>
      <c r="D75" s="760">
        <v>19057620</v>
      </c>
      <c r="E75" s="757">
        <f t="shared" ref="E75" si="6">D75-C75</f>
        <v>0</v>
      </c>
      <c r="G75" s="758"/>
    </row>
    <row r="76" spans="1:7" s="765" customFormat="1" ht="15.75" x14ac:dyDescent="0.25">
      <c r="A76" s="761" t="s">
        <v>120</v>
      </c>
      <c r="B76" s="763">
        <f t="shared" ref="B76:D76" si="7">SUM(B75)</f>
        <v>10000000</v>
      </c>
      <c r="C76" s="762">
        <f t="shared" ref="C76" si="8">SUM(C75)</f>
        <v>19057620</v>
      </c>
      <c r="D76" s="762">
        <f t="shared" si="7"/>
        <v>19057620</v>
      </c>
      <c r="E76" s="764">
        <f>SUM(E75)</f>
        <v>0</v>
      </c>
      <c r="G76" s="767"/>
    </row>
    <row r="77" spans="1:7" ht="15" x14ac:dyDescent="0.2">
      <c r="A77" s="755"/>
      <c r="B77" s="778"/>
      <c r="C77" s="760"/>
      <c r="D77" s="760"/>
      <c r="E77" s="757"/>
      <c r="G77" s="758"/>
    </row>
    <row r="78" spans="1:7" ht="15.75" x14ac:dyDescent="0.25">
      <c r="A78" s="761" t="s">
        <v>749</v>
      </c>
      <c r="B78" s="778"/>
      <c r="C78" s="760"/>
      <c r="D78" s="760"/>
      <c r="E78" s="757"/>
      <c r="G78" s="758"/>
    </row>
    <row r="79" spans="1:7" s="765" customFormat="1" ht="15.75" x14ac:dyDescent="0.25">
      <c r="A79" s="761" t="s">
        <v>120</v>
      </c>
      <c r="B79" s="762"/>
      <c r="C79" s="763"/>
      <c r="D79" s="763"/>
      <c r="E79" s="764"/>
      <c r="G79" s="767"/>
    </row>
    <row r="80" spans="1:7" ht="15.75" x14ac:dyDescent="0.25">
      <c r="A80" s="761"/>
      <c r="B80" s="778"/>
      <c r="C80" s="763"/>
      <c r="D80" s="763"/>
      <c r="E80" s="764"/>
      <c r="G80" s="758"/>
    </row>
    <row r="81" spans="1:7" ht="15.75" x14ac:dyDescent="0.25">
      <c r="A81" s="761" t="s">
        <v>750</v>
      </c>
      <c r="B81" s="778"/>
      <c r="C81" s="760"/>
      <c r="D81" s="760"/>
      <c r="E81" s="757"/>
      <c r="G81" s="758"/>
    </row>
    <row r="82" spans="1:7" ht="28.5" x14ac:dyDescent="0.2">
      <c r="A82" s="759" t="s">
        <v>751</v>
      </c>
      <c r="B82" s="760">
        <v>300000</v>
      </c>
      <c r="C82" s="756">
        <v>300000</v>
      </c>
      <c r="D82" s="756">
        <v>300000</v>
      </c>
      <c r="E82" s="757">
        <f t="shared" ref="E82:E84" si="9">D82-C82</f>
        <v>0</v>
      </c>
      <c r="G82" s="758"/>
    </row>
    <row r="83" spans="1:7" ht="15" x14ac:dyDescent="0.2">
      <c r="A83" s="759" t="s">
        <v>955</v>
      </c>
      <c r="B83" s="760">
        <v>150000</v>
      </c>
      <c r="C83" s="756">
        <v>150000</v>
      </c>
      <c r="D83" s="756">
        <v>150000</v>
      </c>
      <c r="E83" s="757">
        <f t="shared" si="9"/>
        <v>0</v>
      </c>
      <c r="G83" s="758"/>
    </row>
    <row r="84" spans="1:7" ht="15" x14ac:dyDescent="0.2">
      <c r="A84" s="759" t="s">
        <v>956</v>
      </c>
      <c r="B84" s="760">
        <v>2500000</v>
      </c>
      <c r="C84" s="756">
        <v>2500000</v>
      </c>
      <c r="D84" s="756">
        <v>2500000</v>
      </c>
      <c r="E84" s="757">
        <f t="shared" si="9"/>
        <v>0</v>
      </c>
      <c r="G84" s="758"/>
    </row>
    <row r="85" spans="1:7" s="765" customFormat="1" ht="15.75" x14ac:dyDescent="0.25">
      <c r="A85" s="761" t="s">
        <v>120</v>
      </c>
      <c r="B85" s="762">
        <f>SUM(B82:B84)</f>
        <v>2950000</v>
      </c>
      <c r="C85" s="762">
        <f>SUM(C82:C84)</f>
        <v>2950000</v>
      </c>
      <c r="D85" s="762">
        <f>SUM(D82:D84)</f>
        <v>2950000</v>
      </c>
      <c r="E85" s="764">
        <f>SUM(E82:E84)</f>
        <v>0</v>
      </c>
      <c r="G85" s="767"/>
    </row>
    <row r="86" spans="1:7" ht="15" x14ac:dyDescent="0.2">
      <c r="A86" s="755"/>
      <c r="B86" s="778"/>
      <c r="C86" s="760"/>
      <c r="D86" s="760"/>
      <c r="E86" s="757"/>
      <c r="G86" s="758"/>
    </row>
    <row r="87" spans="1:7" ht="31.5" x14ac:dyDescent="0.25">
      <c r="A87" s="761" t="s">
        <v>752</v>
      </c>
      <c r="B87" s="778"/>
      <c r="C87" s="760"/>
      <c r="D87" s="760"/>
      <c r="E87" s="757"/>
      <c r="G87" s="758"/>
    </row>
    <row r="88" spans="1:7" s="765" customFormat="1" ht="15.75" x14ac:dyDescent="0.25">
      <c r="A88" s="761" t="s">
        <v>120</v>
      </c>
      <c r="B88" s="762"/>
      <c r="C88" s="763"/>
      <c r="D88" s="763"/>
      <c r="E88" s="764"/>
      <c r="G88" s="767"/>
    </row>
    <row r="89" spans="1:7" ht="15" x14ac:dyDescent="0.2">
      <c r="A89" s="755"/>
      <c r="B89" s="778"/>
      <c r="C89" s="760"/>
      <c r="D89" s="760"/>
      <c r="E89" s="757"/>
      <c r="G89" s="758"/>
    </row>
    <row r="90" spans="1:7" ht="31.5" x14ac:dyDescent="0.25">
      <c r="A90" s="761" t="s">
        <v>753</v>
      </c>
      <c r="B90" s="778"/>
      <c r="C90" s="760"/>
      <c r="D90" s="760"/>
      <c r="E90" s="757"/>
      <c r="G90" s="758"/>
    </row>
    <row r="91" spans="1:7" ht="30" x14ac:dyDescent="0.2">
      <c r="A91" s="755" t="s">
        <v>957</v>
      </c>
      <c r="B91" s="760">
        <v>673000</v>
      </c>
      <c r="C91" s="760">
        <v>673000</v>
      </c>
      <c r="D91" s="760">
        <v>673000</v>
      </c>
      <c r="E91" s="757">
        <f t="shared" ref="E91" si="10">D91-C91</f>
        <v>0</v>
      </c>
      <c r="G91" s="758"/>
    </row>
    <row r="92" spans="1:7" s="765" customFormat="1" ht="15.75" x14ac:dyDescent="0.25">
      <c r="A92" s="761" t="s">
        <v>120</v>
      </c>
      <c r="B92" s="763">
        <f t="shared" ref="B92:D92" si="11">SUM(B91)</f>
        <v>673000</v>
      </c>
      <c r="C92" s="762">
        <f t="shared" ref="C92" si="12">SUM(C91)</f>
        <v>673000</v>
      </c>
      <c r="D92" s="762">
        <f t="shared" si="11"/>
        <v>673000</v>
      </c>
      <c r="E92" s="764">
        <f>SUM(E91)</f>
        <v>0</v>
      </c>
      <c r="G92" s="767"/>
    </row>
    <row r="93" spans="1:7" ht="15" x14ac:dyDescent="0.2">
      <c r="A93" s="755"/>
      <c r="B93" s="778"/>
      <c r="C93" s="760"/>
      <c r="D93" s="760"/>
      <c r="E93" s="757"/>
      <c r="G93" s="758"/>
    </row>
    <row r="94" spans="1:7" ht="47.25" x14ac:dyDescent="0.25">
      <c r="A94" s="761" t="s">
        <v>754</v>
      </c>
      <c r="B94" s="778"/>
      <c r="C94" s="760"/>
      <c r="D94" s="760"/>
      <c r="E94" s="757"/>
      <c r="G94" s="758"/>
    </row>
    <row r="95" spans="1:7" ht="28.5" customHeight="1" x14ac:dyDescent="0.2">
      <c r="A95" s="759" t="s">
        <v>958</v>
      </c>
      <c r="B95" s="760">
        <v>15700000</v>
      </c>
      <c r="C95" s="756">
        <v>15700000</v>
      </c>
      <c r="D95" s="756">
        <v>15700000</v>
      </c>
      <c r="E95" s="757">
        <f t="shared" ref="E95:E96" si="13">D95-C95</f>
        <v>0</v>
      </c>
      <c r="G95" s="758"/>
    </row>
    <row r="96" spans="1:7" ht="28.5" customHeight="1" x14ac:dyDescent="0.2">
      <c r="A96" s="759" t="s">
        <v>959</v>
      </c>
      <c r="B96" s="760">
        <v>5970000</v>
      </c>
      <c r="C96" s="756">
        <v>0</v>
      </c>
      <c r="D96" s="756">
        <v>0</v>
      </c>
      <c r="E96" s="757">
        <f t="shared" si="13"/>
        <v>0</v>
      </c>
      <c r="G96" s="758"/>
    </row>
    <row r="97" spans="1:7" s="765" customFormat="1" ht="15.75" x14ac:dyDescent="0.25">
      <c r="A97" s="761" t="s">
        <v>120</v>
      </c>
      <c r="B97" s="762">
        <f>SUM(B95:B96)</f>
        <v>21670000</v>
      </c>
      <c r="C97" s="762">
        <f>SUM(C95:C96)</f>
        <v>15700000</v>
      </c>
      <c r="D97" s="762">
        <f>SUM(D95:D96)</f>
        <v>15700000</v>
      </c>
      <c r="E97" s="764">
        <f>SUM(E95:E96)</f>
        <v>0</v>
      </c>
      <c r="G97" s="767"/>
    </row>
    <row r="98" spans="1:7" ht="15.75" x14ac:dyDescent="0.25">
      <c r="A98" s="761"/>
      <c r="B98" s="778"/>
      <c r="C98" s="763"/>
      <c r="D98" s="763"/>
      <c r="E98" s="764"/>
      <c r="G98" s="758"/>
    </row>
    <row r="99" spans="1:7" ht="15.75" x14ac:dyDescent="0.25">
      <c r="A99" s="761" t="s">
        <v>755</v>
      </c>
      <c r="B99" s="778"/>
      <c r="C99" s="763"/>
      <c r="D99" s="763"/>
      <c r="E99" s="764"/>
      <c r="G99" s="758"/>
    </row>
    <row r="100" spans="1:7" s="765" customFormat="1" ht="28.5" x14ac:dyDescent="0.2">
      <c r="A100" s="791" t="s">
        <v>960</v>
      </c>
      <c r="B100" s="760">
        <v>4000000</v>
      </c>
      <c r="C100" s="756">
        <v>4000000</v>
      </c>
      <c r="D100" s="756">
        <v>4000000</v>
      </c>
      <c r="E100" s="757">
        <f t="shared" ref="E100:E105" si="14">D100-C100</f>
        <v>0</v>
      </c>
      <c r="G100" s="767"/>
    </row>
    <row r="101" spans="1:7" s="765" customFormat="1" ht="28.5" x14ac:dyDescent="0.2">
      <c r="A101" s="791" t="s">
        <v>961</v>
      </c>
      <c r="B101" s="760">
        <v>1700000</v>
      </c>
      <c r="C101" s="756">
        <v>1700000</v>
      </c>
      <c r="D101" s="756">
        <v>1700000</v>
      </c>
      <c r="E101" s="757">
        <f t="shared" si="14"/>
        <v>0</v>
      </c>
      <c r="G101" s="767"/>
    </row>
    <row r="102" spans="1:7" s="765" customFormat="1" ht="28.5" x14ac:dyDescent="0.2">
      <c r="A102" s="791" t="s">
        <v>962</v>
      </c>
      <c r="B102" s="760">
        <v>700000</v>
      </c>
      <c r="C102" s="756">
        <v>700000</v>
      </c>
      <c r="D102" s="756">
        <v>700000</v>
      </c>
      <c r="E102" s="757">
        <f t="shared" si="14"/>
        <v>0</v>
      </c>
      <c r="G102" s="767"/>
    </row>
    <row r="103" spans="1:7" s="765" customFormat="1" ht="28.5" x14ac:dyDescent="0.2">
      <c r="A103" s="791" t="s">
        <v>963</v>
      </c>
      <c r="B103" s="760">
        <v>700000</v>
      </c>
      <c r="C103" s="756">
        <v>700000</v>
      </c>
      <c r="D103" s="756">
        <v>700000</v>
      </c>
      <c r="E103" s="757">
        <f t="shared" si="14"/>
        <v>0</v>
      </c>
      <c r="G103" s="767"/>
    </row>
    <row r="104" spans="1:7" s="765" customFormat="1" ht="15" x14ac:dyDescent="0.2">
      <c r="A104" s="791" t="s">
        <v>964</v>
      </c>
      <c r="B104" s="760">
        <v>1000000</v>
      </c>
      <c r="C104" s="756">
        <v>1000000</v>
      </c>
      <c r="D104" s="756">
        <v>1000000</v>
      </c>
      <c r="E104" s="757">
        <f t="shared" si="14"/>
        <v>0</v>
      </c>
      <c r="G104" s="767"/>
    </row>
    <row r="105" spans="1:7" s="765" customFormat="1" ht="28.5" x14ac:dyDescent="0.2">
      <c r="A105" s="791" t="s">
        <v>965</v>
      </c>
      <c r="B105" s="760">
        <v>500000</v>
      </c>
      <c r="C105" s="756">
        <v>500000</v>
      </c>
      <c r="D105" s="756">
        <v>500000</v>
      </c>
      <c r="E105" s="757">
        <f t="shared" si="14"/>
        <v>0</v>
      </c>
      <c r="G105" s="767"/>
    </row>
    <row r="106" spans="1:7" s="765" customFormat="1" ht="15.75" x14ac:dyDescent="0.25">
      <c r="A106" s="761" t="s">
        <v>120</v>
      </c>
      <c r="B106" s="762">
        <f>SUM(B100:B105)</f>
        <v>8600000</v>
      </c>
      <c r="C106" s="762">
        <f>SUM(C100:C105)</f>
        <v>8600000</v>
      </c>
      <c r="D106" s="762">
        <f>SUM(D100:D105)</f>
        <v>8600000</v>
      </c>
      <c r="E106" s="764">
        <f>SUM(E100:E105)</f>
        <v>0</v>
      </c>
      <c r="G106" s="767"/>
    </row>
    <row r="107" spans="1:7" ht="15.75" x14ac:dyDescent="0.25">
      <c r="A107" s="761"/>
      <c r="B107" s="778"/>
      <c r="C107" s="763"/>
      <c r="D107" s="763"/>
      <c r="E107" s="764"/>
      <c r="G107" s="758"/>
    </row>
    <row r="108" spans="1:7" s="765" customFormat="1" ht="15.75" x14ac:dyDescent="0.25">
      <c r="A108" s="761" t="s">
        <v>756</v>
      </c>
      <c r="B108" s="777"/>
      <c r="C108" s="763"/>
      <c r="D108" s="763"/>
      <c r="E108" s="764"/>
      <c r="G108" s="767"/>
    </row>
    <row r="109" spans="1:7" ht="15" x14ac:dyDescent="0.2">
      <c r="A109" s="755"/>
      <c r="B109" s="778"/>
      <c r="C109" s="760"/>
      <c r="D109" s="760"/>
      <c r="E109" s="757"/>
      <c r="G109" s="758"/>
    </row>
    <row r="110" spans="1:7" s="765" customFormat="1" ht="15.75" x14ac:dyDescent="0.25">
      <c r="A110" s="761" t="s">
        <v>120</v>
      </c>
      <c r="B110" s="777"/>
      <c r="C110" s="763"/>
      <c r="D110" s="763"/>
      <c r="E110" s="764"/>
      <c r="G110" s="767"/>
    </row>
    <row r="111" spans="1:7" ht="15.75" x14ac:dyDescent="0.25">
      <c r="A111" s="761"/>
      <c r="B111" s="778"/>
      <c r="C111" s="763"/>
      <c r="D111" s="763"/>
      <c r="E111" s="764"/>
      <c r="G111" s="758"/>
    </row>
    <row r="112" spans="1:7" s="765" customFormat="1" ht="15.75" x14ac:dyDescent="0.25">
      <c r="A112" s="761" t="s">
        <v>757</v>
      </c>
      <c r="B112" s="762"/>
      <c r="C112" s="763">
        <v>0</v>
      </c>
      <c r="D112" s="763">
        <v>0</v>
      </c>
      <c r="E112" s="764">
        <f t="shared" ref="E112:E118" si="15">D112-C112</f>
        <v>0</v>
      </c>
    </row>
    <row r="113" spans="1:9" s="765" customFormat="1" ht="18.75" customHeight="1" x14ac:dyDescent="0.25">
      <c r="A113" s="761" t="s">
        <v>758</v>
      </c>
      <c r="B113" s="762">
        <v>9000000</v>
      </c>
      <c r="C113" s="762">
        <v>9000000</v>
      </c>
      <c r="D113" s="762">
        <v>9000000</v>
      </c>
      <c r="E113" s="764">
        <f t="shared" si="15"/>
        <v>0</v>
      </c>
    </row>
    <row r="114" spans="1:9" s="765" customFormat="1" ht="15.75" x14ac:dyDescent="0.25">
      <c r="A114" s="761" t="s">
        <v>759</v>
      </c>
      <c r="B114" s="756"/>
      <c r="C114" s="756"/>
      <c r="D114" s="756"/>
      <c r="E114" s="757">
        <f t="shared" si="15"/>
        <v>0</v>
      </c>
      <c r="G114" s="792"/>
    </row>
    <row r="115" spans="1:9" s="765" customFormat="1" ht="15" x14ac:dyDescent="0.2">
      <c r="A115" s="755" t="s">
        <v>760</v>
      </c>
      <c r="B115" s="756">
        <v>5359527</v>
      </c>
      <c r="C115" s="756">
        <v>5359527</v>
      </c>
      <c r="D115" s="756">
        <v>5359527</v>
      </c>
      <c r="E115" s="757">
        <f t="shared" si="15"/>
        <v>0</v>
      </c>
      <c r="F115" s="766"/>
      <c r="G115" s="792"/>
    </row>
    <row r="116" spans="1:9" s="765" customFormat="1" ht="30" x14ac:dyDescent="0.2">
      <c r="A116" s="755" t="s">
        <v>761</v>
      </c>
      <c r="B116" s="756">
        <v>5800000</v>
      </c>
      <c r="C116" s="756">
        <v>5800000</v>
      </c>
      <c r="D116" s="756">
        <v>5800000</v>
      </c>
      <c r="E116" s="757">
        <f t="shared" si="15"/>
        <v>0</v>
      </c>
      <c r="F116" s="766"/>
      <c r="G116" s="792"/>
    </row>
    <row r="117" spans="1:9" s="765" customFormat="1" ht="45" x14ac:dyDescent="0.2">
      <c r="A117" s="688" t="s">
        <v>966</v>
      </c>
      <c r="B117" s="756">
        <v>9080500</v>
      </c>
      <c r="C117" s="756">
        <v>10605500</v>
      </c>
      <c r="D117" s="756">
        <v>10605500</v>
      </c>
      <c r="E117" s="757">
        <f t="shared" si="15"/>
        <v>0</v>
      </c>
      <c r="F117" s="766"/>
      <c r="G117" s="792"/>
    </row>
    <row r="118" spans="1:9" s="765" customFormat="1" ht="15" x14ac:dyDescent="0.2">
      <c r="A118" s="688" t="s">
        <v>1076</v>
      </c>
      <c r="B118" s="756"/>
      <c r="C118" s="756">
        <v>2900000</v>
      </c>
      <c r="D118" s="756">
        <v>2900000</v>
      </c>
      <c r="E118" s="757">
        <f t="shared" si="15"/>
        <v>0</v>
      </c>
      <c r="F118" s="766"/>
      <c r="G118" s="792"/>
    </row>
    <row r="119" spans="1:9" s="765" customFormat="1" ht="15.75" x14ac:dyDescent="0.25">
      <c r="A119" s="761" t="s">
        <v>120</v>
      </c>
      <c r="B119" s="762">
        <f>SUM(B115:B117)</f>
        <v>20240027</v>
      </c>
      <c r="C119" s="762">
        <f>SUM(C115:C118)</f>
        <v>24665027</v>
      </c>
      <c r="D119" s="762">
        <f>SUM(D115:D118)</f>
        <v>24665027</v>
      </c>
      <c r="E119" s="764">
        <f>SUM(E115:E118)</f>
        <v>0</v>
      </c>
      <c r="F119" s="766"/>
      <c r="G119" s="792"/>
    </row>
    <row r="120" spans="1:9" s="793" customFormat="1" ht="16.5" thickBot="1" x14ac:dyDescent="0.3">
      <c r="A120" s="787" t="s">
        <v>109</v>
      </c>
      <c r="B120" s="788">
        <f>B113+B97+B92+B88+B85+B79+B76+B62+B59+B54+B51+B48+B40+B32+B23+B20+B14+B68+B112+B110+B106+B65+B71+B119</f>
        <v>107408627</v>
      </c>
      <c r="C120" s="788">
        <f>C113+C97+C92+C88+C85+C79+C76+C62+C59+C54+C51+C48+C40+C32+C23+C20+C14+C68+C112+C110+C106+C65+C71+C119</f>
        <v>112001247</v>
      </c>
      <c r="D120" s="788">
        <f>D113+D97+D92+D88+D85+D79+D76+D62+D59+D54+D51+D48+D40+D32+D23+D20+D14+D68+D112+D110+D106+D65+D71+D119</f>
        <v>107001247</v>
      </c>
      <c r="E120" s="790">
        <f>E113+E97+E92+E88+E85+E79+E76+E62+E59+E54+E51+E48+E40+E32+E23+E20+E14+E68+E112+E110+E106+E65+E71+E119</f>
        <v>-5000000</v>
      </c>
    </row>
    <row r="121" spans="1:9" s="794" customFormat="1" ht="15" x14ac:dyDescent="0.2">
      <c r="A121" s="794" t="s">
        <v>762</v>
      </c>
      <c r="B121" s="795">
        <f>B116+B115+B6+B7+B8+B9+B17+B18+B26+B19+B36+B43+B82+B95+B117+B27+B28</f>
        <v>51718627</v>
      </c>
      <c r="C121" s="795">
        <v>55718627</v>
      </c>
      <c r="D121" s="795">
        <f>D116+D115+D6+D7+D8+D9+D17+D18+D26+D19+D36+D43+D82+D95+B117+D27+D28+D118+D112+D39</f>
        <v>55718627</v>
      </c>
      <c r="E121" s="795"/>
      <c r="F121" s="796"/>
      <c r="G121" s="797"/>
      <c r="H121" s="796"/>
    </row>
    <row r="122" spans="1:9" s="794" customFormat="1" ht="15" x14ac:dyDescent="0.2">
      <c r="A122" s="794" t="s">
        <v>763</v>
      </c>
      <c r="B122" s="797">
        <f>B105+B104+B103+B102+B101+B100+B96+B91+B84+B83+B75+B58+B57+B47+B46+B45+B44+B38+B37+B31+B30+B29+B12+B11+B10</f>
        <v>46690000</v>
      </c>
      <c r="C122" s="797">
        <f>C105+C104+C103+C102+C101+C100+C96+C91+C84+C83+C75+C58+C57+C47+C46+C45+C44+C38+C37+C31+C30+C29+C12+C11+C10+C117-B117+C112</f>
        <v>47282620</v>
      </c>
      <c r="D122" s="797">
        <f>D105+D104+D103+D102+D101+D100+D96+D91+D84+D83+D75+D58+D57+D47+D46+D45+D44+D38+D37+D31+D30+D29+D12+D11+D10+D117-B117+D112</f>
        <v>42282620</v>
      </c>
      <c r="E122" s="797"/>
      <c r="G122" s="795"/>
    </row>
    <row r="123" spans="1:9" s="794" customFormat="1" ht="15" x14ac:dyDescent="0.2">
      <c r="A123" s="794" t="s">
        <v>764</v>
      </c>
      <c r="B123" s="795">
        <f>B113</f>
        <v>9000000</v>
      </c>
      <c r="C123" s="795">
        <f>C113</f>
        <v>9000000</v>
      </c>
      <c r="D123" s="795">
        <f>D113</f>
        <v>9000000</v>
      </c>
      <c r="E123" s="795">
        <f>E113</f>
        <v>0</v>
      </c>
    </row>
    <row r="124" spans="1:9" s="794" customFormat="1" ht="15" x14ac:dyDescent="0.2">
      <c r="A124" s="794" t="s">
        <v>765</v>
      </c>
      <c r="B124" s="795">
        <f>SUM(B121:B123)</f>
        <v>107408627</v>
      </c>
      <c r="C124" s="795">
        <f>SUM(C121:C123)</f>
        <v>112001247</v>
      </c>
      <c r="D124" s="795">
        <f>SUM(D121:D123)</f>
        <v>107001247</v>
      </c>
      <c r="E124" s="795">
        <f>SUM(E121:E123)</f>
        <v>0</v>
      </c>
      <c r="F124" s="795"/>
      <c r="G124" s="795"/>
      <c r="H124" s="795"/>
      <c r="I124" s="795"/>
    </row>
    <row r="125" spans="1:9" ht="15" x14ac:dyDescent="0.2">
      <c r="A125" s="794"/>
      <c r="B125" s="794"/>
      <c r="C125" s="795"/>
      <c r="D125" s="795"/>
      <c r="E125" s="798"/>
    </row>
    <row r="126" spans="1:9" ht="15" x14ac:dyDescent="0.2">
      <c r="C126" s="794"/>
      <c r="D126" s="794"/>
      <c r="E126" s="794"/>
    </row>
  </sheetData>
  <sheetProtection selectLockedCells="1" selectUnlockedCells="1"/>
  <mergeCells count="1">
    <mergeCell ref="A2:E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 6/2021. (III.05.) önkormányzati rendelethez
 az önkormányzat 2020. évi költségvetéséről szóló 6/2020. (III.06.) önkormányzati rendelet 
6. mellékletének helyébe a következő 6. melléklet lép:  &amp;R&amp;P. oldal
</oddHeader>
  </headerFooter>
  <rowBreaks count="2" manualBreakCount="2">
    <brk id="33" max="3" man="1"/>
    <brk id="7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251"/>
  <sheetViews>
    <sheetView view="pageLayout" topLeftCell="A158" zoomScaleNormal="80" zoomScaleSheetLayoutView="80" workbookViewId="0">
      <selection activeCell="D101" sqref="D101"/>
    </sheetView>
  </sheetViews>
  <sheetFormatPr defaultColWidth="9.140625" defaultRowHeight="18" customHeight="1" x14ac:dyDescent="0.2"/>
  <cols>
    <col min="1" max="1" width="54.7109375" style="67" customWidth="1"/>
    <col min="2" max="2" width="15.85546875" style="208" customWidth="1"/>
    <col min="3" max="4" width="17.42578125" style="208" customWidth="1"/>
    <col min="5" max="5" width="15.7109375" style="208" customWidth="1"/>
    <col min="6" max="6" width="17.28515625" style="53" customWidth="1"/>
    <col min="7" max="7" width="16.140625" style="53" customWidth="1"/>
    <col min="8" max="8" width="16.85546875" style="53" customWidth="1"/>
    <col min="9" max="9" width="16.28515625" style="54" customWidth="1"/>
    <col min="10" max="10" width="23.85546875" style="55" customWidth="1"/>
    <col min="11" max="16384" width="9.140625" style="55"/>
  </cols>
  <sheetData>
    <row r="4" spans="1:10" ht="18" customHeight="1" x14ac:dyDescent="0.25">
      <c r="A4" s="1719" t="s">
        <v>658</v>
      </c>
      <c r="B4" s="1719"/>
      <c r="C4" s="1719"/>
      <c r="D4" s="1719"/>
      <c r="E4" s="1719"/>
    </row>
    <row r="5" spans="1:10" ht="18" customHeight="1" thickBot="1" x14ac:dyDescent="0.3">
      <c r="A5" s="396"/>
      <c r="B5" s="396"/>
      <c r="C5" s="396"/>
      <c r="D5" s="396"/>
      <c r="E5" s="396"/>
    </row>
    <row r="6" spans="1:10" ht="48.75" customHeight="1" thickBot="1" x14ac:dyDescent="0.25">
      <c r="A6" s="531" t="s">
        <v>86</v>
      </c>
      <c r="B6" s="556" t="s">
        <v>657</v>
      </c>
      <c r="C6" s="390" t="s">
        <v>1041</v>
      </c>
      <c r="D6" s="390" t="s">
        <v>1088</v>
      </c>
      <c r="E6" s="391" t="s">
        <v>983</v>
      </c>
      <c r="F6" s="52"/>
    </row>
    <row r="7" spans="1:10" ht="18" customHeight="1" x14ac:dyDescent="0.25">
      <c r="A7" s="279" t="s">
        <v>211</v>
      </c>
      <c r="B7" s="518"/>
      <c r="C7" s="598"/>
      <c r="D7" s="598"/>
      <c r="E7" s="670"/>
      <c r="F7" s="56"/>
    </row>
    <row r="8" spans="1:10" s="60" customFormat="1" ht="33" customHeight="1" x14ac:dyDescent="0.2">
      <c r="A8" s="216" t="s">
        <v>613</v>
      </c>
      <c r="B8" s="257"/>
      <c r="C8" s="206"/>
      <c r="D8" s="206"/>
      <c r="E8" s="671"/>
      <c r="F8" s="61"/>
      <c r="G8" s="58"/>
      <c r="H8" s="58"/>
      <c r="I8" s="59"/>
    </row>
    <row r="9" spans="1:10" s="60" customFormat="1" ht="30.75" customHeight="1" x14ac:dyDescent="0.2">
      <c r="A9" s="218" t="s">
        <v>214</v>
      </c>
      <c r="B9" s="519">
        <v>2921000</v>
      </c>
      <c r="C9" s="526">
        <v>2921000</v>
      </c>
      <c r="D9" s="526">
        <v>2921000</v>
      </c>
      <c r="E9" s="671">
        <f t="shared" ref="E9:E38" si="0">D9-C9</f>
        <v>0</v>
      </c>
      <c r="F9" s="61"/>
      <c r="G9" s="58"/>
      <c r="H9" s="58"/>
      <c r="I9" s="59"/>
    </row>
    <row r="10" spans="1:10" s="65" customFormat="1" ht="21.75" customHeight="1" x14ac:dyDescent="0.2">
      <c r="A10" s="218" t="s">
        <v>519</v>
      </c>
      <c r="B10" s="519"/>
      <c r="C10" s="526"/>
      <c r="D10" s="526"/>
      <c r="E10" s="671">
        <f t="shared" si="0"/>
        <v>0</v>
      </c>
      <c r="F10" s="62"/>
      <c r="G10" s="63"/>
      <c r="H10" s="63"/>
      <c r="I10" s="64"/>
    </row>
    <row r="11" spans="1:10" s="65" customFormat="1" ht="18" customHeight="1" x14ac:dyDescent="0.2">
      <c r="A11" s="217" t="s">
        <v>520</v>
      </c>
      <c r="B11" s="519">
        <v>45111110</v>
      </c>
      <c r="C11" s="526">
        <v>45111110</v>
      </c>
      <c r="D11" s="526">
        <v>45111110</v>
      </c>
      <c r="E11" s="671">
        <f t="shared" si="0"/>
        <v>0</v>
      </c>
      <c r="F11" s="62"/>
      <c r="G11" s="63"/>
      <c r="H11" s="63"/>
      <c r="I11" s="64"/>
    </row>
    <row r="12" spans="1:10" s="65" customFormat="1" ht="18" customHeight="1" x14ac:dyDescent="0.2">
      <c r="A12" s="217" t="s">
        <v>984</v>
      </c>
      <c r="B12" s="519">
        <v>349250</v>
      </c>
      <c r="C12" s="526">
        <v>0</v>
      </c>
      <c r="D12" s="526">
        <v>0</v>
      </c>
      <c r="E12" s="671">
        <f t="shared" si="0"/>
        <v>0</v>
      </c>
      <c r="F12" s="62"/>
      <c r="G12" s="63"/>
      <c r="H12" s="63"/>
      <c r="I12" s="64"/>
    </row>
    <row r="13" spans="1:10" s="65" customFormat="1" ht="24.75" customHeight="1" x14ac:dyDescent="0.2">
      <c r="A13" s="218" t="s">
        <v>450</v>
      </c>
      <c r="B13" s="519">
        <v>0</v>
      </c>
      <c r="C13" s="526">
        <v>0</v>
      </c>
      <c r="D13" s="526">
        <v>0</v>
      </c>
      <c r="E13" s="671">
        <f t="shared" si="0"/>
        <v>0</v>
      </c>
      <c r="F13" s="62"/>
      <c r="G13" s="63"/>
      <c r="H13" s="63"/>
      <c r="I13" s="64"/>
    </row>
    <row r="14" spans="1:10" s="65" customFormat="1" ht="24.75" customHeight="1" x14ac:dyDescent="0.2">
      <c r="A14" s="357" t="s">
        <v>475</v>
      </c>
      <c r="B14" s="519">
        <v>0</v>
      </c>
      <c r="C14" s="526">
        <v>0</v>
      </c>
      <c r="D14" s="526">
        <v>0</v>
      </c>
      <c r="E14" s="671">
        <f t="shared" si="0"/>
        <v>0</v>
      </c>
      <c r="F14" s="62"/>
      <c r="G14" s="63"/>
      <c r="H14" s="63"/>
      <c r="I14" s="63"/>
      <c r="J14" s="64"/>
    </row>
    <row r="15" spans="1:10" s="65" customFormat="1" ht="29.25" customHeight="1" x14ac:dyDescent="0.2">
      <c r="A15" s="357" t="s">
        <v>476</v>
      </c>
      <c r="B15" s="519">
        <v>0</v>
      </c>
      <c r="C15" s="526">
        <v>0</v>
      </c>
      <c r="D15" s="526">
        <v>0</v>
      </c>
      <c r="E15" s="671">
        <f t="shared" si="0"/>
        <v>0</v>
      </c>
      <c r="F15" s="62"/>
      <c r="G15" s="63"/>
      <c r="H15" s="63"/>
      <c r="I15" s="64"/>
    </row>
    <row r="16" spans="1:10" s="65" customFormat="1" ht="28.5" customHeight="1" x14ac:dyDescent="0.2">
      <c r="A16" s="357" t="s">
        <v>477</v>
      </c>
      <c r="B16" s="519">
        <v>0</v>
      </c>
      <c r="C16" s="526">
        <v>0</v>
      </c>
      <c r="D16" s="526">
        <v>0</v>
      </c>
      <c r="E16" s="671">
        <f t="shared" si="0"/>
        <v>0</v>
      </c>
      <c r="F16" s="62"/>
      <c r="G16" s="63"/>
      <c r="H16" s="63"/>
      <c r="I16" s="64"/>
    </row>
    <row r="17" spans="1:9" s="65" customFormat="1" ht="30.2" customHeight="1" x14ac:dyDescent="0.2">
      <c r="A17" s="218" t="s">
        <v>478</v>
      </c>
      <c r="B17" s="519">
        <v>0</v>
      </c>
      <c r="C17" s="526">
        <v>0</v>
      </c>
      <c r="D17" s="526">
        <v>0</v>
      </c>
      <c r="E17" s="671">
        <f t="shared" si="0"/>
        <v>0</v>
      </c>
      <c r="F17" s="62"/>
      <c r="G17" s="63"/>
      <c r="H17" s="63"/>
      <c r="I17" s="64"/>
    </row>
    <row r="18" spans="1:9" s="65" customFormat="1" ht="30.2" customHeight="1" x14ac:dyDescent="0.2">
      <c r="A18" s="311" t="s">
        <v>642</v>
      </c>
      <c r="B18" s="519">
        <v>73660000</v>
      </c>
      <c r="C18" s="526">
        <v>73660000</v>
      </c>
      <c r="D18" s="526">
        <v>73660000</v>
      </c>
      <c r="E18" s="671">
        <f t="shared" si="0"/>
        <v>0</v>
      </c>
      <c r="F18" s="62"/>
      <c r="G18" s="63"/>
      <c r="H18" s="63"/>
      <c r="I18" s="64"/>
    </row>
    <row r="19" spans="1:9" s="65" customFormat="1" ht="23.25" customHeight="1" x14ac:dyDescent="0.2">
      <c r="A19" s="310" t="s">
        <v>448</v>
      </c>
      <c r="B19" s="519">
        <v>1714500</v>
      </c>
      <c r="C19" s="526">
        <v>1714500</v>
      </c>
      <c r="D19" s="526">
        <v>1714500</v>
      </c>
      <c r="E19" s="671">
        <f t="shared" si="0"/>
        <v>0</v>
      </c>
      <c r="F19" s="62"/>
      <c r="G19" s="63"/>
      <c r="H19" s="63"/>
      <c r="I19" s="64"/>
    </row>
    <row r="20" spans="1:9" s="65" customFormat="1" ht="20.25" customHeight="1" x14ac:dyDescent="0.2">
      <c r="A20" s="310" t="s">
        <v>449</v>
      </c>
      <c r="B20" s="519">
        <v>1290320</v>
      </c>
      <c r="C20" s="526">
        <v>1290320</v>
      </c>
      <c r="D20" s="526">
        <v>1290320</v>
      </c>
      <c r="E20" s="671">
        <f t="shared" si="0"/>
        <v>0</v>
      </c>
      <c r="F20" s="62"/>
      <c r="G20" s="63"/>
      <c r="H20" s="63"/>
      <c r="I20" s="64"/>
    </row>
    <row r="21" spans="1:9" s="65" customFormat="1" ht="20.25" customHeight="1" x14ac:dyDescent="0.2">
      <c r="A21" s="311" t="s">
        <v>509</v>
      </c>
      <c r="B21" s="519">
        <v>762000</v>
      </c>
      <c r="C21" s="526">
        <v>3238500</v>
      </c>
      <c r="D21" s="526">
        <v>3238500</v>
      </c>
      <c r="E21" s="671">
        <f t="shared" si="0"/>
        <v>0</v>
      </c>
      <c r="F21" s="62"/>
      <c r="G21" s="63"/>
      <c r="H21" s="63"/>
      <c r="I21" s="64"/>
    </row>
    <row r="22" spans="1:9" s="65" customFormat="1" ht="15" x14ac:dyDescent="0.2">
      <c r="A22" s="311" t="s">
        <v>21</v>
      </c>
      <c r="B22" s="519">
        <v>0</v>
      </c>
      <c r="C22" s="526">
        <v>0</v>
      </c>
      <c r="D22" s="526">
        <v>0</v>
      </c>
      <c r="E22" s="671">
        <f t="shared" si="0"/>
        <v>0</v>
      </c>
      <c r="F22" s="62"/>
      <c r="G22" s="63"/>
      <c r="H22" s="63"/>
      <c r="I22" s="64"/>
    </row>
    <row r="23" spans="1:9" s="65" customFormat="1" ht="15" x14ac:dyDescent="0.2">
      <c r="A23" s="311" t="s">
        <v>22</v>
      </c>
      <c r="B23" s="519">
        <v>0</v>
      </c>
      <c r="C23" s="526">
        <v>0</v>
      </c>
      <c r="D23" s="526">
        <v>0</v>
      </c>
      <c r="E23" s="671">
        <f t="shared" si="0"/>
        <v>0</v>
      </c>
      <c r="F23" s="62"/>
      <c r="G23" s="63"/>
      <c r="H23" s="63"/>
      <c r="I23" s="64"/>
    </row>
    <row r="24" spans="1:9" s="65" customFormat="1" ht="15" x14ac:dyDescent="0.2">
      <c r="A24" s="311" t="s">
        <v>23</v>
      </c>
      <c r="B24" s="519">
        <v>0</v>
      </c>
      <c r="C24" s="526">
        <v>0</v>
      </c>
      <c r="D24" s="526">
        <v>0</v>
      </c>
      <c r="E24" s="671">
        <f t="shared" si="0"/>
        <v>0</v>
      </c>
      <c r="F24" s="62"/>
      <c r="G24" s="63"/>
      <c r="H24" s="63"/>
      <c r="I24" s="64"/>
    </row>
    <row r="25" spans="1:9" s="65" customFormat="1" ht="15" x14ac:dyDescent="0.2">
      <c r="A25" s="311" t="s">
        <v>459</v>
      </c>
      <c r="B25" s="519">
        <v>1905000</v>
      </c>
      <c r="C25" s="526">
        <v>1905000</v>
      </c>
      <c r="D25" s="526">
        <v>1905000</v>
      </c>
      <c r="E25" s="671">
        <f t="shared" si="0"/>
        <v>0</v>
      </c>
      <c r="F25" s="62"/>
      <c r="G25" s="63"/>
      <c r="H25" s="63"/>
      <c r="I25" s="64"/>
    </row>
    <row r="26" spans="1:9" s="65" customFormat="1" ht="30" x14ac:dyDescent="0.2">
      <c r="A26" s="311" t="s">
        <v>198</v>
      </c>
      <c r="B26" s="519">
        <v>0</v>
      </c>
      <c r="C26" s="526">
        <v>0</v>
      </c>
      <c r="D26" s="526">
        <v>0</v>
      </c>
      <c r="E26" s="671">
        <f t="shared" si="0"/>
        <v>0</v>
      </c>
      <c r="F26" s="62"/>
      <c r="G26" s="63"/>
      <c r="H26" s="63"/>
      <c r="I26" s="64"/>
    </row>
    <row r="27" spans="1:9" s="65" customFormat="1" ht="45" x14ac:dyDescent="0.2">
      <c r="A27" s="458" t="s">
        <v>7</v>
      </c>
      <c r="B27" s="599">
        <v>33427464</v>
      </c>
      <c r="C27" s="1398">
        <v>33427464</v>
      </c>
      <c r="D27" s="1398">
        <v>33427464</v>
      </c>
      <c r="E27" s="671">
        <f t="shared" si="0"/>
        <v>0</v>
      </c>
      <c r="F27" s="62"/>
      <c r="G27" s="63"/>
      <c r="H27" s="63"/>
      <c r="I27" s="64"/>
    </row>
    <row r="28" spans="1:9" s="65" customFormat="1" ht="15" x14ac:dyDescent="0.2">
      <c r="A28" s="460" t="s">
        <v>502</v>
      </c>
      <c r="B28" s="519">
        <v>0</v>
      </c>
      <c r="C28" s="526">
        <v>0</v>
      </c>
      <c r="D28" s="526">
        <v>0</v>
      </c>
      <c r="E28" s="671">
        <f t="shared" si="0"/>
        <v>0</v>
      </c>
      <c r="F28" s="62"/>
      <c r="G28" s="63"/>
      <c r="H28" s="63"/>
      <c r="I28" s="64"/>
    </row>
    <row r="29" spans="1:9" s="65" customFormat="1" ht="15" x14ac:dyDescent="0.2">
      <c r="A29" s="462" t="s">
        <v>503</v>
      </c>
      <c r="B29" s="519">
        <v>0</v>
      </c>
      <c r="C29" s="526">
        <v>0</v>
      </c>
      <c r="D29" s="526">
        <v>0</v>
      </c>
      <c r="E29" s="671">
        <f t="shared" si="0"/>
        <v>0</v>
      </c>
      <c r="F29" s="62"/>
      <c r="G29" s="63"/>
      <c r="H29" s="63"/>
      <c r="I29" s="64"/>
    </row>
    <row r="30" spans="1:9" s="65" customFormat="1" ht="105" x14ac:dyDescent="0.2">
      <c r="A30" s="219" t="s">
        <v>701</v>
      </c>
      <c r="B30" s="523">
        <v>15316200</v>
      </c>
      <c r="C30" s="633">
        <v>15316200</v>
      </c>
      <c r="D30" s="633">
        <v>15316200</v>
      </c>
      <c r="E30" s="671">
        <f t="shared" si="0"/>
        <v>0</v>
      </c>
      <c r="F30" s="62"/>
      <c r="G30" s="63"/>
      <c r="H30" s="63"/>
      <c r="I30" s="64"/>
    </row>
    <row r="31" spans="1:9" s="65" customFormat="1" ht="30" x14ac:dyDescent="0.2">
      <c r="A31" s="219" t="s">
        <v>456</v>
      </c>
      <c r="B31" s="519">
        <v>0</v>
      </c>
      <c r="C31" s="526">
        <v>0</v>
      </c>
      <c r="D31" s="526">
        <v>0</v>
      </c>
      <c r="E31" s="671">
        <f t="shared" si="0"/>
        <v>0</v>
      </c>
      <c r="F31" s="62"/>
      <c r="G31" s="63"/>
      <c r="H31" s="63"/>
      <c r="I31" s="64"/>
    </row>
    <row r="32" spans="1:9" s="65" customFormat="1" ht="30" x14ac:dyDescent="0.2">
      <c r="A32" s="219" t="s">
        <v>504</v>
      </c>
      <c r="B32" s="519">
        <v>0</v>
      </c>
      <c r="C32" s="526">
        <v>0</v>
      </c>
      <c r="D32" s="526">
        <v>0</v>
      </c>
      <c r="E32" s="671">
        <f t="shared" si="0"/>
        <v>0</v>
      </c>
      <c r="F32" s="62"/>
      <c r="G32" s="63"/>
      <c r="H32" s="63"/>
      <c r="I32" s="64"/>
    </row>
    <row r="33" spans="1:9" s="65" customFormat="1" ht="15" x14ac:dyDescent="0.2">
      <c r="A33" s="219" t="s">
        <v>557</v>
      </c>
      <c r="B33" s="519">
        <v>0</v>
      </c>
      <c r="C33" s="526">
        <v>0</v>
      </c>
      <c r="D33" s="526">
        <v>0</v>
      </c>
      <c r="E33" s="671">
        <f t="shared" si="0"/>
        <v>0</v>
      </c>
      <c r="F33" s="62"/>
      <c r="G33" s="63"/>
      <c r="H33" s="63"/>
      <c r="I33" s="64"/>
    </row>
    <row r="34" spans="1:9" s="65" customFormat="1" ht="15" x14ac:dyDescent="0.2">
      <c r="A34" s="219" t="s">
        <v>558</v>
      </c>
      <c r="B34" s="519">
        <v>0</v>
      </c>
      <c r="C34" s="526">
        <v>0</v>
      </c>
      <c r="D34" s="526">
        <v>0</v>
      </c>
      <c r="E34" s="671">
        <f t="shared" si="0"/>
        <v>0</v>
      </c>
      <c r="F34" s="62"/>
      <c r="G34" s="63"/>
      <c r="H34" s="63"/>
      <c r="I34" s="64"/>
    </row>
    <row r="35" spans="1:9" s="65" customFormat="1" ht="15" x14ac:dyDescent="0.2">
      <c r="A35" s="219" t="s">
        <v>559</v>
      </c>
      <c r="B35" s="519">
        <v>9999878</v>
      </c>
      <c r="C35" s="526">
        <v>9999878</v>
      </c>
      <c r="D35" s="526">
        <v>9999878</v>
      </c>
      <c r="E35" s="671">
        <f t="shared" si="0"/>
        <v>0</v>
      </c>
      <c r="F35" s="62"/>
      <c r="G35" s="63"/>
      <c r="H35" s="63"/>
      <c r="I35" s="64"/>
    </row>
    <row r="36" spans="1:9" s="65" customFormat="1" ht="15" x14ac:dyDescent="0.2">
      <c r="A36" s="219" t="s">
        <v>506</v>
      </c>
      <c r="B36" s="519">
        <v>0</v>
      </c>
      <c r="C36" s="526">
        <v>0</v>
      </c>
      <c r="D36" s="526">
        <v>0</v>
      </c>
      <c r="E36" s="671">
        <f t="shared" si="0"/>
        <v>0</v>
      </c>
      <c r="F36" s="62"/>
      <c r="G36" s="63"/>
      <c r="H36" s="63"/>
      <c r="I36" s="64"/>
    </row>
    <row r="37" spans="1:9" s="65" customFormat="1" ht="15" x14ac:dyDescent="0.2">
      <c r="A37" s="219" t="s">
        <v>507</v>
      </c>
      <c r="B37" s="519">
        <v>0</v>
      </c>
      <c r="C37" s="526">
        <v>0</v>
      </c>
      <c r="D37" s="526">
        <v>0</v>
      </c>
      <c r="E37" s="671">
        <f t="shared" si="0"/>
        <v>0</v>
      </c>
      <c r="F37" s="62"/>
      <c r="G37" s="63"/>
      <c r="H37" s="63"/>
      <c r="I37" s="64"/>
    </row>
    <row r="38" spans="1:9" s="65" customFormat="1" ht="15.75" thickBot="1" x14ac:dyDescent="0.25">
      <c r="A38" s="461" t="s">
        <v>508</v>
      </c>
      <c r="B38" s="520">
        <v>0</v>
      </c>
      <c r="C38" s="1393">
        <v>0</v>
      </c>
      <c r="D38" s="1393">
        <v>0</v>
      </c>
      <c r="E38" s="1309">
        <f t="shared" si="0"/>
        <v>0</v>
      </c>
      <c r="F38" s="62"/>
      <c r="G38" s="63"/>
      <c r="H38" s="63"/>
      <c r="I38" s="64"/>
    </row>
    <row r="39" spans="1:9" s="65" customFormat="1" ht="45.75" thickBot="1" x14ac:dyDescent="0.25">
      <c r="A39" s="1201" t="s">
        <v>86</v>
      </c>
      <c r="B39" s="556" t="s">
        <v>657</v>
      </c>
      <c r="C39" s="390" t="s">
        <v>1041</v>
      </c>
      <c r="D39" s="390" t="s">
        <v>1088</v>
      </c>
      <c r="E39" s="1296" t="s">
        <v>983</v>
      </c>
      <c r="F39" s="62"/>
      <c r="G39" s="63"/>
      <c r="H39" s="63"/>
      <c r="I39" s="64"/>
    </row>
    <row r="40" spans="1:9" s="65" customFormat="1" ht="15" x14ac:dyDescent="0.2">
      <c r="A40" s="1310" t="s">
        <v>560</v>
      </c>
      <c r="B40" s="1311">
        <v>0</v>
      </c>
      <c r="C40" s="1399">
        <v>0</v>
      </c>
      <c r="D40" s="1399">
        <v>0</v>
      </c>
      <c r="E40" s="1312">
        <f t="shared" ref="E40:E74" si="1">D40-C40</f>
        <v>0</v>
      </c>
      <c r="F40" s="62"/>
      <c r="G40" s="63"/>
      <c r="H40" s="63"/>
      <c r="I40" s="64"/>
    </row>
    <row r="41" spans="1:9" s="65" customFormat="1" ht="15" x14ac:dyDescent="0.2">
      <c r="A41" s="311" t="s">
        <v>17</v>
      </c>
      <c r="B41" s="521">
        <v>0</v>
      </c>
      <c r="C41" s="1400">
        <v>0</v>
      </c>
      <c r="D41" s="1400">
        <v>0</v>
      </c>
      <c r="E41" s="459">
        <f t="shared" si="1"/>
        <v>0</v>
      </c>
      <c r="F41" s="62"/>
      <c r="G41" s="63"/>
      <c r="H41" s="63"/>
      <c r="I41" s="64"/>
    </row>
    <row r="42" spans="1:9" s="65" customFormat="1" ht="45" x14ac:dyDescent="0.2">
      <c r="A42" s="311" t="s">
        <v>479</v>
      </c>
      <c r="B42" s="521">
        <v>0</v>
      </c>
      <c r="C42" s="1400">
        <v>0</v>
      </c>
      <c r="D42" s="1400">
        <v>0</v>
      </c>
      <c r="E42" s="459">
        <f t="shared" si="1"/>
        <v>0</v>
      </c>
      <c r="F42" s="62"/>
      <c r="G42" s="63"/>
      <c r="H42" s="63"/>
      <c r="I42" s="64"/>
    </row>
    <row r="43" spans="1:9" s="65" customFormat="1" ht="30" x14ac:dyDescent="0.2">
      <c r="A43" s="311" t="s">
        <v>561</v>
      </c>
      <c r="B43" s="521">
        <v>0</v>
      </c>
      <c r="C43" s="1400">
        <v>0</v>
      </c>
      <c r="D43" s="1400">
        <v>0</v>
      </c>
      <c r="E43" s="459">
        <f t="shared" si="1"/>
        <v>0</v>
      </c>
      <c r="F43" s="62"/>
      <c r="G43" s="63"/>
      <c r="H43" s="63"/>
      <c r="I43" s="64"/>
    </row>
    <row r="44" spans="1:9" s="65" customFormat="1" ht="15" x14ac:dyDescent="0.2">
      <c r="A44" s="311" t="s">
        <v>562</v>
      </c>
      <c r="B44" s="521">
        <v>0</v>
      </c>
      <c r="C44" s="1400">
        <v>0</v>
      </c>
      <c r="D44" s="1400">
        <v>0</v>
      </c>
      <c r="E44" s="459">
        <f t="shared" si="1"/>
        <v>0</v>
      </c>
      <c r="F44" s="62"/>
      <c r="G44" s="63"/>
      <c r="H44" s="63"/>
      <c r="I44" s="64"/>
    </row>
    <row r="45" spans="1:9" s="65" customFormat="1" ht="30" x14ac:dyDescent="0.2">
      <c r="A45" s="311" t="s">
        <v>1039</v>
      </c>
      <c r="B45" s="521">
        <v>0</v>
      </c>
      <c r="C45" s="1400">
        <v>0</v>
      </c>
      <c r="D45" s="1400">
        <v>0</v>
      </c>
      <c r="E45" s="459">
        <f t="shared" si="1"/>
        <v>0</v>
      </c>
      <c r="F45" s="62"/>
      <c r="G45" s="63"/>
      <c r="H45" s="63"/>
      <c r="I45" s="64"/>
    </row>
    <row r="46" spans="1:9" s="65" customFormat="1" ht="30" x14ac:dyDescent="0.2">
      <c r="A46" s="311" t="s">
        <v>563</v>
      </c>
      <c r="B46" s="519">
        <v>24000000</v>
      </c>
      <c r="C46" s="526">
        <v>26733624</v>
      </c>
      <c r="D46" s="526">
        <v>26733624</v>
      </c>
      <c r="E46" s="459">
        <f t="shared" si="1"/>
        <v>0</v>
      </c>
      <c r="F46" s="62"/>
      <c r="G46" s="63"/>
      <c r="H46" s="63"/>
      <c r="I46" s="64"/>
    </row>
    <row r="47" spans="1:9" s="65" customFormat="1" ht="45" x14ac:dyDescent="0.2">
      <c r="A47" s="457" t="s">
        <v>5</v>
      </c>
      <c r="B47" s="521">
        <v>10522996</v>
      </c>
      <c r="C47" s="1400">
        <v>10522996</v>
      </c>
      <c r="D47" s="1400">
        <v>10522996</v>
      </c>
      <c r="E47" s="459">
        <f t="shared" si="1"/>
        <v>0</v>
      </c>
      <c r="F47" s="62"/>
      <c r="G47" s="63"/>
      <c r="H47" s="63"/>
      <c r="I47" s="64"/>
    </row>
    <row r="48" spans="1:9" s="65" customFormat="1" ht="30" x14ac:dyDescent="0.2">
      <c r="A48" s="311" t="s">
        <v>564</v>
      </c>
      <c r="B48" s="521">
        <v>823375902</v>
      </c>
      <c r="C48" s="1400">
        <v>0</v>
      </c>
      <c r="D48" s="1400">
        <v>0</v>
      </c>
      <c r="E48" s="459">
        <f t="shared" si="1"/>
        <v>0</v>
      </c>
      <c r="F48" s="62"/>
      <c r="G48" s="63"/>
      <c r="H48" s="63"/>
      <c r="I48" s="64"/>
    </row>
    <row r="49" spans="1:9" s="65" customFormat="1" ht="30" x14ac:dyDescent="0.2">
      <c r="A49" s="457" t="s">
        <v>8</v>
      </c>
      <c r="B49" s="521">
        <v>0</v>
      </c>
      <c r="C49" s="1400">
        <v>0</v>
      </c>
      <c r="D49" s="1400">
        <v>0</v>
      </c>
      <c r="E49" s="459">
        <f t="shared" si="1"/>
        <v>0</v>
      </c>
      <c r="F49" s="62"/>
      <c r="G49" s="63"/>
      <c r="H49" s="63"/>
      <c r="I49" s="64"/>
    </row>
    <row r="50" spans="1:9" s="65" customFormat="1" ht="30" x14ac:dyDescent="0.2">
      <c r="A50" s="457" t="s">
        <v>9</v>
      </c>
      <c r="B50" s="521">
        <v>12106000</v>
      </c>
      <c r="C50" s="1400">
        <v>12106000</v>
      </c>
      <c r="D50" s="1400">
        <v>12106000</v>
      </c>
      <c r="E50" s="459">
        <f t="shared" si="1"/>
        <v>0</v>
      </c>
      <c r="F50" s="62"/>
      <c r="G50" s="63"/>
      <c r="H50" s="63"/>
      <c r="I50" s="64"/>
    </row>
    <row r="51" spans="1:9" s="65" customFormat="1" ht="15" x14ac:dyDescent="0.2">
      <c r="A51" s="457" t="s">
        <v>565</v>
      </c>
      <c r="B51" s="521">
        <v>0</v>
      </c>
      <c r="C51" s="1400">
        <v>0</v>
      </c>
      <c r="D51" s="1400">
        <v>0</v>
      </c>
      <c r="E51" s="459">
        <f t="shared" si="1"/>
        <v>0</v>
      </c>
      <c r="F51" s="62"/>
      <c r="G51" s="63"/>
      <c r="H51" s="63"/>
      <c r="I51" s="64"/>
    </row>
    <row r="52" spans="1:9" s="65" customFormat="1" ht="15" x14ac:dyDescent="0.2">
      <c r="A52" s="457" t="s">
        <v>566</v>
      </c>
      <c r="B52" s="521">
        <v>0</v>
      </c>
      <c r="C52" s="1400">
        <v>0</v>
      </c>
      <c r="D52" s="1400">
        <v>0</v>
      </c>
      <c r="E52" s="459">
        <f t="shared" si="1"/>
        <v>0</v>
      </c>
      <c r="F52" s="62"/>
      <c r="G52" s="63"/>
      <c r="H52" s="63"/>
      <c r="I52" s="64"/>
    </row>
    <row r="53" spans="1:9" s="65" customFormat="1" ht="45" x14ac:dyDescent="0.2">
      <c r="A53" s="457" t="s">
        <v>10</v>
      </c>
      <c r="B53" s="521">
        <v>773196794</v>
      </c>
      <c r="C53" s="1400">
        <v>1023596222</v>
      </c>
      <c r="D53" s="1400">
        <v>1023596222</v>
      </c>
      <c r="E53" s="459">
        <f t="shared" si="1"/>
        <v>0</v>
      </c>
      <c r="F53" s="62"/>
      <c r="G53" s="63"/>
      <c r="H53" s="63"/>
      <c r="I53" s="64"/>
    </row>
    <row r="54" spans="1:9" s="65" customFormat="1" ht="30" x14ac:dyDescent="0.2">
      <c r="A54" s="311" t="s">
        <v>567</v>
      </c>
      <c r="B54" s="521">
        <v>279579774</v>
      </c>
      <c r="C54" s="1400">
        <v>279579774</v>
      </c>
      <c r="D54" s="1400">
        <v>279579774</v>
      </c>
      <c r="E54" s="459">
        <f t="shared" si="1"/>
        <v>0</v>
      </c>
      <c r="F54" s="62"/>
      <c r="G54" s="63"/>
      <c r="H54" s="63"/>
      <c r="I54" s="64"/>
    </row>
    <row r="55" spans="1:9" s="65" customFormat="1" ht="15" x14ac:dyDescent="0.2">
      <c r="A55" s="457" t="s">
        <v>568</v>
      </c>
      <c r="B55" s="521">
        <v>0</v>
      </c>
      <c r="C55" s="1400">
        <v>0</v>
      </c>
      <c r="D55" s="1400">
        <v>0</v>
      </c>
      <c r="E55" s="459">
        <f t="shared" si="1"/>
        <v>0</v>
      </c>
      <c r="F55" s="62"/>
      <c r="G55" s="63"/>
      <c r="H55" s="63"/>
      <c r="I55" s="64"/>
    </row>
    <row r="56" spans="1:9" s="65" customFormat="1" ht="30" x14ac:dyDescent="0.2">
      <c r="A56" s="457" t="s">
        <v>569</v>
      </c>
      <c r="B56" s="521">
        <v>20000000</v>
      </c>
      <c r="C56" s="1400">
        <v>31949602</v>
      </c>
      <c r="D56" s="1400">
        <v>36896062</v>
      </c>
      <c r="E56" s="459">
        <f t="shared" si="1"/>
        <v>4946460</v>
      </c>
      <c r="F56" s="62"/>
      <c r="G56" s="63"/>
      <c r="H56" s="63"/>
      <c r="I56" s="64"/>
    </row>
    <row r="57" spans="1:9" s="65" customFormat="1" ht="30" x14ac:dyDescent="0.2">
      <c r="A57" s="313" t="s">
        <v>505</v>
      </c>
      <c r="B57" s="521">
        <v>0</v>
      </c>
      <c r="C57" s="526">
        <v>0</v>
      </c>
      <c r="D57" s="526">
        <v>0</v>
      </c>
      <c r="E57" s="459">
        <f t="shared" si="1"/>
        <v>0</v>
      </c>
      <c r="F57" s="62"/>
      <c r="G57" s="63"/>
      <c r="H57" s="63"/>
      <c r="I57" s="64"/>
    </row>
    <row r="58" spans="1:9" s="65" customFormat="1" ht="15" x14ac:dyDescent="0.2">
      <c r="A58" s="458" t="s">
        <v>570</v>
      </c>
      <c r="B58" s="521">
        <v>0</v>
      </c>
      <c r="C58" s="1400">
        <v>0</v>
      </c>
      <c r="D58" s="1400">
        <v>0</v>
      </c>
      <c r="E58" s="459">
        <f t="shared" si="1"/>
        <v>0</v>
      </c>
      <c r="F58" s="62"/>
      <c r="G58" s="63"/>
      <c r="H58" s="63"/>
      <c r="I58" s="64"/>
    </row>
    <row r="59" spans="1:9" s="65" customFormat="1" ht="15" x14ac:dyDescent="0.2">
      <c r="A59" s="311" t="s">
        <v>571</v>
      </c>
      <c r="B59" s="521">
        <v>0</v>
      </c>
      <c r="C59" s="1400">
        <v>0</v>
      </c>
      <c r="D59" s="1400">
        <v>0</v>
      </c>
      <c r="E59" s="459">
        <f t="shared" si="1"/>
        <v>0</v>
      </c>
      <c r="F59" s="62"/>
      <c r="G59" s="63"/>
      <c r="H59" s="63"/>
      <c r="I59" s="64"/>
    </row>
    <row r="60" spans="1:9" s="65" customFormat="1" ht="45" x14ac:dyDescent="0.2">
      <c r="A60" s="311" t="s">
        <v>572</v>
      </c>
      <c r="B60" s="521">
        <v>0</v>
      </c>
      <c r="C60" s="1400">
        <v>0</v>
      </c>
      <c r="D60" s="1400">
        <v>0</v>
      </c>
      <c r="E60" s="459">
        <f t="shared" si="1"/>
        <v>0</v>
      </c>
      <c r="F60" s="62"/>
      <c r="G60" s="63"/>
      <c r="H60" s="63"/>
      <c r="I60" s="64"/>
    </row>
    <row r="61" spans="1:9" s="65" customFormat="1" ht="30" x14ac:dyDescent="0.2">
      <c r="A61" s="463" t="s">
        <v>573</v>
      </c>
      <c r="B61" s="521">
        <v>0</v>
      </c>
      <c r="C61" s="1400">
        <v>0</v>
      </c>
      <c r="D61" s="1400">
        <v>0</v>
      </c>
      <c r="E61" s="459">
        <f t="shared" si="1"/>
        <v>0</v>
      </c>
      <c r="F61" s="62"/>
      <c r="G61" s="63"/>
      <c r="H61" s="63"/>
      <c r="I61" s="64"/>
    </row>
    <row r="62" spans="1:9" s="65" customFormat="1" ht="30" x14ac:dyDescent="0.2">
      <c r="A62" s="311" t="s">
        <v>574</v>
      </c>
      <c r="B62" s="519">
        <v>0</v>
      </c>
      <c r="C62" s="526">
        <v>0</v>
      </c>
      <c r="D62" s="526">
        <v>0</v>
      </c>
      <c r="E62" s="459">
        <f t="shared" si="1"/>
        <v>0</v>
      </c>
      <c r="F62" s="62"/>
      <c r="G62" s="63"/>
      <c r="H62" s="63"/>
      <c r="I62" s="64"/>
    </row>
    <row r="63" spans="1:9" s="65" customFormat="1" ht="15" x14ac:dyDescent="0.2">
      <c r="A63" s="222" t="s">
        <v>997</v>
      </c>
      <c r="B63" s="601">
        <v>185885805</v>
      </c>
      <c r="C63" s="1401">
        <v>181452932</v>
      </c>
      <c r="D63" s="1401">
        <v>181452932</v>
      </c>
      <c r="E63" s="459">
        <f t="shared" si="1"/>
        <v>0</v>
      </c>
      <c r="F63" s="62"/>
      <c r="G63" s="63"/>
      <c r="H63" s="63"/>
      <c r="I63" s="64"/>
    </row>
    <row r="64" spans="1:9" s="65" customFormat="1" ht="15" x14ac:dyDescent="0.2">
      <c r="A64" s="222" t="s">
        <v>575</v>
      </c>
      <c r="B64" s="519">
        <v>109407399</v>
      </c>
      <c r="C64" s="526">
        <v>109407399</v>
      </c>
      <c r="D64" s="526">
        <v>109407399</v>
      </c>
      <c r="E64" s="459">
        <f t="shared" si="1"/>
        <v>0</v>
      </c>
      <c r="F64" s="62"/>
      <c r="G64" s="63"/>
      <c r="H64" s="63"/>
      <c r="I64" s="64"/>
    </row>
    <row r="65" spans="1:9" s="65" customFormat="1" ht="15" x14ac:dyDescent="0.2">
      <c r="A65" s="222" t="s">
        <v>579</v>
      </c>
      <c r="B65" s="519">
        <v>8555970</v>
      </c>
      <c r="C65" s="526">
        <v>8555970</v>
      </c>
      <c r="D65" s="526">
        <v>8555970</v>
      </c>
      <c r="E65" s="459">
        <f t="shared" si="1"/>
        <v>0</v>
      </c>
      <c r="F65" s="62"/>
      <c r="G65" s="63"/>
      <c r="H65" s="63"/>
      <c r="I65" s="64"/>
    </row>
    <row r="66" spans="1:9" s="65" customFormat="1" ht="15" x14ac:dyDescent="0.2">
      <c r="A66" s="458" t="s">
        <v>666</v>
      </c>
      <c r="B66" s="523">
        <v>27452757</v>
      </c>
      <c r="C66" s="633">
        <v>27452757</v>
      </c>
      <c r="D66" s="633">
        <v>27452757</v>
      </c>
      <c r="E66" s="459">
        <f t="shared" si="1"/>
        <v>0</v>
      </c>
      <c r="F66" s="62"/>
      <c r="G66" s="63"/>
      <c r="H66" s="63"/>
      <c r="I66" s="64"/>
    </row>
    <row r="67" spans="1:9" s="65" customFormat="1" ht="15" x14ac:dyDescent="0.2">
      <c r="A67" s="311" t="s">
        <v>582</v>
      </c>
      <c r="B67" s="519">
        <v>2112963</v>
      </c>
      <c r="C67" s="526">
        <v>2112963</v>
      </c>
      <c r="D67" s="526">
        <v>2112963</v>
      </c>
      <c r="E67" s="459">
        <f t="shared" si="1"/>
        <v>0</v>
      </c>
      <c r="F67" s="62"/>
      <c r="G67" s="63"/>
      <c r="H67" s="63"/>
      <c r="I67" s="64"/>
    </row>
    <row r="68" spans="1:9" s="65" customFormat="1" ht="15" x14ac:dyDescent="0.2">
      <c r="A68" s="311" t="s">
        <v>667</v>
      </c>
      <c r="B68" s="519">
        <v>20320000</v>
      </c>
      <c r="C68" s="526">
        <v>20320000</v>
      </c>
      <c r="D68" s="526">
        <v>20320000</v>
      </c>
      <c r="E68" s="459">
        <f t="shared" si="1"/>
        <v>0</v>
      </c>
      <c r="F68" s="62"/>
      <c r="G68" s="63"/>
      <c r="H68" s="63"/>
      <c r="I68" s="64"/>
    </row>
    <row r="69" spans="1:9" s="65" customFormat="1" ht="15" x14ac:dyDescent="0.2">
      <c r="A69" s="311" t="s">
        <v>586</v>
      </c>
      <c r="B69" s="519">
        <v>2877249</v>
      </c>
      <c r="C69" s="526">
        <v>2877249</v>
      </c>
      <c r="D69" s="526">
        <v>2877249</v>
      </c>
      <c r="E69" s="459">
        <f t="shared" si="1"/>
        <v>0</v>
      </c>
      <c r="F69" s="62"/>
      <c r="G69" s="63"/>
      <c r="H69" s="63"/>
      <c r="I69" s="64"/>
    </row>
    <row r="70" spans="1:9" s="65" customFormat="1" ht="15" x14ac:dyDescent="0.2">
      <c r="A70" s="688" t="s">
        <v>668</v>
      </c>
      <c r="B70" s="521">
        <v>45000000</v>
      </c>
      <c r="C70" s="1400">
        <v>45000000</v>
      </c>
      <c r="D70" s="1400">
        <v>45000000</v>
      </c>
      <c r="E70" s="459">
        <f t="shared" si="1"/>
        <v>0</v>
      </c>
      <c r="F70" s="62"/>
      <c r="G70" s="63"/>
      <c r="H70" s="63"/>
      <c r="I70" s="64"/>
    </row>
    <row r="71" spans="1:9" s="65" customFormat="1" ht="15" x14ac:dyDescent="0.2">
      <c r="A71" s="688" t="s">
        <v>669</v>
      </c>
      <c r="B71" s="521">
        <v>21000000</v>
      </c>
      <c r="C71" s="1400">
        <v>21000000</v>
      </c>
      <c r="D71" s="1400">
        <v>21000000</v>
      </c>
      <c r="E71" s="459">
        <f t="shared" si="1"/>
        <v>0</v>
      </c>
      <c r="F71" s="62"/>
      <c r="G71" s="63"/>
      <c r="H71" s="63"/>
      <c r="I71" s="64"/>
    </row>
    <row r="72" spans="1:9" s="65" customFormat="1" ht="15" x14ac:dyDescent="0.2">
      <c r="A72" s="688" t="s">
        <v>670</v>
      </c>
      <c r="B72" s="521">
        <v>25000000</v>
      </c>
      <c r="C72" s="1400">
        <v>25000000</v>
      </c>
      <c r="D72" s="1400">
        <v>25000000</v>
      </c>
      <c r="E72" s="459">
        <f t="shared" si="1"/>
        <v>0</v>
      </c>
      <c r="F72" s="62"/>
      <c r="G72" s="63"/>
      <c r="H72" s="63"/>
      <c r="I72" s="64"/>
    </row>
    <row r="73" spans="1:9" s="65" customFormat="1" ht="15" x14ac:dyDescent="0.2">
      <c r="A73" s="688" t="s">
        <v>671</v>
      </c>
      <c r="B73" s="521">
        <v>45590000</v>
      </c>
      <c r="C73" s="1400">
        <v>45590000</v>
      </c>
      <c r="D73" s="1400">
        <v>45590000</v>
      </c>
      <c r="E73" s="459">
        <f t="shared" si="1"/>
        <v>0</v>
      </c>
      <c r="F73" s="62"/>
      <c r="G73" s="63"/>
      <c r="H73" s="63"/>
      <c r="I73" s="64"/>
    </row>
    <row r="74" spans="1:9" s="65" customFormat="1" ht="15.75" thickBot="1" x14ac:dyDescent="0.25">
      <c r="A74" s="532" t="s">
        <v>672</v>
      </c>
      <c r="B74" s="520">
        <v>32980000</v>
      </c>
      <c r="C74" s="1393">
        <v>32980000</v>
      </c>
      <c r="D74" s="1393">
        <v>32980000</v>
      </c>
      <c r="E74" s="631">
        <f t="shared" si="1"/>
        <v>0</v>
      </c>
      <c r="F74" s="62"/>
      <c r="G74" s="63"/>
      <c r="H74" s="63"/>
      <c r="I74" s="64"/>
    </row>
    <row r="75" spans="1:9" s="65" customFormat="1" ht="45.75" thickBot="1" x14ac:dyDescent="0.25">
      <c r="A75" s="531" t="s">
        <v>86</v>
      </c>
      <c r="B75" s="1291" t="s">
        <v>657</v>
      </c>
      <c r="C75" s="390" t="s">
        <v>1041</v>
      </c>
      <c r="D75" s="390" t="s">
        <v>1088</v>
      </c>
      <c r="E75" s="391" t="s">
        <v>983</v>
      </c>
      <c r="F75" s="62"/>
      <c r="G75" s="63"/>
      <c r="H75" s="63"/>
      <c r="I75" s="64"/>
    </row>
    <row r="76" spans="1:9" s="65" customFormat="1" ht="45" x14ac:dyDescent="0.2">
      <c r="A76" s="632" t="s">
        <v>608</v>
      </c>
      <c r="B76" s="599">
        <v>27535688</v>
      </c>
      <c r="C76" s="1398">
        <v>27535688</v>
      </c>
      <c r="D76" s="1398">
        <v>27535688</v>
      </c>
      <c r="E76" s="672">
        <f t="shared" ref="E76:E96" si="2">D76-C76</f>
        <v>0</v>
      </c>
      <c r="F76" s="62"/>
      <c r="G76" s="63"/>
      <c r="H76" s="63"/>
      <c r="I76" s="64"/>
    </row>
    <row r="77" spans="1:9" s="65" customFormat="1" ht="15" x14ac:dyDescent="0.2">
      <c r="A77" s="311" t="s">
        <v>599</v>
      </c>
      <c r="B77" s="519">
        <v>321590000</v>
      </c>
      <c r="C77" s="526">
        <v>321590000</v>
      </c>
      <c r="D77" s="526">
        <v>321590000</v>
      </c>
      <c r="E77" s="459">
        <f t="shared" si="2"/>
        <v>0</v>
      </c>
      <c r="F77" s="62"/>
      <c r="G77" s="63"/>
      <c r="H77" s="63"/>
      <c r="I77" s="64"/>
    </row>
    <row r="78" spans="1:9" s="65" customFormat="1" ht="45" x14ac:dyDescent="0.2">
      <c r="A78" s="572" t="s">
        <v>612</v>
      </c>
      <c r="B78" s="519">
        <v>999966</v>
      </c>
      <c r="C78" s="526">
        <v>999966</v>
      </c>
      <c r="D78" s="526">
        <v>999966</v>
      </c>
      <c r="E78" s="459">
        <f t="shared" si="2"/>
        <v>0</v>
      </c>
      <c r="F78" s="62"/>
      <c r="G78" s="63"/>
      <c r="H78" s="63"/>
      <c r="I78" s="64"/>
    </row>
    <row r="79" spans="1:9" s="65" customFormat="1" ht="30" x14ac:dyDescent="0.2">
      <c r="A79" s="572" t="s">
        <v>638</v>
      </c>
      <c r="B79" s="519">
        <v>444500</v>
      </c>
      <c r="C79" s="526">
        <v>444500</v>
      </c>
      <c r="D79" s="526">
        <v>444500</v>
      </c>
      <c r="E79" s="459">
        <f t="shared" si="2"/>
        <v>0</v>
      </c>
      <c r="F79" s="62"/>
      <c r="G79" s="63"/>
      <c r="H79" s="63"/>
      <c r="I79" s="64"/>
    </row>
    <row r="80" spans="1:9" s="65" customFormat="1" ht="15" x14ac:dyDescent="0.2">
      <c r="A80" s="644" t="s">
        <v>640</v>
      </c>
      <c r="B80" s="519">
        <v>2000000</v>
      </c>
      <c r="C80" s="526">
        <v>2000000</v>
      </c>
      <c r="D80" s="526">
        <v>2000000</v>
      </c>
      <c r="E80" s="459">
        <f t="shared" si="2"/>
        <v>0</v>
      </c>
      <c r="F80" s="62"/>
      <c r="G80" s="63"/>
      <c r="H80" s="63"/>
      <c r="I80" s="64"/>
    </row>
    <row r="81" spans="1:9" s="65" customFormat="1" ht="15" x14ac:dyDescent="0.2">
      <c r="A81" s="644" t="s">
        <v>641</v>
      </c>
      <c r="B81" s="519">
        <v>2481115</v>
      </c>
      <c r="C81" s="526">
        <v>2481115</v>
      </c>
      <c r="D81" s="526">
        <v>2481115</v>
      </c>
      <c r="E81" s="459">
        <f t="shared" si="2"/>
        <v>0</v>
      </c>
      <c r="F81" s="62"/>
      <c r="G81" s="63"/>
      <c r="H81" s="63"/>
      <c r="I81" s="64"/>
    </row>
    <row r="82" spans="1:9" s="65" customFormat="1" ht="30" x14ac:dyDescent="0.2">
      <c r="A82" s="644" t="s">
        <v>673</v>
      </c>
      <c r="B82" s="519">
        <v>11000000</v>
      </c>
      <c r="C82" s="526">
        <v>11000000</v>
      </c>
      <c r="D82" s="526">
        <v>11000000</v>
      </c>
      <c r="E82" s="459">
        <f t="shared" si="2"/>
        <v>0</v>
      </c>
      <c r="F82" s="62"/>
      <c r="G82" s="63"/>
      <c r="H82" s="63"/>
      <c r="I82" s="64"/>
    </row>
    <row r="83" spans="1:9" s="65" customFormat="1" ht="15" x14ac:dyDescent="0.2">
      <c r="A83" s="572" t="s">
        <v>700</v>
      </c>
      <c r="B83" s="519">
        <v>20000000</v>
      </c>
      <c r="C83" s="526">
        <v>20000000</v>
      </c>
      <c r="D83" s="526">
        <v>20000000</v>
      </c>
      <c r="E83" s="459">
        <f t="shared" si="2"/>
        <v>0</v>
      </c>
      <c r="F83" s="62"/>
      <c r="G83" s="63"/>
      <c r="H83" s="63"/>
      <c r="I83" s="64"/>
    </row>
    <row r="84" spans="1:9" s="65" customFormat="1" ht="30" x14ac:dyDescent="0.2">
      <c r="A84" s="311" t="s">
        <v>601</v>
      </c>
      <c r="B84" s="257">
        <v>75846433</v>
      </c>
      <c r="C84" s="206">
        <v>75846433</v>
      </c>
      <c r="D84" s="206">
        <v>75846433</v>
      </c>
      <c r="E84" s="459">
        <f t="shared" si="2"/>
        <v>0</v>
      </c>
      <c r="F84" s="62"/>
      <c r="G84" s="63"/>
      <c r="H84" s="63"/>
      <c r="I84" s="64"/>
    </row>
    <row r="85" spans="1:9" s="65" customFormat="1" ht="15" x14ac:dyDescent="0.2">
      <c r="A85" s="311" t="s">
        <v>604</v>
      </c>
      <c r="B85" s="257">
        <v>229426923</v>
      </c>
      <c r="C85" s="206">
        <v>184466256</v>
      </c>
      <c r="D85" s="206">
        <v>184466256</v>
      </c>
      <c r="E85" s="459">
        <f t="shared" si="2"/>
        <v>0</v>
      </c>
      <c r="F85" s="62"/>
      <c r="G85" s="63"/>
      <c r="H85" s="63"/>
      <c r="I85" s="64"/>
    </row>
    <row r="86" spans="1:9" s="65" customFormat="1" ht="30" x14ac:dyDescent="0.2">
      <c r="A86" s="311" t="s">
        <v>620</v>
      </c>
      <c r="B86" s="257">
        <v>40000000</v>
      </c>
      <c r="C86" s="206">
        <v>40000000</v>
      </c>
      <c r="D86" s="206">
        <v>40000000</v>
      </c>
      <c r="E86" s="459">
        <f t="shared" si="2"/>
        <v>0</v>
      </c>
      <c r="F86" s="62"/>
      <c r="G86" s="63"/>
      <c r="H86" s="63"/>
      <c r="I86" s="64"/>
    </row>
    <row r="87" spans="1:9" s="65" customFormat="1" ht="15" x14ac:dyDescent="0.2">
      <c r="A87" s="311" t="s">
        <v>606</v>
      </c>
      <c r="B87" s="257">
        <v>677437</v>
      </c>
      <c r="C87" s="206">
        <v>677437</v>
      </c>
      <c r="D87" s="206">
        <v>677437</v>
      </c>
      <c r="E87" s="459">
        <f t="shared" si="2"/>
        <v>0</v>
      </c>
      <c r="F87" s="62"/>
      <c r="G87" s="63"/>
      <c r="H87" s="63"/>
      <c r="I87" s="64"/>
    </row>
    <row r="88" spans="1:9" s="65" customFormat="1" ht="15" x14ac:dyDescent="0.2">
      <c r="A88" s="311" t="s">
        <v>587</v>
      </c>
      <c r="B88" s="519">
        <v>1311200</v>
      </c>
      <c r="C88" s="526">
        <v>1311200</v>
      </c>
      <c r="D88" s="526">
        <v>1311200</v>
      </c>
      <c r="E88" s="459">
        <f t="shared" si="2"/>
        <v>0</v>
      </c>
      <c r="F88" s="62"/>
      <c r="G88" s="63"/>
      <c r="H88" s="63"/>
      <c r="I88" s="64"/>
    </row>
    <row r="89" spans="1:9" s="65" customFormat="1" ht="30" x14ac:dyDescent="0.2">
      <c r="A89" s="311" t="s">
        <v>588</v>
      </c>
      <c r="B89" s="257">
        <v>29998700</v>
      </c>
      <c r="C89" s="206">
        <v>29998700</v>
      </c>
      <c r="D89" s="206">
        <v>29998700</v>
      </c>
      <c r="E89" s="459">
        <f t="shared" si="2"/>
        <v>0</v>
      </c>
      <c r="F89" s="62"/>
      <c r="G89" s="63"/>
      <c r="H89" s="63"/>
      <c r="I89" s="64"/>
    </row>
    <row r="90" spans="1:9" s="65" customFormat="1" ht="15" x14ac:dyDescent="0.2">
      <c r="A90" s="311" t="s">
        <v>605</v>
      </c>
      <c r="B90" s="257">
        <v>12725400</v>
      </c>
      <c r="C90" s="206">
        <v>12725400</v>
      </c>
      <c r="D90" s="206">
        <v>12725400</v>
      </c>
      <c r="E90" s="459">
        <f t="shared" si="2"/>
        <v>0</v>
      </c>
      <c r="F90" s="62"/>
      <c r="G90" s="63"/>
      <c r="H90" s="63"/>
      <c r="I90" s="64"/>
    </row>
    <row r="91" spans="1:9" s="65" customFormat="1" ht="15" x14ac:dyDescent="0.2">
      <c r="A91" s="688" t="s">
        <v>674</v>
      </c>
      <c r="B91" s="689">
        <v>803783</v>
      </c>
      <c r="C91" s="1402">
        <v>803783</v>
      </c>
      <c r="D91" s="1402">
        <v>803783</v>
      </c>
      <c r="E91" s="459">
        <f t="shared" si="2"/>
        <v>0</v>
      </c>
      <c r="F91" s="62"/>
      <c r="G91" s="63"/>
      <c r="H91" s="63"/>
      <c r="I91" s="64"/>
    </row>
    <row r="92" spans="1:9" s="65" customFormat="1" ht="15" x14ac:dyDescent="0.2">
      <c r="A92" s="311" t="s">
        <v>583</v>
      </c>
      <c r="B92" s="519">
        <v>11980507</v>
      </c>
      <c r="C92" s="526">
        <v>11354810</v>
      </c>
      <c r="D92" s="526">
        <v>11354810</v>
      </c>
      <c r="E92" s="459">
        <f t="shared" si="2"/>
        <v>0</v>
      </c>
      <c r="F92" s="62"/>
      <c r="G92" s="63"/>
      <c r="H92" s="63"/>
      <c r="I92" s="64"/>
    </row>
    <row r="93" spans="1:9" s="65" customFormat="1" ht="15" x14ac:dyDescent="0.2">
      <c r="A93" s="688" t="s">
        <v>1029</v>
      </c>
      <c r="B93" s="521"/>
      <c r="C93" s="689">
        <v>974947</v>
      </c>
      <c r="D93" s="689">
        <v>974947</v>
      </c>
      <c r="E93" s="459">
        <f t="shared" si="2"/>
        <v>0</v>
      </c>
      <c r="F93" s="62"/>
      <c r="G93" s="63"/>
      <c r="H93" s="63"/>
      <c r="I93" s="64"/>
    </row>
    <row r="94" spans="1:9" s="65" customFormat="1" ht="15" x14ac:dyDescent="0.2">
      <c r="A94" s="688"/>
      <c r="B94" s="521"/>
      <c r="C94" s="689"/>
      <c r="D94" s="689"/>
      <c r="E94" s="459">
        <f t="shared" si="2"/>
        <v>0</v>
      </c>
      <c r="F94" s="62"/>
      <c r="G94" s="63"/>
      <c r="H94" s="63"/>
      <c r="I94" s="64"/>
    </row>
    <row r="95" spans="1:9" s="65" customFormat="1" ht="15" x14ac:dyDescent="0.2">
      <c r="A95" s="688"/>
      <c r="B95" s="521"/>
      <c r="C95" s="689"/>
      <c r="D95" s="689"/>
      <c r="E95" s="459">
        <f t="shared" si="2"/>
        <v>0</v>
      </c>
      <c r="F95" s="62"/>
      <c r="G95" s="63"/>
      <c r="H95" s="63"/>
      <c r="I95" s="64"/>
    </row>
    <row r="96" spans="1:9" s="65" customFormat="1" ht="15" x14ac:dyDescent="0.2">
      <c r="A96" s="688"/>
      <c r="B96" s="521"/>
      <c r="C96" s="521"/>
      <c r="D96" s="521"/>
      <c r="E96" s="459">
        <f t="shared" si="2"/>
        <v>0</v>
      </c>
      <c r="F96" s="62"/>
      <c r="G96" s="63"/>
      <c r="H96" s="63"/>
      <c r="I96" s="64"/>
    </row>
    <row r="97" spans="1:9" s="65" customFormat="1" ht="24" customHeight="1" thickBot="1" x14ac:dyDescent="0.3">
      <c r="A97" s="220" t="s">
        <v>215</v>
      </c>
      <c r="B97" s="322">
        <f>SUM(B8:B96)</f>
        <v>3444241983</v>
      </c>
      <c r="C97" s="207">
        <f>SUM(C8:C96)</f>
        <v>2839031695</v>
      </c>
      <c r="D97" s="207">
        <f>SUM(D8:D96)</f>
        <v>2843978155</v>
      </c>
      <c r="E97" s="1532">
        <f>SUM(E8:E96)</f>
        <v>4946460</v>
      </c>
      <c r="F97" s="56"/>
      <c r="G97" s="63"/>
      <c r="H97" s="63"/>
      <c r="I97" s="64"/>
    </row>
    <row r="98" spans="1:9" s="65" customFormat="1" ht="42" customHeight="1" thickBot="1" x14ac:dyDescent="0.25">
      <c r="A98" s="374" t="s">
        <v>86</v>
      </c>
      <c r="B98" s="556" t="s">
        <v>657</v>
      </c>
      <c r="C98" s="390" t="s">
        <v>1041</v>
      </c>
      <c r="D98" s="390" t="s">
        <v>1088</v>
      </c>
      <c r="E98" s="391" t="s">
        <v>983</v>
      </c>
      <c r="F98" s="56"/>
      <c r="G98" s="63"/>
      <c r="H98" s="63"/>
      <c r="I98" s="64"/>
    </row>
    <row r="99" spans="1:9" s="65" customFormat="1" ht="24" customHeight="1" x14ac:dyDescent="0.25">
      <c r="A99" s="82" t="s">
        <v>362</v>
      </c>
      <c r="B99" s="522"/>
      <c r="C99" s="600"/>
      <c r="D99" s="600"/>
      <c r="E99" s="673"/>
      <c r="F99" s="56"/>
      <c r="G99" s="63"/>
      <c r="H99" s="63"/>
      <c r="I99" s="64"/>
    </row>
    <row r="100" spans="1:9" s="65" customFormat="1" ht="18" customHeight="1" x14ac:dyDescent="0.2">
      <c r="A100" s="221" t="s">
        <v>704</v>
      </c>
      <c r="B100" s="601">
        <v>15000000</v>
      </c>
      <c r="C100" s="1401">
        <v>1466730</v>
      </c>
      <c r="D100" s="1401">
        <v>509485</v>
      </c>
      <c r="E100" s="459">
        <f t="shared" ref="E100:E130" si="3">D100-C100</f>
        <v>-957245</v>
      </c>
      <c r="F100" s="62"/>
      <c r="G100" s="63"/>
      <c r="H100" s="63"/>
      <c r="I100" s="64"/>
    </row>
    <row r="101" spans="1:9" s="65" customFormat="1" ht="18" customHeight="1" x14ac:dyDescent="0.2">
      <c r="A101" s="718" t="s">
        <v>705</v>
      </c>
      <c r="B101" s="601">
        <v>10000000</v>
      </c>
      <c r="C101" s="1401">
        <v>166958</v>
      </c>
      <c r="D101" s="1401">
        <v>116958</v>
      </c>
      <c r="E101" s="459">
        <f t="shared" si="3"/>
        <v>-50000</v>
      </c>
      <c r="F101" s="62"/>
      <c r="G101" s="63"/>
      <c r="H101" s="63"/>
      <c r="I101" s="64"/>
    </row>
    <row r="102" spans="1:9" s="65" customFormat="1" ht="18" customHeight="1" x14ac:dyDescent="0.2">
      <c r="A102" s="688" t="s">
        <v>675</v>
      </c>
      <c r="B102" s="601">
        <v>43650000</v>
      </c>
      <c r="C102" s="1401">
        <v>43650000</v>
      </c>
      <c r="D102" s="1401">
        <v>43650000</v>
      </c>
      <c r="E102" s="459">
        <f t="shared" si="3"/>
        <v>0</v>
      </c>
      <c r="F102" s="62"/>
      <c r="G102" s="63"/>
      <c r="H102" s="63"/>
      <c r="I102" s="64"/>
    </row>
    <row r="103" spans="1:9" s="65" customFormat="1" ht="18" customHeight="1" x14ac:dyDescent="0.2">
      <c r="A103" s="688" t="s">
        <v>676</v>
      </c>
      <c r="B103" s="601">
        <v>43650000</v>
      </c>
      <c r="C103" s="1401">
        <v>43650000</v>
      </c>
      <c r="D103" s="1401">
        <v>43650000</v>
      </c>
      <c r="E103" s="459">
        <f t="shared" si="3"/>
        <v>0</v>
      </c>
      <c r="F103" s="62"/>
      <c r="G103" s="63"/>
      <c r="H103" s="63"/>
      <c r="I103" s="64"/>
    </row>
    <row r="104" spans="1:9" s="65" customFormat="1" ht="18" customHeight="1" x14ac:dyDescent="0.2">
      <c r="A104" s="572" t="s">
        <v>677</v>
      </c>
      <c r="B104" s="601">
        <v>45590000</v>
      </c>
      <c r="C104" s="1401">
        <v>45590000</v>
      </c>
      <c r="D104" s="1401">
        <v>45590000</v>
      </c>
      <c r="E104" s="459">
        <f t="shared" si="3"/>
        <v>0</v>
      </c>
      <c r="F104" s="62"/>
      <c r="G104" s="63"/>
      <c r="H104" s="63"/>
      <c r="I104" s="64"/>
    </row>
    <row r="105" spans="1:9" s="65" customFormat="1" ht="45" x14ac:dyDescent="0.2">
      <c r="A105" s="222" t="s">
        <v>637</v>
      </c>
      <c r="B105" s="601">
        <v>14219202</v>
      </c>
      <c r="C105" s="1401">
        <v>14371602</v>
      </c>
      <c r="D105" s="1401">
        <v>14371602</v>
      </c>
      <c r="E105" s="459">
        <f t="shared" si="3"/>
        <v>0</v>
      </c>
      <c r="F105" s="62"/>
      <c r="G105" s="63"/>
      <c r="H105" s="63"/>
      <c r="I105" s="64"/>
    </row>
    <row r="106" spans="1:9" s="65" customFormat="1" ht="15" x14ac:dyDescent="0.2">
      <c r="A106" s="222" t="s">
        <v>576</v>
      </c>
      <c r="B106" s="519">
        <v>30000000</v>
      </c>
      <c r="C106" s="526">
        <v>20000000</v>
      </c>
      <c r="D106" s="526">
        <v>20000000</v>
      </c>
      <c r="E106" s="459">
        <f t="shared" si="3"/>
        <v>0</v>
      </c>
      <c r="F106" s="62"/>
      <c r="G106" s="63"/>
      <c r="H106" s="63"/>
      <c r="I106" s="64"/>
    </row>
    <row r="107" spans="1:9" s="65" customFormat="1" ht="18" customHeight="1" x14ac:dyDescent="0.2">
      <c r="A107" s="222" t="s">
        <v>577</v>
      </c>
      <c r="B107" s="519"/>
      <c r="C107" s="526"/>
      <c r="D107" s="526"/>
      <c r="E107" s="459">
        <f t="shared" si="3"/>
        <v>0</v>
      </c>
      <c r="F107" s="62"/>
      <c r="G107" s="63"/>
      <c r="H107" s="63"/>
      <c r="I107" s="64"/>
    </row>
    <row r="108" spans="1:9" s="65" customFormat="1" ht="18" customHeight="1" x14ac:dyDescent="0.2">
      <c r="A108" s="222" t="s">
        <v>578</v>
      </c>
      <c r="B108" s="519">
        <v>8000000</v>
      </c>
      <c r="C108" s="526">
        <v>8000000</v>
      </c>
      <c r="D108" s="526">
        <v>8000000</v>
      </c>
      <c r="E108" s="459">
        <f t="shared" si="3"/>
        <v>0</v>
      </c>
      <c r="F108" s="62"/>
      <c r="G108" s="63"/>
      <c r="H108" s="63"/>
      <c r="I108" s="64"/>
    </row>
    <row r="109" spans="1:9" s="65" customFormat="1" ht="18" customHeight="1" x14ac:dyDescent="0.2">
      <c r="A109" s="222" t="s">
        <v>706</v>
      </c>
      <c r="B109" s="519">
        <v>6000000</v>
      </c>
      <c r="C109" s="526">
        <v>6000000</v>
      </c>
      <c r="D109" s="526">
        <v>6000000</v>
      </c>
      <c r="E109" s="459">
        <f t="shared" si="3"/>
        <v>0</v>
      </c>
      <c r="F109" s="62"/>
      <c r="G109" s="63"/>
      <c r="H109" s="63"/>
      <c r="I109" s="64"/>
    </row>
    <row r="110" spans="1:9" s="65" customFormat="1" ht="15" x14ac:dyDescent="0.2">
      <c r="A110" s="632" t="s">
        <v>707</v>
      </c>
      <c r="B110" s="523">
        <v>4000000</v>
      </c>
      <c r="C110" s="633">
        <v>4000000</v>
      </c>
      <c r="D110" s="633">
        <v>4000000</v>
      </c>
      <c r="E110" s="459">
        <f t="shared" si="3"/>
        <v>0</v>
      </c>
      <c r="F110" s="62"/>
      <c r="G110" s="63"/>
      <c r="H110" s="63"/>
      <c r="I110" s="64"/>
    </row>
    <row r="111" spans="1:9" s="65" customFormat="1" ht="16.5" customHeight="1" x14ac:dyDescent="0.2">
      <c r="A111" s="719" t="s">
        <v>708</v>
      </c>
      <c r="B111" s="519">
        <v>6000000</v>
      </c>
      <c r="C111" s="526">
        <v>6000000</v>
      </c>
      <c r="D111" s="526">
        <v>6000000</v>
      </c>
      <c r="E111" s="459">
        <f t="shared" si="3"/>
        <v>0</v>
      </c>
      <c r="F111" s="62"/>
      <c r="G111" s="63"/>
      <c r="H111" s="63"/>
      <c r="I111" s="64"/>
    </row>
    <row r="112" spans="1:9" s="65" customFormat="1" ht="16.5" customHeight="1" x14ac:dyDescent="0.2">
      <c r="A112" s="720" t="s">
        <v>709</v>
      </c>
      <c r="B112" s="519">
        <v>13000000</v>
      </c>
      <c r="C112" s="526">
        <v>0</v>
      </c>
      <c r="D112" s="526">
        <v>0</v>
      </c>
      <c r="E112" s="459">
        <f t="shared" si="3"/>
        <v>0</v>
      </c>
      <c r="F112" s="62"/>
      <c r="G112" s="63"/>
      <c r="H112" s="63"/>
      <c r="I112" s="64"/>
    </row>
    <row r="113" spans="1:9" s="65" customFormat="1" ht="16.5" customHeight="1" x14ac:dyDescent="0.2">
      <c r="A113" s="720" t="s">
        <v>1055</v>
      </c>
      <c r="B113" s="519"/>
      <c r="C113" s="526">
        <v>3152140</v>
      </c>
      <c r="D113" s="526">
        <v>3152140</v>
      </c>
      <c r="E113" s="459">
        <f t="shared" si="3"/>
        <v>0</v>
      </c>
      <c r="F113" s="62"/>
      <c r="G113" s="63"/>
      <c r="H113" s="63"/>
      <c r="I113" s="64"/>
    </row>
    <row r="114" spans="1:9" s="65" customFormat="1" ht="16.5" customHeight="1" x14ac:dyDescent="0.2">
      <c r="A114" s="720" t="s">
        <v>710</v>
      </c>
      <c r="B114" s="519">
        <v>8000000</v>
      </c>
      <c r="C114" s="526">
        <v>0</v>
      </c>
      <c r="D114" s="526">
        <v>0</v>
      </c>
      <c r="E114" s="459">
        <f t="shared" si="3"/>
        <v>0</v>
      </c>
      <c r="F114" s="62"/>
      <c r="G114" s="63"/>
      <c r="H114" s="63"/>
      <c r="I114" s="64"/>
    </row>
    <row r="115" spans="1:9" s="65" customFormat="1" ht="16.5" customHeight="1" x14ac:dyDescent="0.2">
      <c r="A115" s="720" t="s">
        <v>711</v>
      </c>
      <c r="B115" s="519">
        <v>30000000</v>
      </c>
      <c r="C115" s="526">
        <v>1968500</v>
      </c>
      <c r="D115" s="526">
        <v>1968500</v>
      </c>
      <c r="E115" s="459">
        <f t="shared" si="3"/>
        <v>0</v>
      </c>
      <c r="F115" s="62"/>
      <c r="G115" s="63"/>
      <c r="H115" s="63"/>
      <c r="I115" s="64"/>
    </row>
    <row r="116" spans="1:9" s="65" customFormat="1" ht="16.5" customHeight="1" x14ac:dyDescent="0.2">
      <c r="A116" s="720" t="s">
        <v>1056</v>
      </c>
      <c r="B116" s="519"/>
      <c r="C116" s="526">
        <v>62108500</v>
      </c>
      <c r="D116" s="526">
        <v>62108500</v>
      </c>
      <c r="E116" s="459">
        <f t="shared" si="3"/>
        <v>0</v>
      </c>
      <c r="F116" s="62"/>
      <c r="G116" s="63"/>
      <c r="H116" s="63"/>
      <c r="I116" s="64"/>
    </row>
    <row r="117" spans="1:9" s="65" customFormat="1" ht="16.5" customHeight="1" x14ac:dyDescent="0.2">
      <c r="A117" s="720" t="s">
        <v>712</v>
      </c>
      <c r="B117" s="519">
        <v>35000000</v>
      </c>
      <c r="C117" s="526">
        <v>5450650</v>
      </c>
      <c r="D117" s="526">
        <v>1200650</v>
      </c>
      <c r="E117" s="459">
        <f t="shared" si="3"/>
        <v>-4250000</v>
      </c>
      <c r="F117" s="62"/>
      <c r="G117" s="63"/>
      <c r="H117" s="63"/>
      <c r="I117" s="64"/>
    </row>
    <row r="118" spans="1:9" s="65" customFormat="1" ht="16.5" customHeight="1" x14ac:dyDescent="0.2">
      <c r="A118" s="462" t="s">
        <v>1089</v>
      </c>
      <c r="B118" s="519"/>
      <c r="C118" s="526"/>
      <c r="D118" s="526">
        <v>3810000</v>
      </c>
      <c r="E118" s="459">
        <f t="shared" si="3"/>
        <v>3810000</v>
      </c>
      <c r="F118" s="62"/>
      <c r="G118" s="63"/>
      <c r="H118" s="63"/>
      <c r="I118" s="64"/>
    </row>
    <row r="119" spans="1:9" s="65" customFormat="1" ht="16.5" customHeight="1" x14ac:dyDescent="0.2">
      <c r="A119" s="311" t="s">
        <v>584</v>
      </c>
      <c r="B119" s="519">
        <v>4000000</v>
      </c>
      <c r="C119" s="526">
        <v>4000000</v>
      </c>
      <c r="D119" s="526">
        <v>4000000</v>
      </c>
      <c r="E119" s="459">
        <f t="shared" si="3"/>
        <v>0</v>
      </c>
      <c r="F119" s="62"/>
      <c r="G119" s="63"/>
      <c r="H119" s="63"/>
      <c r="I119" s="64"/>
    </row>
    <row r="120" spans="1:9" s="65" customFormat="1" ht="16.5" customHeight="1" x14ac:dyDescent="0.2">
      <c r="A120" s="311" t="s">
        <v>585</v>
      </c>
      <c r="B120" s="519">
        <v>10000000</v>
      </c>
      <c r="C120" s="526">
        <v>10000000</v>
      </c>
      <c r="D120" s="526">
        <v>10000000</v>
      </c>
      <c r="E120" s="459">
        <f t="shared" si="3"/>
        <v>0</v>
      </c>
      <c r="F120" s="62"/>
      <c r="G120" s="63"/>
      <c r="H120" s="63"/>
      <c r="I120" s="64"/>
    </row>
    <row r="121" spans="1:9" s="65" customFormat="1" ht="15" x14ac:dyDescent="0.2">
      <c r="A121" s="632" t="s">
        <v>713</v>
      </c>
      <c r="B121" s="523">
        <v>17000000</v>
      </c>
      <c r="C121" s="633">
        <v>449814</v>
      </c>
      <c r="D121" s="633">
        <v>449814</v>
      </c>
      <c r="E121" s="459">
        <f t="shared" si="3"/>
        <v>0</v>
      </c>
      <c r="F121" s="62"/>
      <c r="G121" s="63"/>
      <c r="H121" s="63"/>
      <c r="I121" s="64"/>
    </row>
    <row r="122" spans="1:9" s="65" customFormat="1" ht="15" x14ac:dyDescent="0.2">
      <c r="A122" s="632" t="s">
        <v>1030</v>
      </c>
      <c r="B122" s="523"/>
      <c r="C122" s="633">
        <v>2962021</v>
      </c>
      <c r="D122" s="633">
        <v>2962021</v>
      </c>
      <c r="E122" s="459">
        <f t="shared" si="3"/>
        <v>0</v>
      </c>
      <c r="F122" s="62"/>
      <c r="G122" s="63"/>
      <c r="H122" s="63"/>
      <c r="I122" s="64"/>
    </row>
    <row r="123" spans="1:9" s="65" customFormat="1" ht="15" x14ac:dyDescent="0.2">
      <c r="A123" s="632" t="s">
        <v>1031</v>
      </c>
      <c r="B123" s="523"/>
      <c r="C123" s="633">
        <v>5933758</v>
      </c>
      <c r="D123" s="633">
        <v>5933758</v>
      </c>
      <c r="E123" s="459">
        <f t="shared" si="3"/>
        <v>0</v>
      </c>
      <c r="F123" s="62"/>
      <c r="G123" s="63"/>
      <c r="H123" s="63"/>
      <c r="I123" s="64"/>
    </row>
    <row r="124" spans="1:9" s="65" customFormat="1" ht="30" x14ac:dyDescent="0.2">
      <c r="A124" s="632" t="s">
        <v>639</v>
      </c>
      <c r="B124" s="523">
        <v>1115435742</v>
      </c>
      <c r="C124" s="633">
        <v>1115435742</v>
      </c>
      <c r="D124" s="633">
        <v>1115435742</v>
      </c>
      <c r="E124" s="459">
        <f t="shared" si="3"/>
        <v>0</v>
      </c>
      <c r="F124" s="62"/>
      <c r="G124" s="63"/>
      <c r="H124" s="63"/>
      <c r="I124" s="64"/>
    </row>
    <row r="125" spans="1:9" s="65" customFormat="1" ht="30" x14ac:dyDescent="0.2">
      <c r="A125" s="458" t="s">
        <v>6</v>
      </c>
      <c r="B125" s="523">
        <v>601785000</v>
      </c>
      <c r="C125" s="633">
        <v>617633330</v>
      </c>
      <c r="D125" s="633">
        <v>617633330</v>
      </c>
      <c r="E125" s="459">
        <f t="shared" si="3"/>
        <v>0</v>
      </c>
      <c r="F125" s="62"/>
      <c r="G125" s="63"/>
      <c r="H125" s="63"/>
      <c r="I125" s="64"/>
    </row>
    <row r="126" spans="1:9" s="65" customFormat="1" ht="15" x14ac:dyDescent="0.2">
      <c r="A126" s="458" t="s">
        <v>678</v>
      </c>
      <c r="B126" s="523">
        <v>25500000</v>
      </c>
      <c r="C126" s="633">
        <v>25500000</v>
      </c>
      <c r="D126" s="633">
        <v>25500000</v>
      </c>
      <c r="E126" s="459">
        <f t="shared" si="3"/>
        <v>0</v>
      </c>
      <c r="F126" s="62"/>
      <c r="G126" s="63"/>
      <c r="H126" s="63"/>
      <c r="I126" s="64"/>
    </row>
    <row r="127" spans="1:9" s="65" customFormat="1" ht="15" x14ac:dyDescent="0.2">
      <c r="A127" s="458" t="s">
        <v>580</v>
      </c>
      <c r="B127" s="523">
        <v>11000000</v>
      </c>
      <c r="C127" s="633">
        <v>9800000</v>
      </c>
      <c r="D127" s="633">
        <v>9800000</v>
      </c>
      <c r="E127" s="459">
        <f t="shared" si="3"/>
        <v>0</v>
      </c>
      <c r="F127" s="62"/>
      <c r="G127" s="63"/>
      <c r="H127" s="63"/>
      <c r="I127" s="64"/>
    </row>
    <row r="128" spans="1:9" s="65" customFormat="1" ht="15" x14ac:dyDescent="0.2">
      <c r="A128" s="458" t="s">
        <v>619</v>
      </c>
      <c r="B128" s="523">
        <v>4500000</v>
      </c>
      <c r="C128" s="633">
        <v>7031984</v>
      </c>
      <c r="D128" s="633">
        <v>7031984</v>
      </c>
      <c r="E128" s="459">
        <f t="shared" si="3"/>
        <v>0</v>
      </c>
      <c r="F128" s="62"/>
      <c r="G128" s="63"/>
      <c r="H128" s="63"/>
      <c r="I128" s="64"/>
    </row>
    <row r="129" spans="1:9" s="65" customFormat="1" ht="30" x14ac:dyDescent="0.2">
      <c r="A129" s="458" t="s">
        <v>998</v>
      </c>
      <c r="B129" s="523">
        <v>71000000</v>
      </c>
      <c r="C129" s="633">
        <v>395479306</v>
      </c>
      <c r="D129" s="633">
        <v>395479306</v>
      </c>
      <c r="E129" s="459">
        <f t="shared" si="3"/>
        <v>0</v>
      </c>
      <c r="F129" s="62"/>
      <c r="G129" s="63"/>
      <c r="H129" s="63"/>
      <c r="I129" s="64"/>
    </row>
    <row r="130" spans="1:9" s="65" customFormat="1" ht="15.75" thickBot="1" x14ac:dyDescent="0.25">
      <c r="A130" s="532" t="s">
        <v>581</v>
      </c>
      <c r="B130" s="520">
        <v>30000000</v>
      </c>
      <c r="C130" s="1393">
        <v>26758000</v>
      </c>
      <c r="D130" s="1393">
        <v>26757730</v>
      </c>
      <c r="E130" s="631">
        <f t="shared" si="3"/>
        <v>-270</v>
      </c>
      <c r="F130" s="62"/>
      <c r="G130" s="63"/>
      <c r="H130" s="63"/>
      <c r="I130" s="64"/>
    </row>
    <row r="131" spans="1:9" s="65" customFormat="1" ht="60.75" customHeight="1" thickBot="1" x14ac:dyDescent="0.25">
      <c r="A131" s="374" t="s">
        <v>86</v>
      </c>
      <c r="B131" s="1291" t="s">
        <v>657</v>
      </c>
      <c r="C131" s="390" t="s">
        <v>1041</v>
      </c>
      <c r="D131" s="390" t="s">
        <v>1088</v>
      </c>
      <c r="E131" s="391" t="s">
        <v>983</v>
      </c>
      <c r="F131" s="62"/>
      <c r="G131" s="63"/>
      <c r="H131" s="63"/>
      <c r="I131" s="64"/>
    </row>
    <row r="132" spans="1:9" s="65" customFormat="1" ht="24" customHeight="1" x14ac:dyDescent="0.2">
      <c r="A132" s="1590" t="s">
        <v>1057</v>
      </c>
      <c r="B132" s="1591"/>
      <c r="C132" s="1592">
        <v>3241000</v>
      </c>
      <c r="D132" s="1592">
        <v>3241000</v>
      </c>
      <c r="E132" s="674">
        <f t="shared" ref="E132:E173" si="4">D132-C132</f>
        <v>0</v>
      </c>
      <c r="F132" s="62"/>
      <c r="G132" s="63"/>
      <c r="H132" s="63"/>
      <c r="I132" s="64"/>
    </row>
    <row r="133" spans="1:9" s="65" customFormat="1" ht="24" customHeight="1" x14ac:dyDescent="0.2">
      <c r="A133" s="1593" t="s">
        <v>1058</v>
      </c>
      <c r="B133" s="1594"/>
      <c r="C133" s="599">
        <v>1000</v>
      </c>
      <c r="D133" s="599">
        <v>1270</v>
      </c>
      <c r="E133" s="674">
        <f t="shared" si="4"/>
        <v>270</v>
      </c>
      <c r="F133" s="62"/>
      <c r="G133" s="63"/>
      <c r="H133" s="63"/>
      <c r="I133" s="64"/>
    </row>
    <row r="134" spans="1:9" s="65" customFormat="1" ht="24" customHeight="1" x14ac:dyDescent="0.2">
      <c r="A134" s="1589" t="s">
        <v>1059</v>
      </c>
      <c r="B134" s="1588"/>
      <c r="C134" s="599">
        <v>7654407</v>
      </c>
      <c r="D134" s="599">
        <v>7654407</v>
      </c>
      <c r="E134" s="674">
        <f t="shared" si="4"/>
        <v>0</v>
      </c>
      <c r="F134" s="62"/>
      <c r="G134" s="63"/>
      <c r="H134" s="63"/>
      <c r="I134" s="64"/>
    </row>
    <row r="135" spans="1:9" s="65" customFormat="1" ht="30" x14ac:dyDescent="0.2">
      <c r="A135" s="311" t="s">
        <v>999</v>
      </c>
      <c r="B135" s="257"/>
      <c r="C135" s="257">
        <v>12700000</v>
      </c>
      <c r="D135" s="257">
        <v>12700000</v>
      </c>
      <c r="E135" s="674">
        <f t="shared" si="4"/>
        <v>0</v>
      </c>
      <c r="F135" s="62"/>
      <c r="G135" s="63"/>
      <c r="H135" s="63"/>
      <c r="I135" s="64"/>
    </row>
    <row r="136" spans="1:9" s="65" customFormat="1" ht="30" x14ac:dyDescent="0.2">
      <c r="A136" s="311" t="s">
        <v>1060</v>
      </c>
      <c r="B136" s="257"/>
      <c r="C136" s="257">
        <v>257810000</v>
      </c>
      <c r="D136" s="257">
        <v>257810000</v>
      </c>
      <c r="E136" s="674">
        <f t="shared" si="4"/>
        <v>0</v>
      </c>
      <c r="F136" s="62"/>
      <c r="G136" s="63"/>
      <c r="H136" s="63"/>
      <c r="I136" s="64"/>
    </row>
    <row r="137" spans="1:9" s="65" customFormat="1" ht="15" x14ac:dyDescent="0.2">
      <c r="A137" s="311" t="s">
        <v>714</v>
      </c>
      <c r="B137" s="519">
        <v>35000000</v>
      </c>
      <c r="C137" s="519">
        <v>35000000</v>
      </c>
      <c r="D137" s="519">
        <v>35000000</v>
      </c>
      <c r="E137" s="459">
        <f t="shared" si="4"/>
        <v>0</v>
      </c>
      <c r="F137" s="62"/>
      <c r="G137" s="63"/>
      <c r="H137" s="63"/>
      <c r="I137" s="64"/>
    </row>
    <row r="138" spans="1:9" s="65" customFormat="1" ht="15" x14ac:dyDescent="0.2">
      <c r="A138" s="311" t="s">
        <v>715</v>
      </c>
      <c r="B138" s="519">
        <v>25000000</v>
      </c>
      <c r="C138" s="519">
        <v>138446</v>
      </c>
      <c r="D138" s="519">
        <v>138446</v>
      </c>
      <c r="E138" s="459">
        <f t="shared" si="4"/>
        <v>0</v>
      </c>
      <c r="F138" s="62"/>
      <c r="G138" s="63"/>
      <c r="H138" s="63"/>
      <c r="I138" s="64"/>
    </row>
    <row r="139" spans="1:9" s="65" customFormat="1" ht="45" x14ac:dyDescent="0.2">
      <c r="A139" s="457" t="s">
        <v>597</v>
      </c>
      <c r="B139" s="519">
        <v>49705494</v>
      </c>
      <c r="C139" s="526">
        <v>49705494</v>
      </c>
      <c r="D139" s="526">
        <v>49705494</v>
      </c>
      <c r="E139" s="459">
        <f t="shared" si="4"/>
        <v>0</v>
      </c>
      <c r="F139" s="62"/>
      <c r="G139" s="63"/>
      <c r="H139" s="63"/>
      <c r="I139" s="64"/>
    </row>
    <row r="140" spans="1:9" s="65" customFormat="1" ht="30" x14ac:dyDescent="0.2">
      <c r="A140" s="311" t="s">
        <v>600</v>
      </c>
      <c r="B140" s="519">
        <v>2864320565</v>
      </c>
      <c r="C140" s="526">
        <v>2955565832</v>
      </c>
      <c r="D140" s="526">
        <v>2955565832</v>
      </c>
      <c r="E140" s="459">
        <f t="shared" si="4"/>
        <v>0</v>
      </c>
      <c r="F140" s="62"/>
      <c r="G140" s="63"/>
      <c r="H140" s="63"/>
      <c r="I140" s="64"/>
    </row>
    <row r="141" spans="1:9" s="65" customFormat="1" ht="30" x14ac:dyDescent="0.2">
      <c r="A141" s="223" t="s">
        <v>939</v>
      </c>
      <c r="B141" s="519">
        <v>107950000</v>
      </c>
      <c r="C141" s="519">
        <v>109093000</v>
      </c>
      <c r="D141" s="519">
        <v>109093000</v>
      </c>
      <c r="E141" s="459">
        <f t="shared" si="4"/>
        <v>0</v>
      </c>
      <c r="F141" s="62"/>
      <c r="G141" s="63"/>
      <c r="H141" s="63"/>
      <c r="I141" s="64"/>
    </row>
    <row r="142" spans="1:9" s="65" customFormat="1" ht="15" x14ac:dyDescent="0.2">
      <c r="A142" s="572" t="s">
        <v>1032</v>
      </c>
      <c r="B142" s="519"/>
      <c r="C142" s="519">
        <v>239870</v>
      </c>
      <c r="D142" s="519">
        <v>239870</v>
      </c>
      <c r="E142" s="459">
        <f t="shared" si="4"/>
        <v>0</v>
      </c>
      <c r="F142" s="62"/>
      <c r="G142" s="63"/>
      <c r="H142" s="63"/>
      <c r="I142" s="64"/>
    </row>
    <row r="143" spans="1:9" s="65" customFormat="1" ht="30" x14ac:dyDescent="0.2">
      <c r="A143" s="572" t="s">
        <v>1000</v>
      </c>
      <c r="B143" s="519"/>
      <c r="C143" s="519">
        <v>1479870</v>
      </c>
      <c r="D143" s="519">
        <v>1479870</v>
      </c>
      <c r="E143" s="459">
        <f t="shared" si="4"/>
        <v>0</v>
      </c>
      <c r="F143" s="62"/>
      <c r="G143" s="63"/>
      <c r="H143" s="63"/>
      <c r="I143" s="64"/>
    </row>
    <row r="144" spans="1:9" s="65" customFormat="1" ht="15" x14ac:dyDescent="0.2">
      <c r="A144" s="572" t="s">
        <v>1001</v>
      </c>
      <c r="B144" s="519"/>
      <c r="C144" s="519">
        <v>762000</v>
      </c>
      <c r="D144" s="519">
        <v>762000</v>
      </c>
      <c r="E144" s="459">
        <f t="shared" si="4"/>
        <v>0</v>
      </c>
      <c r="F144" s="62"/>
      <c r="G144" s="63"/>
      <c r="H144" s="63"/>
      <c r="I144" s="64"/>
    </row>
    <row r="145" spans="1:9" s="65" customFormat="1" ht="15" x14ac:dyDescent="0.2">
      <c r="A145" s="572" t="s">
        <v>1002</v>
      </c>
      <c r="B145" s="519"/>
      <c r="C145" s="519">
        <v>660400</v>
      </c>
      <c r="D145" s="519">
        <v>660400</v>
      </c>
      <c r="E145" s="459">
        <f t="shared" si="4"/>
        <v>0</v>
      </c>
      <c r="F145" s="62"/>
      <c r="G145" s="63"/>
      <c r="H145" s="63"/>
      <c r="I145" s="64"/>
    </row>
    <row r="146" spans="1:9" s="65" customFormat="1" ht="30" x14ac:dyDescent="0.2">
      <c r="A146" s="1388" t="s">
        <v>1003</v>
      </c>
      <c r="B146" s="519"/>
      <c r="C146" s="519">
        <v>1727200</v>
      </c>
      <c r="D146" s="519">
        <v>1727200</v>
      </c>
      <c r="E146" s="459">
        <f t="shared" si="4"/>
        <v>0</v>
      </c>
      <c r="F146" s="62"/>
      <c r="G146" s="63"/>
      <c r="H146" s="63"/>
      <c r="I146" s="64"/>
    </row>
    <row r="147" spans="1:9" s="65" customFormat="1" ht="30" x14ac:dyDescent="0.2">
      <c r="A147" s="644" t="s">
        <v>1004</v>
      </c>
      <c r="B147" s="519"/>
      <c r="C147" s="519">
        <v>787400</v>
      </c>
      <c r="D147" s="519">
        <v>787400</v>
      </c>
      <c r="E147" s="459">
        <f t="shared" si="4"/>
        <v>0</v>
      </c>
      <c r="F147" s="62"/>
      <c r="G147" s="63"/>
      <c r="H147" s="63"/>
      <c r="I147" s="64"/>
    </row>
    <row r="148" spans="1:9" s="65" customFormat="1" ht="15" x14ac:dyDescent="0.2">
      <c r="A148" s="644" t="s">
        <v>1005</v>
      </c>
      <c r="B148" s="519"/>
      <c r="C148" s="519">
        <v>304800</v>
      </c>
      <c r="D148" s="519">
        <v>304800</v>
      </c>
      <c r="E148" s="459">
        <f t="shared" si="4"/>
        <v>0</v>
      </c>
      <c r="F148" s="62"/>
      <c r="G148" s="63"/>
      <c r="H148" s="63"/>
      <c r="I148" s="64"/>
    </row>
    <row r="149" spans="1:9" s="65" customFormat="1" ht="15" x14ac:dyDescent="0.2">
      <c r="A149" s="644" t="s">
        <v>1006</v>
      </c>
      <c r="B149" s="519"/>
      <c r="C149" s="519">
        <v>304800</v>
      </c>
      <c r="D149" s="519">
        <v>304800</v>
      </c>
      <c r="E149" s="459">
        <f t="shared" si="4"/>
        <v>0</v>
      </c>
      <c r="F149" s="62"/>
      <c r="G149" s="63"/>
      <c r="H149" s="63"/>
      <c r="I149" s="64"/>
    </row>
    <row r="150" spans="1:9" s="65" customFormat="1" ht="15" x14ac:dyDescent="0.2">
      <c r="A150" s="572" t="s">
        <v>1007</v>
      </c>
      <c r="B150" s="519"/>
      <c r="C150" s="519">
        <v>1968500</v>
      </c>
      <c r="D150" s="519">
        <v>1968500</v>
      </c>
      <c r="E150" s="459">
        <f t="shared" si="4"/>
        <v>0</v>
      </c>
      <c r="F150" s="62"/>
      <c r="G150" s="63"/>
      <c r="H150" s="63"/>
      <c r="I150" s="64"/>
    </row>
    <row r="151" spans="1:9" s="65" customFormat="1" ht="15" x14ac:dyDescent="0.2">
      <c r="A151" s="572" t="s">
        <v>1008</v>
      </c>
      <c r="B151" s="519"/>
      <c r="C151" s="519">
        <v>820000000</v>
      </c>
      <c r="D151" s="519">
        <v>820000000</v>
      </c>
      <c r="E151" s="459">
        <f t="shared" si="4"/>
        <v>0</v>
      </c>
      <c r="F151" s="62"/>
      <c r="G151" s="63"/>
      <c r="H151" s="63"/>
      <c r="I151" s="64"/>
    </row>
    <row r="152" spans="1:9" s="65" customFormat="1" ht="15" x14ac:dyDescent="0.2">
      <c r="A152" s="572" t="s">
        <v>1033</v>
      </c>
      <c r="B152" s="519"/>
      <c r="C152" s="519">
        <v>1818610</v>
      </c>
      <c r="D152" s="519">
        <v>1818610</v>
      </c>
      <c r="E152" s="459">
        <f t="shared" si="4"/>
        <v>0</v>
      </c>
      <c r="F152" s="62"/>
      <c r="G152" s="63"/>
      <c r="H152" s="63"/>
      <c r="I152" s="64"/>
    </row>
    <row r="153" spans="1:9" s="65" customFormat="1" ht="30" x14ac:dyDescent="0.2">
      <c r="A153" s="572" t="s">
        <v>1034</v>
      </c>
      <c r="B153" s="519"/>
      <c r="C153" s="519">
        <v>3000000</v>
      </c>
      <c r="D153" s="519">
        <v>3000000</v>
      </c>
      <c r="E153" s="459">
        <f t="shared" si="4"/>
        <v>0</v>
      </c>
      <c r="F153" s="62"/>
      <c r="G153" s="63"/>
      <c r="H153" s="63"/>
      <c r="I153" s="64"/>
    </row>
    <row r="154" spans="1:9" s="65" customFormat="1" ht="15" x14ac:dyDescent="0.2">
      <c r="A154" s="572" t="s">
        <v>1035</v>
      </c>
      <c r="B154" s="519"/>
      <c r="C154" s="519">
        <v>220000</v>
      </c>
      <c r="D154" s="519">
        <v>220000</v>
      </c>
      <c r="E154" s="459">
        <f t="shared" si="4"/>
        <v>0</v>
      </c>
      <c r="F154" s="62"/>
      <c r="G154" s="63"/>
      <c r="H154" s="63"/>
      <c r="I154" s="64"/>
    </row>
    <row r="155" spans="1:9" s="65" customFormat="1" ht="30" x14ac:dyDescent="0.2">
      <c r="A155" s="572" t="s">
        <v>1061</v>
      </c>
      <c r="B155" s="519"/>
      <c r="C155" s="519">
        <v>5000000</v>
      </c>
      <c r="D155" s="519">
        <v>5000000</v>
      </c>
      <c r="E155" s="459">
        <f t="shared" si="4"/>
        <v>0</v>
      </c>
      <c r="F155" s="62"/>
      <c r="G155" s="63"/>
      <c r="H155" s="63"/>
      <c r="I155" s="64"/>
    </row>
    <row r="156" spans="1:9" s="65" customFormat="1" ht="30" x14ac:dyDescent="0.2">
      <c r="A156" s="572" t="s">
        <v>1062</v>
      </c>
      <c r="B156" s="519"/>
      <c r="C156" s="519">
        <v>23000000</v>
      </c>
      <c r="D156" s="519">
        <v>23000000</v>
      </c>
      <c r="E156" s="459">
        <f t="shared" si="4"/>
        <v>0</v>
      </c>
      <c r="F156" s="62"/>
      <c r="G156" s="63"/>
      <c r="H156" s="63"/>
      <c r="I156" s="64"/>
    </row>
    <row r="157" spans="1:9" s="65" customFormat="1" ht="15" x14ac:dyDescent="0.2">
      <c r="A157" s="572" t="s">
        <v>1063</v>
      </c>
      <c r="B157" s="519"/>
      <c r="C157" s="519">
        <v>15240000</v>
      </c>
      <c r="D157" s="519">
        <v>20320000</v>
      </c>
      <c r="E157" s="459">
        <f t="shared" si="4"/>
        <v>5080000</v>
      </c>
      <c r="F157" s="62"/>
      <c r="G157" s="63"/>
      <c r="H157" s="63"/>
      <c r="I157" s="64"/>
    </row>
    <row r="158" spans="1:9" s="65" customFormat="1" ht="15" x14ac:dyDescent="0.2">
      <c r="A158" s="572" t="s">
        <v>1064</v>
      </c>
      <c r="B158" s="519"/>
      <c r="C158" s="519">
        <v>97800</v>
      </c>
      <c r="D158" s="519">
        <v>97800</v>
      </c>
      <c r="E158" s="459">
        <f t="shared" si="4"/>
        <v>0</v>
      </c>
      <c r="F158" s="62"/>
      <c r="G158" s="63"/>
      <c r="H158" s="63"/>
      <c r="I158" s="64"/>
    </row>
    <row r="159" spans="1:9" s="65" customFormat="1" ht="30" x14ac:dyDescent="0.2">
      <c r="A159" s="572" t="s">
        <v>1065</v>
      </c>
      <c r="B159" s="519"/>
      <c r="C159" s="519">
        <v>22002750</v>
      </c>
      <c r="D159" s="519">
        <v>22002750</v>
      </c>
      <c r="E159" s="459">
        <f t="shared" si="4"/>
        <v>0</v>
      </c>
      <c r="F159" s="62"/>
      <c r="G159" s="63"/>
      <c r="H159" s="63"/>
      <c r="I159" s="64"/>
    </row>
    <row r="160" spans="1:9" s="65" customFormat="1" ht="30" x14ac:dyDescent="0.2">
      <c r="A160" s="572" t="s">
        <v>1066</v>
      </c>
      <c r="B160" s="519"/>
      <c r="C160" s="519">
        <v>83388200</v>
      </c>
      <c r="D160" s="519">
        <v>83388200</v>
      </c>
      <c r="E160" s="459">
        <f t="shared" si="4"/>
        <v>0</v>
      </c>
      <c r="F160" s="62"/>
      <c r="G160" s="63"/>
      <c r="H160" s="63"/>
      <c r="I160" s="64"/>
    </row>
    <row r="161" spans="1:9" s="65" customFormat="1" ht="30" x14ac:dyDescent="0.2">
      <c r="A161" s="572" t="s">
        <v>1067</v>
      </c>
      <c r="B161" s="519"/>
      <c r="C161" s="519">
        <v>13081000</v>
      </c>
      <c r="D161" s="519">
        <v>13081000</v>
      </c>
      <c r="E161" s="459">
        <f t="shared" si="4"/>
        <v>0</v>
      </c>
      <c r="F161" s="62"/>
      <c r="G161" s="63"/>
      <c r="H161" s="63"/>
      <c r="I161" s="64"/>
    </row>
    <row r="162" spans="1:9" s="65" customFormat="1" ht="15" x14ac:dyDescent="0.2">
      <c r="A162" s="572" t="s">
        <v>1068</v>
      </c>
      <c r="B162" s="519"/>
      <c r="C162" s="519">
        <v>57150</v>
      </c>
      <c r="D162" s="519">
        <v>57150</v>
      </c>
      <c r="E162" s="459">
        <f t="shared" si="4"/>
        <v>0</v>
      </c>
      <c r="F162" s="62"/>
      <c r="G162" s="63"/>
      <c r="H162" s="63"/>
      <c r="I162" s="64"/>
    </row>
    <row r="163" spans="1:9" s="65" customFormat="1" ht="15" x14ac:dyDescent="0.2">
      <c r="A163" s="572" t="s">
        <v>1069</v>
      </c>
      <c r="B163" s="519"/>
      <c r="C163" s="519">
        <v>240301</v>
      </c>
      <c r="D163" s="519">
        <v>240301</v>
      </c>
      <c r="E163" s="459">
        <f t="shared" si="4"/>
        <v>0</v>
      </c>
      <c r="F163" s="62"/>
      <c r="G163" s="63"/>
      <c r="H163" s="63"/>
      <c r="I163" s="64"/>
    </row>
    <row r="164" spans="1:9" s="65" customFormat="1" ht="15" x14ac:dyDescent="0.2">
      <c r="A164" s="572" t="s">
        <v>1090</v>
      </c>
      <c r="B164" s="519"/>
      <c r="C164" s="519"/>
      <c r="D164" s="519">
        <v>918210</v>
      </c>
      <c r="E164" s="459">
        <f t="shared" si="4"/>
        <v>918210</v>
      </c>
      <c r="F164" s="62"/>
      <c r="G164" s="63"/>
      <c r="H164" s="63"/>
      <c r="I164" s="64"/>
    </row>
    <row r="165" spans="1:9" s="65" customFormat="1" ht="15" x14ac:dyDescent="0.2">
      <c r="A165" s="572" t="s">
        <v>1091</v>
      </c>
      <c r="B165" s="519"/>
      <c r="C165" s="519"/>
      <c r="D165" s="519">
        <v>440000</v>
      </c>
      <c r="E165" s="459">
        <f t="shared" si="4"/>
        <v>440000</v>
      </c>
      <c r="F165" s="62"/>
      <c r="G165" s="63"/>
      <c r="H165" s="63"/>
      <c r="I165" s="64"/>
    </row>
    <row r="166" spans="1:9" s="65" customFormat="1" ht="15" x14ac:dyDescent="0.2">
      <c r="A166" s="572" t="s">
        <v>1092</v>
      </c>
      <c r="B166" s="519"/>
      <c r="C166" s="519"/>
      <c r="D166" s="519">
        <v>2500000</v>
      </c>
      <c r="E166" s="459">
        <f t="shared" si="4"/>
        <v>2500000</v>
      </c>
      <c r="F166" s="62"/>
      <c r="G166" s="63"/>
      <c r="H166" s="63"/>
      <c r="I166" s="64"/>
    </row>
    <row r="167" spans="1:9" s="65" customFormat="1" ht="15" x14ac:dyDescent="0.2">
      <c r="A167" s="572" t="s">
        <v>1093</v>
      </c>
      <c r="B167" s="519"/>
      <c r="C167" s="519"/>
      <c r="D167" s="519">
        <v>2500000</v>
      </c>
      <c r="E167" s="459">
        <f t="shared" si="4"/>
        <v>2500000</v>
      </c>
      <c r="F167" s="62"/>
      <c r="G167" s="63"/>
      <c r="H167" s="63"/>
      <c r="I167" s="64"/>
    </row>
    <row r="168" spans="1:9" s="65" customFormat="1" ht="30" x14ac:dyDescent="0.2">
      <c r="A168" s="71" t="s">
        <v>221</v>
      </c>
      <c r="B168" s="257">
        <f>SUM(B169:B170)</f>
        <v>0</v>
      </c>
      <c r="C168" s="257">
        <f>SUM(C169:C170)</f>
        <v>0</v>
      </c>
      <c r="D168" s="257">
        <f>SUM(D169:D170)</f>
        <v>0</v>
      </c>
      <c r="E168" s="459">
        <f t="shared" si="4"/>
        <v>0</v>
      </c>
      <c r="F168" s="62"/>
      <c r="G168" s="63"/>
      <c r="H168" s="63"/>
      <c r="I168" s="64"/>
    </row>
    <row r="169" spans="1:9" s="65" customFormat="1" ht="15.75" customHeight="1" x14ac:dyDescent="0.2">
      <c r="A169" s="223" t="s">
        <v>621</v>
      </c>
      <c r="B169" s="519"/>
      <c r="C169" s="519"/>
      <c r="D169" s="519"/>
      <c r="E169" s="459">
        <f t="shared" si="4"/>
        <v>0</v>
      </c>
      <c r="F169" s="62"/>
      <c r="G169" s="63"/>
      <c r="H169" s="63"/>
      <c r="I169" s="64"/>
    </row>
    <row r="170" spans="1:9" s="65" customFormat="1" ht="30" x14ac:dyDescent="0.2">
      <c r="A170" s="223" t="s">
        <v>622</v>
      </c>
      <c r="B170" s="519"/>
      <c r="C170" s="519"/>
      <c r="D170" s="519"/>
      <c r="E170" s="459">
        <f t="shared" si="4"/>
        <v>0</v>
      </c>
      <c r="F170" s="62"/>
      <c r="G170" s="63"/>
      <c r="H170" s="63"/>
      <c r="I170" s="64"/>
    </row>
    <row r="171" spans="1:9" s="65" customFormat="1" ht="15" x14ac:dyDescent="0.2">
      <c r="A171" s="223" t="s">
        <v>222</v>
      </c>
      <c r="B171" s="519">
        <f>SUM(B172:B173)</f>
        <v>10747000</v>
      </c>
      <c r="C171" s="519">
        <f>SUM(C172:C173)</f>
        <v>10747000</v>
      </c>
      <c r="D171" s="519">
        <f>SUM(D172:D173)</f>
        <v>10747000</v>
      </c>
      <c r="E171" s="459">
        <f t="shared" si="4"/>
        <v>0</v>
      </c>
      <c r="F171" s="62"/>
      <c r="G171" s="63"/>
      <c r="H171" s="63"/>
      <c r="I171" s="64"/>
    </row>
    <row r="172" spans="1:9" s="65" customFormat="1" ht="30" x14ac:dyDescent="0.2">
      <c r="A172" s="223" t="s">
        <v>679</v>
      </c>
      <c r="B172" s="519">
        <v>747000</v>
      </c>
      <c r="C172" s="519">
        <v>747000</v>
      </c>
      <c r="D172" s="519">
        <v>747000</v>
      </c>
      <c r="E172" s="459">
        <f t="shared" si="4"/>
        <v>0</v>
      </c>
      <c r="F172" s="62"/>
      <c r="G172" s="63"/>
      <c r="H172" s="63"/>
      <c r="I172" s="64"/>
    </row>
    <row r="173" spans="1:9" s="65" customFormat="1" ht="18" customHeight="1" x14ac:dyDescent="0.2">
      <c r="A173" s="223" t="s">
        <v>204</v>
      </c>
      <c r="B173" s="519">
        <v>10000000</v>
      </c>
      <c r="C173" s="519">
        <v>10000000</v>
      </c>
      <c r="D173" s="519">
        <v>10000000</v>
      </c>
      <c r="E173" s="459">
        <f t="shared" si="4"/>
        <v>0</v>
      </c>
      <c r="F173" s="62"/>
      <c r="G173" s="63"/>
      <c r="H173" s="63"/>
      <c r="I173" s="64"/>
    </row>
    <row r="174" spans="1:9" s="65" customFormat="1" ht="18" customHeight="1" x14ac:dyDescent="0.25">
      <c r="A174" s="224" t="s">
        <v>223</v>
      </c>
      <c r="B174" s="225">
        <f>SUM(B100:B168,B171)</f>
        <v>5295053003</v>
      </c>
      <c r="C174" s="1313">
        <f>SUM(C100:C168,C171)</f>
        <v>6923595865</v>
      </c>
      <c r="D174" s="1313">
        <f>SUM(D100:D168,D171)</f>
        <v>6933586830</v>
      </c>
      <c r="E174" s="675">
        <f>SUM(E100:E170,E171)</f>
        <v>9990965</v>
      </c>
      <c r="F174" s="62"/>
      <c r="G174" s="63"/>
      <c r="H174" s="63"/>
      <c r="I174" s="64"/>
    </row>
    <row r="175" spans="1:9" s="65" customFormat="1" ht="20.25" customHeight="1" thickBot="1" x14ac:dyDescent="0.3">
      <c r="A175" s="72" t="s">
        <v>224</v>
      </c>
      <c r="B175" s="207">
        <f>B174+B97</f>
        <v>8739294986</v>
      </c>
      <c r="C175" s="322">
        <f>C174+C97</f>
        <v>9762627560</v>
      </c>
      <c r="D175" s="322">
        <f>D174+D97</f>
        <v>9777564985</v>
      </c>
      <c r="E175" s="354">
        <f>E174+E97</f>
        <v>14937425</v>
      </c>
      <c r="F175" s="93">
        <f>E175+316302034</f>
        <v>331239459</v>
      </c>
      <c r="G175" s="63"/>
      <c r="H175" s="63"/>
      <c r="I175" s="64"/>
    </row>
    <row r="176" spans="1:9" s="65" customFormat="1" ht="45.75" thickBot="1" x14ac:dyDescent="0.25">
      <c r="A176" s="374" t="s">
        <v>86</v>
      </c>
      <c r="B176" s="556" t="s">
        <v>657</v>
      </c>
      <c r="C176" s="390" t="s">
        <v>1041</v>
      </c>
      <c r="D176" s="390" t="s">
        <v>1088</v>
      </c>
      <c r="E176" s="391" t="s">
        <v>983</v>
      </c>
      <c r="F176" s="93"/>
      <c r="G176" s="63"/>
      <c r="H176" s="63"/>
      <c r="I176" s="64"/>
    </row>
    <row r="177" spans="1:9" s="65" customFormat="1" ht="43.5" customHeight="1" x14ac:dyDescent="0.25">
      <c r="A177" s="276" t="s">
        <v>363</v>
      </c>
      <c r="B177" s="530"/>
      <c r="C177" s="600"/>
      <c r="D177" s="600"/>
      <c r="E177" s="673"/>
      <c r="F177" s="62"/>
      <c r="G177" s="63"/>
      <c r="H177" s="63"/>
      <c r="I177" s="64"/>
    </row>
    <row r="178" spans="1:9" s="65" customFormat="1" ht="31.5" x14ac:dyDescent="0.25">
      <c r="A178" s="318" t="s">
        <v>226</v>
      </c>
      <c r="B178" s="298">
        <f>SUM(B179:B180)</f>
        <v>10650099</v>
      </c>
      <c r="C178" s="298">
        <f>SUM(C179:C182)</f>
        <v>17731099</v>
      </c>
      <c r="D178" s="298">
        <f>SUM(D179:D182)</f>
        <v>17731099</v>
      </c>
      <c r="E178" s="321">
        <f>SUM(E179:E182)</f>
        <v>0</v>
      </c>
      <c r="F178" s="62"/>
      <c r="G178" s="63"/>
      <c r="H178" s="63"/>
      <c r="I178" s="64"/>
    </row>
    <row r="179" spans="1:9" s="65" customFormat="1" ht="15" customHeight="1" x14ac:dyDescent="0.2">
      <c r="A179" s="223" t="s">
        <v>1011</v>
      </c>
      <c r="B179" s="519"/>
      <c r="C179" s="257"/>
      <c r="D179" s="257"/>
      <c r="E179" s="671"/>
      <c r="F179" s="62"/>
      <c r="G179" s="63"/>
      <c r="H179" s="63"/>
      <c r="I179" s="64"/>
    </row>
    <row r="180" spans="1:9" s="65" customFormat="1" ht="15" customHeight="1" x14ac:dyDescent="0.2">
      <c r="A180" s="223" t="s">
        <v>213</v>
      </c>
      <c r="B180" s="519">
        <v>10650099</v>
      </c>
      <c r="C180" s="519">
        <v>10650099</v>
      </c>
      <c r="D180" s="519">
        <v>10650099</v>
      </c>
      <c r="E180" s="459">
        <f>D180-C180</f>
        <v>0</v>
      </c>
      <c r="F180" s="62"/>
      <c r="G180" s="63"/>
      <c r="H180" s="63"/>
      <c r="I180" s="64"/>
    </row>
    <row r="181" spans="1:9" s="65" customFormat="1" ht="30" x14ac:dyDescent="0.2">
      <c r="A181" s="71" t="s">
        <v>1037</v>
      </c>
      <c r="B181" s="519"/>
      <c r="C181" s="519">
        <v>5481000</v>
      </c>
      <c r="D181" s="519">
        <v>5481000</v>
      </c>
      <c r="E181" s="459">
        <f>D181-C181</f>
        <v>0</v>
      </c>
      <c r="F181" s="62"/>
      <c r="G181" s="63"/>
      <c r="H181" s="63"/>
      <c r="I181" s="64"/>
    </row>
    <row r="182" spans="1:9" s="65" customFormat="1" ht="15" customHeight="1" x14ac:dyDescent="0.2">
      <c r="A182" s="71" t="s">
        <v>1036</v>
      </c>
      <c r="B182" s="519"/>
      <c r="C182" s="519">
        <v>1600000</v>
      </c>
      <c r="D182" s="519">
        <v>1600000</v>
      </c>
      <c r="E182" s="459">
        <f>D182-C182</f>
        <v>0</v>
      </c>
      <c r="F182" s="62"/>
      <c r="G182" s="63"/>
      <c r="H182" s="63"/>
      <c r="I182" s="64"/>
    </row>
    <row r="183" spans="1:9" s="65" customFormat="1" ht="29.25" customHeight="1" x14ac:dyDescent="0.25">
      <c r="A183" s="393" t="s">
        <v>341</v>
      </c>
      <c r="B183" s="529"/>
      <c r="C183" s="602"/>
      <c r="D183" s="602"/>
      <c r="E183" s="321"/>
      <c r="F183" s="62"/>
      <c r="G183" s="63"/>
      <c r="H183" s="63"/>
      <c r="I183" s="64"/>
    </row>
    <row r="184" spans="1:9" s="65" customFormat="1" ht="29.25" customHeight="1" x14ac:dyDescent="0.25">
      <c r="A184" s="319" t="s">
        <v>227</v>
      </c>
      <c r="B184" s="298">
        <f>SUM(B185:B193)</f>
        <v>37150000</v>
      </c>
      <c r="C184" s="298">
        <f>SUM(C185:C195)</f>
        <v>1598001859</v>
      </c>
      <c r="D184" s="298">
        <f>SUM(D185:D196)</f>
        <v>1598101859</v>
      </c>
      <c r="E184" s="321">
        <f>SUM(E185:E196)</f>
        <v>100000</v>
      </c>
      <c r="F184" s="62"/>
      <c r="G184" s="63"/>
      <c r="H184" s="63"/>
      <c r="I184" s="64"/>
    </row>
    <row r="185" spans="1:9" s="65" customFormat="1" ht="30" x14ac:dyDescent="0.2">
      <c r="A185" s="277" t="s">
        <v>696</v>
      </c>
      <c r="B185" s="257">
        <v>0</v>
      </c>
      <c r="C185" s="206">
        <v>0</v>
      </c>
      <c r="D185" s="206">
        <v>0</v>
      </c>
      <c r="E185" s="459">
        <f t="shared" ref="E185:E195" si="5">D185-C185</f>
        <v>0</v>
      </c>
      <c r="F185" s="93"/>
      <c r="G185" s="63"/>
      <c r="H185" s="63"/>
      <c r="I185" s="64"/>
    </row>
    <row r="186" spans="1:9" s="65" customFormat="1" ht="15" x14ac:dyDescent="0.2">
      <c r="A186" s="277" t="s">
        <v>219</v>
      </c>
      <c r="B186" s="519">
        <v>800000</v>
      </c>
      <c r="C186" s="526">
        <v>800000</v>
      </c>
      <c r="D186" s="526">
        <v>800000</v>
      </c>
      <c r="E186" s="459">
        <f t="shared" si="5"/>
        <v>0</v>
      </c>
      <c r="F186" s="62"/>
      <c r="G186" s="63"/>
      <c r="H186" s="63"/>
      <c r="I186" s="64"/>
    </row>
    <row r="187" spans="1:9" s="65" customFormat="1" ht="21.75" customHeight="1" x14ac:dyDescent="0.2">
      <c r="A187" s="277" t="s">
        <v>220</v>
      </c>
      <c r="B187" s="519">
        <v>2000000</v>
      </c>
      <c r="C187" s="526">
        <v>1900000</v>
      </c>
      <c r="D187" s="526">
        <v>1900000</v>
      </c>
      <c r="E187" s="459">
        <f t="shared" si="5"/>
        <v>0</v>
      </c>
      <c r="F187" s="62"/>
      <c r="G187" s="63"/>
      <c r="H187" s="63"/>
      <c r="I187" s="64"/>
    </row>
    <row r="188" spans="1:9" s="65" customFormat="1" ht="21.2" customHeight="1" x14ac:dyDescent="0.2">
      <c r="A188" s="312" t="s">
        <v>624</v>
      </c>
      <c r="B188" s="519">
        <v>24000000</v>
      </c>
      <c r="C188" s="526">
        <v>24000000</v>
      </c>
      <c r="D188" s="526">
        <v>24000000</v>
      </c>
      <c r="E188" s="459">
        <f t="shared" si="5"/>
        <v>0</v>
      </c>
      <c r="F188" s="62"/>
      <c r="G188" s="63"/>
      <c r="H188" s="63"/>
      <c r="I188" s="64"/>
    </row>
    <row r="189" spans="1:9" s="65" customFormat="1" ht="21.2" customHeight="1" x14ac:dyDescent="0.2">
      <c r="A189" s="359" t="s">
        <v>623</v>
      </c>
      <c r="B189" s="519">
        <v>100000</v>
      </c>
      <c r="C189" s="526">
        <v>100000</v>
      </c>
      <c r="D189" s="526">
        <v>100000</v>
      </c>
      <c r="E189" s="459">
        <f t="shared" si="5"/>
        <v>0</v>
      </c>
      <c r="F189" s="62"/>
      <c r="G189" s="63"/>
      <c r="H189" s="63"/>
      <c r="I189" s="64"/>
    </row>
    <row r="190" spans="1:9" s="65" customFormat="1" ht="29.25" customHeight="1" x14ac:dyDescent="0.2">
      <c r="A190" s="316" t="s">
        <v>625</v>
      </c>
      <c r="B190" s="519">
        <v>10000000</v>
      </c>
      <c r="C190" s="526">
        <v>10000000</v>
      </c>
      <c r="D190" s="526">
        <v>10000000</v>
      </c>
      <c r="E190" s="459">
        <f t="shared" si="5"/>
        <v>0</v>
      </c>
      <c r="F190" s="62"/>
      <c r="G190" s="63"/>
      <c r="H190" s="63"/>
      <c r="I190" s="64"/>
    </row>
    <row r="191" spans="1:9" s="65" customFormat="1" ht="29.25" customHeight="1" x14ac:dyDescent="0.2">
      <c r="A191" s="316" t="s">
        <v>626</v>
      </c>
      <c r="B191" s="519">
        <v>250000</v>
      </c>
      <c r="C191" s="526">
        <v>250000</v>
      </c>
      <c r="D191" s="526">
        <v>250000</v>
      </c>
      <c r="E191" s="459">
        <f t="shared" si="5"/>
        <v>0</v>
      </c>
      <c r="F191" s="62"/>
      <c r="G191" s="63"/>
      <c r="H191" s="63"/>
      <c r="I191" s="64"/>
    </row>
    <row r="192" spans="1:9" s="65" customFormat="1" ht="29.25" customHeight="1" x14ac:dyDescent="0.2">
      <c r="A192" s="645" t="s">
        <v>1009</v>
      </c>
      <c r="B192" s="257">
        <v>0</v>
      </c>
      <c r="C192" s="206">
        <v>132775880</v>
      </c>
      <c r="D192" s="206">
        <v>132775880</v>
      </c>
      <c r="E192" s="459">
        <f t="shared" si="5"/>
        <v>0</v>
      </c>
      <c r="F192" s="62"/>
      <c r="G192" s="63"/>
      <c r="H192" s="63"/>
      <c r="I192" s="64"/>
    </row>
    <row r="193" spans="1:9" s="65" customFormat="1" ht="60" x14ac:dyDescent="0.2">
      <c r="A193" s="645" t="s">
        <v>1010</v>
      </c>
      <c r="B193" s="257"/>
      <c r="C193" s="206">
        <v>1135929178</v>
      </c>
      <c r="D193" s="206">
        <v>1135929178</v>
      </c>
      <c r="E193" s="459">
        <f t="shared" si="5"/>
        <v>0</v>
      </c>
      <c r="F193" s="62"/>
      <c r="G193" s="63"/>
      <c r="H193" s="63"/>
      <c r="I193" s="64"/>
    </row>
    <row r="194" spans="1:9" s="65" customFormat="1" ht="45" x14ac:dyDescent="0.2">
      <c r="A194" s="645" t="s">
        <v>1038</v>
      </c>
      <c r="B194" s="257"/>
      <c r="C194" s="206">
        <v>44790551</v>
      </c>
      <c r="D194" s="206">
        <v>44790551</v>
      </c>
      <c r="E194" s="459">
        <f t="shared" si="5"/>
        <v>0</v>
      </c>
      <c r="F194" s="62"/>
      <c r="G194" s="63"/>
      <c r="H194" s="63"/>
      <c r="I194" s="64"/>
    </row>
    <row r="195" spans="1:9" s="65" customFormat="1" ht="30" x14ac:dyDescent="0.2">
      <c r="A195" s="573" t="s">
        <v>1040</v>
      </c>
      <c r="B195" s="257"/>
      <c r="C195" s="206">
        <v>247456250</v>
      </c>
      <c r="D195" s="206">
        <v>247456250</v>
      </c>
      <c r="E195" s="459">
        <f t="shared" si="5"/>
        <v>0</v>
      </c>
      <c r="F195" s="62"/>
      <c r="G195" s="63"/>
      <c r="H195" s="63"/>
      <c r="I195" s="64"/>
    </row>
    <row r="196" spans="1:9" s="65" customFormat="1" ht="30" x14ac:dyDescent="0.2">
      <c r="A196" s="511" t="s">
        <v>996</v>
      </c>
      <c r="B196" s="257"/>
      <c r="C196" s="206"/>
      <c r="D196" s="206">
        <v>100000</v>
      </c>
      <c r="E196" s="459">
        <v>100000</v>
      </c>
      <c r="F196" s="62"/>
      <c r="G196" s="63"/>
      <c r="H196" s="63"/>
      <c r="I196" s="64"/>
    </row>
    <row r="197" spans="1:9" s="65" customFormat="1" ht="34.5" customHeight="1" x14ac:dyDescent="0.25">
      <c r="A197" s="320" t="s">
        <v>228</v>
      </c>
      <c r="B197" s="298">
        <f>SUM(B198:B233)</f>
        <v>188580486</v>
      </c>
      <c r="C197" s="298">
        <f>SUM(C198:C233)</f>
        <v>191927486</v>
      </c>
      <c r="D197" s="298">
        <f>SUM(D198:D233)</f>
        <v>193027486</v>
      </c>
      <c r="E197" s="321">
        <f>SUM(E198:E233)</f>
        <v>1100000</v>
      </c>
      <c r="F197" s="62"/>
      <c r="G197" s="63"/>
      <c r="H197" s="63"/>
      <c r="I197" s="64"/>
    </row>
    <row r="198" spans="1:9" s="65" customFormat="1" ht="30" x14ac:dyDescent="0.2">
      <c r="A198" s="278" t="s">
        <v>458</v>
      </c>
      <c r="B198" s="519">
        <v>100000</v>
      </c>
      <c r="C198" s="526">
        <v>100000</v>
      </c>
      <c r="D198" s="526">
        <v>100000</v>
      </c>
      <c r="E198" s="459">
        <f t="shared" ref="E198:E209" si="6">D198-C198</f>
        <v>0</v>
      </c>
      <c r="F198" s="93"/>
      <c r="G198" s="63"/>
      <c r="H198" s="63"/>
      <c r="I198" s="64"/>
    </row>
    <row r="199" spans="1:9" s="60" customFormat="1" ht="28.5" customHeight="1" x14ac:dyDescent="0.2">
      <c r="A199" s="316" t="s">
        <v>522</v>
      </c>
      <c r="B199" s="519">
        <v>1000000</v>
      </c>
      <c r="C199" s="526">
        <v>1000000</v>
      </c>
      <c r="D199" s="526">
        <v>1000000</v>
      </c>
      <c r="E199" s="459">
        <f t="shared" si="6"/>
        <v>0</v>
      </c>
    </row>
    <row r="200" spans="1:9" s="60" customFormat="1" ht="28.5" customHeight="1" x14ac:dyDescent="0.2">
      <c r="A200" s="620" t="s">
        <v>627</v>
      </c>
      <c r="B200" s="519">
        <v>200000</v>
      </c>
      <c r="C200" s="526">
        <v>200000</v>
      </c>
      <c r="D200" s="526">
        <v>200000</v>
      </c>
      <c r="E200" s="459">
        <f t="shared" si="6"/>
        <v>0</v>
      </c>
    </row>
    <row r="201" spans="1:9" s="60" customFormat="1" ht="28.5" customHeight="1" x14ac:dyDescent="0.2">
      <c r="A201" s="620" t="s">
        <v>628</v>
      </c>
      <c r="B201" s="519">
        <v>800000</v>
      </c>
      <c r="C201" s="526">
        <v>800000</v>
      </c>
      <c r="D201" s="526">
        <v>800000</v>
      </c>
      <c r="E201" s="459">
        <f t="shared" si="6"/>
        <v>0</v>
      </c>
    </row>
    <row r="202" spans="1:9" s="60" customFormat="1" ht="28.5" customHeight="1" x14ac:dyDescent="0.2">
      <c r="A202" s="620" t="s">
        <v>1070</v>
      </c>
      <c r="B202" s="519"/>
      <c r="C202" s="526">
        <v>2000000</v>
      </c>
      <c r="D202" s="526">
        <v>2000000</v>
      </c>
      <c r="E202" s="459">
        <f t="shared" si="6"/>
        <v>0</v>
      </c>
    </row>
    <row r="203" spans="1:9" s="60" customFormat="1" ht="28.5" customHeight="1" x14ac:dyDescent="0.2">
      <c r="A203" s="620" t="s">
        <v>1094</v>
      </c>
      <c r="B203" s="519"/>
      <c r="C203" s="526"/>
      <c r="D203" s="526">
        <v>300000</v>
      </c>
      <c r="E203" s="459">
        <f t="shared" si="6"/>
        <v>300000</v>
      </c>
    </row>
    <row r="204" spans="1:9" s="60" customFormat="1" ht="28.5" customHeight="1" x14ac:dyDescent="0.2">
      <c r="A204" s="620" t="s">
        <v>1095</v>
      </c>
      <c r="B204" s="519"/>
      <c r="C204" s="526"/>
      <c r="D204" s="526">
        <v>800000</v>
      </c>
      <c r="E204" s="459">
        <f t="shared" si="6"/>
        <v>800000</v>
      </c>
    </row>
    <row r="205" spans="1:9" s="60" customFormat="1" ht="28.5" customHeight="1" x14ac:dyDescent="0.2">
      <c r="A205" s="314" t="s">
        <v>594</v>
      </c>
      <c r="B205" s="519">
        <f>8200000+900000</f>
        <v>9100000</v>
      </c>
      <c r="C205" s="526">
        <f>8200000+900000</f>
        <v>9100000</v>
      </c>
      <c r="D205" s="526">
        <f>8200000+900000</f>
        <v>9100000</v>
      </c>
      <c r="E205" s="459">
        <f t="shared" si="6"/>
        <v>0</v>
      </c>
    </row>
    <row r="206" spans="1:9" s="60" customFormat="1" ht="30.75" customHeight="1" x14ac:dyDescent="0.2">
      <c r="A206" s="277" t="s">
        <v>703</v>
      </c>
      <c r="B206" s="257">
        <v>35000000</v>
      </c>
      <c r="C206" s="206">
        <v>32100000</v>
      </c>
      <c r="D206" s="206">
        <v>32100000</v>
      </c>
      <c r="E206" s="459">
        <f t="shared" si="6"/>
        <v>0</v>
      </c>
      <c r="F206" s="57"/>
      <c r="G206" s="58"/>
      <c r="H206" s="58"/>
      <c r="I206" s="59"/>
    </row>
    <row r="207" spans="1:9" s="60" customFormat="1" ht="30.75" customHeight="1" x14ac:dyDescent="0.2">
      <c r="A207" s="277" t="s">
        <v>967</v>
      </c>
      <c r="B207" s="257">
        <v>1300000</v>
      </c>
      <c r="C207" s="206">
        <v>1300000</v>
      </c>
      <c r="D207" s="206">
        <v>1300000</v>
      </c>
      <c r="E207" s="459">
        <f t="shared" si="6"/>
        <v>0</v>
      </c>
      <c r="F207" s="57"/>
      <c r="G207" s="58"/>
      <c r="H207" s="58"/>
      <c r="I207" s="59"/>
    </row>
    <row r="208" spans="1:9" s="60" customFormat="1" ht="60" x14ac:dyDescent="0.2">
      <c r="A208" s="277" t="s">
        <v>680</v>
      </c>
      <c r="B208" s="257">
        <v>6916081</v>
      </c>
      <c r="C208" s="206">
        <v>6916081</v>
      </c>
      <c r="D208" s="206">
        <v>6916081</v>
      </c>
      <c r="E208" s="459">
        <f t="shared" si="6"/>
        <v>0</v>
      </c>
      <c r="F208" s="57"/>
      <c r="G208" s="58"/>
      <c r="H208" s="58"/>
      <c r="I208" s="59"/>
    </row>
    <row r="209" spans="1:9" s="60" customFormat="1" ht="15.75" thickBot="1" x14ac:dyDescent="0.25">
      <c r="A209" s="1439" t="s">
        <v>937</v>
      </c>
      <c r="B209" s="1440">
        <v>42000000</v>
      </c>
      <c r="C209" s="1403">
        <v>34255616</v>
      </c>
      <c r="D209" s="1403">
        <v>34255616</v>
      </c>
      <c r="E209" s="631">
        <f t="shared" si="6"/>
        <v>0</v>
      </c>
      <c r="F209" s="57"/>
      <c r="G209" s="58"/>
      <c r="H209" s="58"/>
      <c r="I209" s="59"/>
    </row>
    <row r="210" spans="1:9" s="60" customFormat="1" ht="45.75" thickBot="1" x14ac:dyDescent="0.25">
      <c r="A210" s="374" t="s">
        <v>86</v>
      </c>
      <c r="B210" s="1291" t="s">
        <v>657</v>
      </c>
      <c r="C210" s="390" t="s">
        <v>1041</v>
      </c>
      <c r="D210" s="390" t="s">
        <v>1088</v>
      </c>
      <c r="E210" s="391" t="s">
        <v>983</v>
      </c>
      <c r="F210" s="57"/>
      <c r="G210" s="58"/>
      <c r="H210" s="58"/>
      <c r="I210" s="59"/>
    </row>
    <row r="211" spans="1:9" s="60" customFormat="1" ht="30.75" customHeight="1" x14ac:dyDescent="0.2">
      <c r="A211" s="359" t="s">
        <v>697</v>
      </c>
      <c r="B211" s="523">
        <f>1500000+662910</f>
        <v>2162910</v>
      </c>
      <c r="C211" s="523">
        <v>1862910</v>
      </c>
      <c r="D211" s="523">
        <v>1862910</v>
      </c>
      <c r="E211" s="633">
        <f t="shared" ref="E211:E238" si="7">D211-C211</f>
        <v>0</v>
      </c>
      <c r="F211" s="57"/>
      <c r="G211" s="58"/>
      <c r="H211" s="58"/>
      <c r="I211" s="59"/>
    </row>
    <row r="212" spans="1:9" s="60" customFormat="1" ht="19.5" customHeight="1" x14ac:dyDescent="0.2">
      <c r="A212" s="525" t="s">
        <v>336</v>
      </c>
      <c r="B212" s="519">
        <v>4390667</v>
      </c>
      <c r="C212" s="519">
        <v>7606667</v>
      </c>
      <c r="D212" s="519">
        <v>7606667</v>
      </c>
      <c r="E212" s="526">
        <f t="shared" si="7"/>
        <v>0</v>
      </c>
      <c r="F212" s="57"/>
      <c r="G212" s="58"/>
      <c r="H212" s="58"/>
      <c r="I212" s="59"/>
    </row>
    <row r="213" spans="1:9" s="60" customFormat="1" ht="40.700000000000003" customHeight="1" x14ac:dyDescent="0.2">
      <c r="A213" s="358" t="s">
        <v>480</v>
      </c>
      <c r="B213" s="523"/>
      <c r="C213" s="523">
        <v>4000000</v>
      </c>
      <c r="D213" s="523">
        <v>4000000</v>
      </c>
      <c r="E213" s="526">
        <f t="shared" si="7"/>
        <v>0</v>
      </c>
      <c r="F213" s="57"/>
      <c r="G213" s="58"/>
      <c r="H213" s="58"/>
      <c r="I213" s="59"/>
    </row>
    <row r="214" spans="1:9" s="60" customFormat="1" ht="30" x14ac:dyDescent="0.2">
      <c r="A214" s="358" t="s">
        <v>589</v>
      </c>
      <c r="B214" s="519">
        <v>6751410</v>
      </c>
      <c r="C214" s="519">
        <v>6751410</v>
      </c>
      <c r="D214" s="519">
        <v>6751410</v>
      </c>
      <c r="E214" s="526">
        <f t="shared" si="7"/>
        <v>0</v>
      </c>
      <c r="F214" s="57"/>
      <c r="G214" s="58"/>
      <c r="H214" s="58"/>
      <c r="I214" s="59"/>
    </row>
    <row r="215" spans="1:9" s="60" customFormat="1" ht="15" x14ac:dyDescent="0.2">
      <c r="A215" s="358" t="s">
        <v>1012</v>
      </c>
      <c r="B215" s="519"/>
      <c r="C215" s="519">
        <v>7744384</v>
      </c>
      <c r="D215" s="519">
        <v>7744384</v>
      </c>
      <c r="E215" s="526">
        <f t="shared" si="7"/>
        <v>0</v>
      </c>
      <c r="F215" s="57"/>
      <c r="G215" s="58"/>
      <c r="H215" s="58"/>
      <c r="I215" s="59"/>
    </row>
    <row r="216" spans="1:9" s="60" customFormat="1" ht="30" x14ac:dyDescent="0.2">
      <c r="A216" s="315" t="s">
        <v>590</v>
      </c>
      <c r="B216" s="519">
        <v>30000000</v>
      </c>
      <c r="C216" s="519">
        <v>30000000</v>
      </c>
      <c r="D216" s="519">
        <v>30000000</v>
      </c>
      <c r="E216" s="526">
        <f t="shared" si="7"/>
        <v>0</v>
      </c>
      <c r="F216" s="57"/>
      <c r="G216" s="58"/>
      <c r="H216" s="58"/>
      <c r="I216" s="59"/>
    </row>
    <row r="217" spans="1:9" s="60" customFormat="1" ht="34.5" customHeight="1" x14ac:dyDescent="0.2">
      <c r="A217" s="574" t="s">
        <v>591</v>
      </c>
      <c r="B217" s="519">
        <v>5000000</v>
      </c>
      <c r="C217" s="519">
        <v>5000000</v>
      </c>
      <c r="D217" s="519">
        <v>5000000</v>
      </c>
      <c r="E217" s="526">
        <f t="shared" si="7"/>
        <v>0</v>
      </c>
      <c r="F217" s="57"/>
      <c r="G217" s="58"/>
      <c r="H217" s="58"/>
      <c r="I217" s="59"/>
    </row>
    <row r="218" spans="1:9" s="60" customFormat="1" ht="45" x14ac:dyDescent="0.2">
      <c r="A218" s="359" t="s">
        <v>481</v>
      </c>
      <c r="B218" s="519">
        <v>2000000</v>
      </c>
      <c r="C218" s="519">
        <v>2000000</v>
      </c>
      <c r="D218" s="519">
        <v>2000000</v>
      </c>
      <c r="E218" s="526">
        <f t="shared" si="7"/>
        <v>0</v>
      </c>
      <c r="F218" s="57"/>
      <c r="G218" s="58"/>
      <c r="H218" s="58"/>
      <c r="I218" s="59"/>
    </row>
    <row r="219" spans="1:9" s="60" customFormat="1" ht="30" x14ac:dyDescent="0.2">
      <c r="A219" s="359" t="s">
        <v>1071</v>
      </c>
      <c r="B219" s="519"/>
      <c r="C219" s="519">
        <v>200000</v>
      </c>
      <c r="D219" s="519">
        <v>200000</v>
      </c>
      <c r="E219" s="526">
        <f t="shared" si="7"/>
        <v>0</v>
      </c>
      <c r="F219" s="57"/>
      <c r="G219" s="58"/>
      <c r="H219" s="58"/>
      <c r="I219" s="59"/>
    </row>
    <row r="220" spans="1:9" s="60" customFormat="1" ht="15" x14ac:dyDescent="0.2">
      <c r="A220" s="359" t="s">
        <v>1072</v>
      </c>
      <c r="B220" s="519"/>
      <c r="C220" s="519">
        <v>335000</v>
      </c>
      <c r="D220" s="519">
        <v>335000</v>
      </c>
      <c r="E220" s="526">
        <f t="shared" si="7"/>
        <v>0</v>
      </c>
      <c r="F220" s="57"/>
      <c r="G220" s="58"/>
      <c r="H220" s="58"/>
      <c r="I220" s="59"/>
    </row>
    <row r="221" spans="1:9" s="60" customFormat="1" ht="30" x14ac:dyDescent="0.2">
      <c r="A221" s="359" t="s">
        <v>681</v>
      </c>
      <c r="B221" s="519">
        <v>25000000</v>
      </c>
      <c r="C221" s="519">
        <v>25000000</v>
      </c>
      <c r="D221" s="519">
        <v>25000000</v>
      </c>
      <c r="E221" s="526">
        <f t="shared" si="7"/>
        <v>0</v>
      </c>
      <c r="F221" s="57"/>
      <c r="G221" s="58"/>
      <c r="H221" s="58"/>
      <c r="I221" s="59"/>
    </row>
    <row r="222" spans="1:9" s="60" customFormat="1" ht="15" x14ac:dyDescent="0.2">
      <c r="A222" s="359" t="s">
        <v>18</v>
      </c>
      <c r="B222" s="519">
        <v>6000000</v>
      </c>
      <c r="C222" s="519">
        <v>0</v>
      </c>
      <c r="D222" s="519">
        <v>0</v>
      </c>
      <c r="E222" s="526">
        <f t="shared" si="7"/>
        <v>0</v>
      </c>
      <c r="F222" s="57"/>
      <c r="G222" s="58"/>
      <c r="H222" s="58"/>
      <c r="I222" s="59"/>
    </row>
    <row r="223" spans="1:9" s="60" customFormat="1" ht="15" x14ac:dyDescent="0.2">
      <c r="A223" s="359" t="s">
        <v>592</v>
      </c>
      <c r="B223" s="519">
        <v>3000000</v>
      </c>
      <c r="C223" s="519">
        <v>0</v>
      </c>
      <c r="D223" s="519">
        <v>0</v>
      </c>
      <c r="E223" s="526">
        <f t="shared" si="7"/>
        <v>0</v>
      </c>
      <c r="F223" s="57"/>
      <c r="G223" s="58"/>
      <c r="H223" s="58"/>
      <c r="I223" s="59"/>
    </row>
    <row r="224" spans="1:9" s="60" customFormat="1" ht="15" x14ac:dyDescent="0.2">
      <c r="A224" s="359" t="s">
        <v>702</v>
      </c>
      <c r="B224" s="519">
        <v>2000000</v>
      </c>
      <c r="C224" s="519">
        <v>2000000</v>
      </c>
      <c r="D224" s="519">
        <v>2000000</v>
      </c>
      <c r="E224" s="526">
        <f t="shared" si="7"/>
        <v>0</v>
      </c>
      <c r="F224" s="57"/>
      <c r="G224" s="58"/>
      <c r="H224" s="58"/>
      <c r="I224" s="59"/>
    </row>
    <row r="225" spans="1:9" s="60" customFormat="1" ht="30" x14ac:dyDescent="0.2">
      <c r="A225" s="359" t="s">
        <v>1073</v>
      </c>
      <c r="B225" s="519"/>
      <c r="C225" s="519">
        <v>796000</v>
      </c>
      <c r="D225" s="519">
        <v>796000</v>
      </c>
      <c r="E225" s="526">
        <f t="shared" si="7"/>
        <v>0</v>
      </c>
      <c r="F225" s="57"/>
      <c r="G225" s="58"/>
      <c r="H225" s="58"/>
      <c r="I225" s="59"/>
    </row>
    <row r="226" spans="1:9" s="60" customFormat="1" ht="30" x14ac:dyDescent="0.2">
      <c r="A226" s="359" t="s">
        <v>1074</v>
      </c>
      <c r="B226" s="519"/>
      <c r="C226" s="519">
        <v>5000000</v>
      </c>
      <c r="D226" s="519">
        <v>5000000</v>
      </c>
      <c r="E226" s="526">
        <f t="shared" si="7"/>
        <v>0</v>
      </c>
      <c r="F226" s="57"/>
      <c r="G226" s="58"/>
      <c r="H226" s="58"/>
      <c r="I226" s="59"/>
    </row>
    <row r="227" spans="1:9" s="60" customFormat="1" ht="15" x14ac:dyDescent="0.2">
      <c r="A227" s="317" t="s">
        <v>482</v>
      </c>
      <c r="B227" s="519"/>
      <c r="C227" s="519"/>
      <c r="D227" s="519"/>
      <c r="E227" s="526">
        <f t="shared" si="7"/>
        <v>0</v>
      </c>
      <c r="F227" s="57"/>
      <c r="G227" s="58"/>
      <c r="H227" s="58"/>
      <c r="I227" s="59"/>
    </row>
    <row r="228" spans="1:9" s="60" customFormat="1" ht="21.2" customHeight="1" x14ac:dyDescent="0.2">
      <c r="A228" s="311" t="s">
        <v>483</v>
      </c>
      <c r="B228" s="519">
        <v>135000</v>
      </c>
      <c r="C228" s="519">
        <v>135000</v>
      </c>
      <c r="D228" s="519">
        <v>135000</v>
      </c>
      <c r="E228" s="526">
        <f t="shared" si="7"/>
        <v>0</v>
      </c>
      <c r="F228" s="57"/>
      <c r="G228" s="58"/>
      <c r="H228" s="58"/>
      <c r="I228" s="59"/>
    </row>
    <row r="229" spans="1:9" s="60" customFormat="1" ht="21.2" customHeight="1" x14ac:dyDescent="0.2">
      <c r="A229" s="311" t="s">
        <v>484</v>
      </c>
      <c r="B229" s="519">
        <v>420000</v>
      </c>
      <c r="C229" s="519">
        <v>420000</v>
      </c>
      <c r="D229" s="519">
        <v>420000</v>
      </c>
      <c r="E229" s="526">
        <f t="shared" si="7"/>
        <v>0</v>
      </c>
      <c r="F229" s="57"/>
      <c r="G229" s="58"/>
      <c r="H229" s="58"/>
      <c r="I229" s="59"/>
    </row>
    <row r="230" spans="1:9" s="60" customFormat="1" ht="21.2" customHeight="1" x14ac:dyDescent="0.2">
      <c r="A230" s="311" t="s">
        <v>485</v>
      </c>
      <c r="B230" s="519">
        <v>420000</v>
      </c>
      <c r="C230" s="519">
        <v>420000</v>
      </c>
      <c r="D230" s="519">
        <v>420000</v>
      </c>
      <c r="E230" s="526">
        <f t="shared" si="7"/>
        <v>0</v>
      </c>
      <c r="F230" s="57"/>
      <c r="G230" s="58"/>
      <c r="H230" s="58"/>
      <c r="I230" s="59"/>
    </row>
    <row r="231" spans="1:9" s="60" customFormat="1" ht="21.2" customHeight="1" x14ac:dyDescent="0.2">
      <c r="A231" s="311" t="s">
        <v>486</v>
      </c>
      <c r="B231" s="519">
        <v>180000</v>
      </c>
      <c r="C231" s="519">
        <v>180000</v>
      </c>
      <c r="D231" s="519">
        <v>180000</v>
      </c>
      <c r="E231" s="526">
        <f t="shared" si="7"/>
        <v>0</v>
      </c>
      <c r="F231" s="57"/>
      <c r="G231" s="58"/>
      <c r="H231" s="58"/>
      <c r="I231" s="59"/>
    </row>
    <row r="232" spans="1:9" s="60" customFormat="1" ht="21.2" customHeight="1" x14ac:dyDescent="0.2">
      <c r="A232" s="311" t="s">
        <v>487</v>
      </c>
      <c r="B232" s="519">
        <v>120000</v>
      </c>
      <c r="C232" s="519">
        <v>120000</v>
      </c>
      <c r="D232" s="519">
        <v>120000</v>
      </c>
      <c r="E232" s="526">
        <f t="shared" si="7"/>
        <v>0</v>
      </c>
      <c r="F232" s="57"/>
      <c r="G232" s="58"/>
      <c r="H232" s="58"/>
      <c r="I232" s="59"/>
    </row>
    <row r="233" spans="1:9" s="60" customFormat="1" ht="21.2" customHeight="1" x14ac:dyDescent="0.2">
      <c r="A233" s="71" t="s">
        <v>464</v>
      </c>
      <c r="B233" s="257">
        <f>SUM(B234:B236)</f>
        <v>4584418</v>
      </c>
      <c r="C233" s="257">
        <f>SUM(C234:C236)</f>
        <v>4584418</v>
      </c>
      <c r="D233" s="257">
        <f>SUM(D234:D236)</f>
        <v>4584418</v>
      </c>
      <c r="E233" s="526">
        <f t="shared" si="7"/>
        <v>0</v>
      </c>
      <c r="F233" s="57"/>
      <c r="G233" s="58"/>
      <c r="H233" s="58"/>
      <c r="I233" s="59"/>
    </row>
    <row r="234" spans="1:9" s="60" customFormat="1" ht="16.5" customHeight="1" x14ac:dyDescent="0.2">
      <c r="A234" s="223" t="s">
        <v>230</v>
      </c>
      <c r="B234" s="519">
        <v>1496398</v>
      </c>
      <c r="C234" s="519">
        <v>1496398</v>
      </c>
      <c r="D234" s="519">
        <v>1496398</v>
      </c>
      <c r="E234" s="526">
        <f t="shared" si="7"/>
        <v>0</v>
      </c>
      <c r="F234" s="57"/>
      <c r="G234" s="58"/>
      <c r="H234" s="58"/>
      <c r="I234" s="59"/>
    </row>
    <row r="235" spans="1:9" s="60" customFormat="1" ht="18" customHeight="1" x14ac:dyDescent="0.2">
      <c r="A235" s="223" t="s">
        <v>231</v>
      </c>
      <c r="B235" s="519">
        <v>1589260</v>
      </c>
      <c r="C235" s="519">
        <v>1589260</v>
      </c>
      <c r="D235" s="519">
        <v>1589260</v>
      </c>
      <c r="E235" s="526">
        <f t="shared" si="7"/>
        <v>0</v>
      </c>
      <c r="F235" s="57"/>
      <c r="G235" s="58"/>
      <c r="H235" s="58"/>
      <c r="I235" s="59"/>
    </row>
    <row r="236" spans="1:9" s="60" customFormat="1" ht="17.45" customHeight="1" x14ac:dyDescent="0.2">
      <c r="A236" s="226" t="s">
        <v>232</v>
      </c>
      <c r="B236" s="519">
        <v>1498760</v>
      </c>
      <c r="C236" s="519">
        <v>1498760</v>
      </c>
      <c r="D236" s="519">
        <v>1498760</v>
      </c>
      <c r="E236" s="526">
        <f t="shared" si="7"/>
        <v>0</v>
      </c>
      <c r="F236" s="57"/>
      <c r="G236" s="58"/>
      <c r="H236" s="58"/>
      <c r="I236" s="59"/>
    </row>
    <row r="237" spans="1:9" s="60" customFormat="1" ht="17.45" customHeight="1" x14ac:dyDescent="0.25">
      <c r="A237" s="224" t="s">
        <v>233</v>
      </c>
      <c r="B237" s="225">
        <f>B197+B184+B178+B183</f>
        <v>236380585</v>
      </c>
      <c r="C237" s="1313">
        <f>C197+C184+C178+C183</f>
        <v>1807660444</v>
      </c>
      <c r="D237" s="1313">
        <f>D197+D184+D178+D183</f>
        <v>1808860444</v>
      </c>
      <c r="E237" s="1394">
        <f t="shared" si="7"/>
        <v>1200000</v>
      </c>
      <c r="F237" s="57"/>
      <c r="G237" s="58"/>
      <c r="H237" s="58"/>
      <c r="I237" s="59"/>
    </row>
    <row r="238" spans="1:9" s="92" customFormat="1" ht="20.25" customHeight="1" thickBot="1" x14ac:dyDescent="0.3">
      <c r="A238" s="72" t="s">
        <v>234</v>
      </c>
      <c r="B238" s="207">
        <f>SUM(B237+B175)</f>
        <v>8975675571</v>
      </c>
      <c r="C238" s="322">
        <f>SUM(C237+C175)</f>
        <v>11570288004</v>
      </c>
      <c r="D238" s="322">
        <f>SUM(D237+D175)</f>
        <v>11586425429</v>
      </c>
      <c r="E238" s="1441">
        <f t="shared" si="7"/>
        <v>16137425</v>
      </c>
      <c r="F238" s="89"/>
      <c r="G238" s="90">
        <f>5000000+918210+1100000+100000+3939215</f>
        <v>11057425</v>
      </c>
      <c r="H238" s="90">
        <f>E238-G238</f>
        <v>5080000</v>
      </c>
      <c r="I238" s="91"/>
    </row>
    <row r="239" spans="1:9" s="92" customFormat="1" ht="45.75" thickBot="1" x14ac:dyDescent="0.25">
      <c r="A239" s="374" t="s">
        <v>86</v>
      </c>
      <c r="B239" s="1291" t="s">
        <v>657</v>
      </c>
      <c r="C239" s="390" t="s">
        <v>1041</v>
      </c>
      <c r="D239" s="390" t="s">
        <v>1088</v>
      </c>
      <c r="E239" s="391" t="s">
        <v>983</v>
      </c>
      <c r="F239" s="89"/>
      <c r="G239" s="90"/>
      <c r="H239" s="90"/>
      <c r="I239" s="91"/>
    </row>
    <row r="240" spans="1:9" s="92" customFormat="1" ht="18" customHeight="1" x14ac:dyDescent="0.25">
      <c r="A240" s="82" t="s">
        <v>235</v>
      </c>
      <c r="B240" s="527"/>
      <c r="C240" s="598"/>
      <c r="D240" s="598"/>
      <c r="E240" s="670"/>
      <c r="F240" s="89"/>
      <c r="G240" s="90"/>
      <c r="H240" s="90"/>
      <c r="I240" s="91"/>
    </row>
    <row r="241" spans="1:9" s="92" customFormat="1" ht="18" customHeight="1" x14ac:dyDescent="0.2">
      <c r="A241" s="71" t="s">
        <v>236</v>
      </c>
      <c r="B241" s="526">
        <v>74242424</v>
      </c>
      <c r="C241" s="526">
        <v>74242424</v>
      </c>
      <c r="D241" s="526">
        <v>74242424</v>
      </c>
      <c r="E241" s="459">
        <f>D241-C241</f>
        <v>0</v>
      </c>
      <c r="F241" s="89"/>
      <c r="G241" s="90"/>
      <c r="H241" s="90"/>
      <c r="I241" s="91"/>
    </row>
    <row r="242" spans="1:9" s="92" customFormat="1" ht="18" customHeight="1" x14ac:dyDescent="0.2">
      <c r="A242" s="1203" t="s">
        <v>992</v>
      </c>
      <c r="B242" s="526"/>
      <c r="C242" s="526">
        <v>800000000</v>
      </c>
      <c r="D242" s="526">
        <v>800000000</v>
      </c>
      <c r="E242" s="459">
        <f>D242-C242</f>
        <v>0</v>
      </c>
      <c r="F242" s="89"/>
      <c r="G242" s="90"/>
      <c r="H242" s="90"/>
      <c r="I242" s="91"/>
    </row>
    <row r="243" spans="1:9" s="65" customFormat="1" ht="21.2" customHeight="1" x14ac:dyDescent="0.2">
      <c r="A243" s="71" t="s">
        <v>212</v>
      </c>
      <c r="B243" s="526">
        <v>0</v>
      </c>
      <c r="C243" s="526">
        <v>0</v>
      </c>
      <c r="D243" s="526">
        <v>0</v>
      </c>
      <c r="E243" s="459">
        <f>D243-C243</f>
        <v>0</v>
      </c>
      <c r="F243" s="62"/>
      <c r="G243" s="63"/>
      <c r="H243" s="63"/>
      <c r="I243" s="64"/>
    </row>
    <row r="244" spans="1:9" s="65" customFormat="1" ht="34.5" customHeight="1" thickBot="1" x14ac:dyDescent="0.25">
      <c r="A244" s="297" t="s">
        <v>457</v>
      </c>
      <c r="B244" s="519">
        <f>40589205+12800000</f>
        <v>53389205</v>
      </c>
      <c r="C244" s="1393">
        <f>40589205+12800000</f>
        <v>53389205</v>
      </c>
      <c r="D244" s="1393">
        <f>40589205+12800000</f>
        <v>53389205</v>
      </c>
      <c r="E244" s="459">
        <f>D244-C244</f>
        <v>0</v>
      </c>
      <c r="F244" s="62"/>
      <c r="G244" s="63"/>
      <c r="H244" s="63"/>
      <c r="I244" s="64"/>
    </row>
    <row r="245" spans="1:9" s="65" customFormat="1" ht="21.2" customHeight="1" thickBot="1" x14ac:dyDescent="0.3">
      <c r="A245" s="464" t="s">
        <v>237</v>
      </c>
      <c r="B245" s="524">
        <f>SUM(B241:B244)</f>
        <v>127631629</v>
      </c>
      <c r="C245" s="524">
        <f>SUM(C241:C244)</f>
        <v>927631629</v>
      </c>
      <c r="D245" s="524">
        <f>SUM(D241:D244)</f>
        <v>927631629</v>
      </c>
      <c r="E245" s="355">
        <f>SUM(E241:E244)</f>
        <v>0</v>
      </c>
      <c r="F245" s="62"/>
      <c r="G245" s="63"/>
      <c r="H245" s="63"/>
      <c r="I245" s="64"/>
    </row>
    <row r="246" spans="1:9" s="92" customFormat="1" ht="18" customHeight="1" x14ac:dyDescent="0.25">
      <c r="A246" s="82" t="s">
        <v>238</v>
      </c>
      <c r="B246" s="528"/>
      <c r="C246" s="528"/>
      <c r="D246" s="528"/>
      <c r="E246" s="465"/>
      <c r="F246" s="89"/>
      <c r="G246" s="90"/>
      <c r="H246" s="90"/>
      <c r="I246" s="91"/>
    </row>
    <row r="247" spans="1:9" s="60" customFormat="1" ht="18" customHeight="1" x14ac:dyDescent="0.2">
      <c r="A247" s="621" t="s">
        <v>659</v>
      </c>
      <c r="B247" s="519">
        <f>'6.sz.tábla  (3)'!B121</f>
        <v>51718627</v>
      </c>
      <c r="C247" s="519">
        <f>'6.sz.tábla  (3)'!C121</f>
        <v>55718627</v>
      </c>
      <c r="D247" s="519">
        <f>'6.sz.tábla  (3)'!D121</f>
        <v>55718627</v>
      </c>
      <c r="E247" s="459">
        <f>D247-C247</f>
        <v>0</v>
      </c>
      <c r="F247" s="57"/>
      <c r="G247" s="58"/>
      <c r="H247" s="58"/>
      <c r="I247" s="59"/>
    </row>
    <row r="248" spans="1:9" s="60" customFormat="1" ht="18" customHeight="1" x14ac:dyDescent="0.2">
      <c r="A248" s="622" t="s">
        <v>660</v>
      </c>
      <c r="B248" s="519">
        <f>'6.sz.tábla  (3)'!B122</f>
        <v>46690000</v>
      </c>
      <c r="C248" s="519">
        <f>'6.sz.tábla  (3)'!C122</f>
        <v>47282620</v>
      </c>
      <c r="D248" s="519">
        <f>'6.sz.tábla  (3)'!D122</f>
        <v>42282620</v>
      </c>
      <c r="E248" s="459">
        <f>D248-C248</f>
        <v>-5000000</v>
      </c>
      <c r="F248" s="57"/>
      <c r="G248" s="58"/>
      <c r="H248" s="58"/>
      <c r="I248" s="59"/>
    </row>
    <row r="249" spans="1:9" s="60" customFormat="1" ht="18" customHeight="1" x14ac:dyDescent="0.2">
      <c r="A249" s="622" t="s">
        <v>239</v>
      </c>
      <c r="B249" s="519">
        <v>9000000</v>
      </c>
      <c r="C249" s="519">
        <v>9000000</v>
      </c>
      <c r="D249" s="519">
        <v>9000000</v>
      </c>
      <c r="E249" s="459">
        <f>D249-C249</f>
        <v>0</v>
      </c>
      <c r="F249" s="57"/>
      <c r="G249" s="58"/>
      <c r="H249" s="58"/>
      <c r="I249" s="59"/>
    </row>
    <row r="250" spans="1:9" s="60" customFormat="1" ht="18" customHeight="1" thickBot="1" x14ac:dyDescent="0.3">
      <c r="A250" s="72" t="s">
        <v>474</v>
      </c>
      <c r="B250" s="207">
        <f>SUM(B247:B249)</f>
        <v>107408627</v>
      </c>
      <c r="C250" s="207">
        <f>SUM(C247:C249)</f>
        <v>112001247</v>
      </c>
      <c r="D250" s="207">
        <f>SUM(D247:D249)</f>
        <v>107001247</v>
      </c>
      <c r="E250" s="354">
        <f>SUM(E247:E249)</f>
        <v>-5000000</v>
      </c>
      <c r="F250" s="57"/>
      <c r="G250" s="58"/>
      <c r="H250" s="58"/>
      <c r="I250" s="59"/>
    </row>
    <row r="251" spans="1:9" s="92" customFormat="1" ht="18" customHeight="1" x14ac:dyDescent="0.2">
      <c r="A251" s="67"/>
      <c r="B251" s="208"/>
      <c r="C251" s="208"/>
      <c r="D251" s="208"/>
      <c r="E251" s="208"/>
      <c r="F251" s="89"/>
      <c r="G251" s="90"/>
      <c r="H251" s="90"/>
      <c r="I251" s="91"/>
    </row>
  </sheetData>
  <sheetProtection selectLockedCells="1" selectUnlockedCells="1"/>
  <mergeCells count="1">
    <mergeCell ref="A4:E4"/>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 6/2021. (III.05.) önkormányzati rendelethez
 az önkormányzat 2020. évi költségvetéséről szóló 6/2020. (III.06.) önkormányzati rendelet 
7. mellékletének helyébe a következő 7. melléklet lép:  &amp;R&amp;P. oldal</oddHeader>
  </headerFooter>
  <rowBreaks count="7" manualBreakCount="7">
    <brk id="38" max="3" man="1"/>
    <brk id="74" max="3" man="1"/>
    <brk id="97" max="3" man="1"/>
    <brk id="130" max="4" man="1"/>
    <brk id="175" max="3" man="1"/>
    <brk id="209" max="3" man="1"/>
    <brk id="238"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view="pageLayout" topLeftCell="C29" zoomScale="88" zoomScaleNormal="100" zoomScaleSheetLayoutView="89" zoomScalePageLayoutView="88" workbookViewId="0">
      <selection activeCell="I38" sqref="I38"/>
    </sheetView>
  </sheetViews>
  <sheetFormatPr defaultColWidth="9.140625" defaultRowHeight="14.25" x14ac:dyDescent="0.2"/>
  <cols>
    <col min="1" max="1" width="45.7109375" style="387" customWidth="1"/>
    <col min="2" max="2" width="18.85546875" style="389" customWidth="1"/>
    <col min="3" max="4" width="17.85546875" style="389" customWidth="1"/>
    <col min="5" max="5" width="17.5703125" style="389" customWidth="1"/>
    <col min="6" max="6" width="45.85546875" style="387" customWidth="1"/>
    <col min="7" max="7" width="19" style="389" customWidth="1"/>
    <col min="8" max="9" width="21.28515625" style="389" customWidth="1"/>
    <col min="10" max="10" width="18.28515625" style="389" customWidth="1"/>
    <col min="11" max="11" width="19" style="389" customWidth="1"/>
    <col min="12" max="12" width="9.140625" style="9"/>
    <col min="13" max="13" width="11.85546875" style="9" customWidth="1"/>
    <col min="14" max="14" width="9.140625" style="9"/>
    <col min="15" max="15" width="12.28515625" style="9" customWidth="1"/>
    <col min="16" max="16384" width="9.140625" style="9"/>
  </cols>
  <sheetData>
    <row r="2" spans="1:14" ht="15" x14ac:dyDescent="0.25">
      <c r="C2" s="1720"/>
      <c r="D2" s="1720"/>
      <c r="E2" s="1720"/>
      <c r="F2" s="1720"/>
      <c r="G2" s="1720"/>
      <c r="H2" s="1720"/>
      <c r="I2" s="1720"/>
      <c r="J2" s="1720"/>
      <c r="K2" s="1720"/>
    </row>
    <row r="4" spans="1:14" ht="15.75" customHeight="1" x14ac:dyDescent="0.25">
      <c r="A4" s="1721" t="s">
        <v>716</v>
      </c>
      <c r="B4" s="1721"/>
      <c r="C4" s="1721"/>
      <c r="D4" s="1721"/>
      <c r="E4" s="1721"/>
      <c r="F4" s="1721"/>
      <c r="G4" s="1721"/>
      <c r="H4" s="1721"/>
      <c r="I4" s="1721"/>
      <c r="J4" s="1721"/>
      <c r="K4" s="1721"/>
    </row>
    <row r="5" spans="1:14" ht="15" thickBot="1" x14ac:dyDescent="0.25"/>
    <row r="6" spans="1:14" s="66" customFormat="1" ht="45.75" thickBot="1" x14ac:dyDescent="0.25">
      <c r="A6" s="292" t="s">
        <v>240</v>
      </c>
      <c r="B6" s="556" t="s">
        <v>657</v>
      </c>
      <c r="C6" s="390" t="s">
        <v>1041</v>
      </c>
      <c r="D6" s="390" t="s">
        <v>1088</v>
      </c>
      <c r="E6" s="391" t="s">
        <v>983</v>
      </c>
      <c r="F6" s="1414" t="s">
        <v>241</v>
      </c>
      <c r="G6" s="556" t="s">
        <v>657</v>
      </c>
      <c r="H6" s="390" t="s">
        <v>1041</v>
      </c>
      <c r="I6" s="390" t="s">
        <v>1088</v>
      </c>
      <c r="J6" s="391" t="s">
        <v>983</v>
      </c>
      <c r="K6" s="476"/>
      <c r="L6" s="477"/>
    </row>
    <row r="7" spans="1:14" ht="26.45" customHeight="1" x14ac:dyDescent="0.2">
      <c r="A7" s="180" t="s">
        <v>242</v>
      </c>
      <c r="B7" s="241">
        <f>'2.sz.tábla   (2)'!N7</f>
        <v>1518232816</v>
      </c>
      <c r="C7" s="258">
        <f>'2.sz.tábla   (2)'!O7</f>
        <v>1644002138</v>
      </c>
      <c r="D7" s="258">
        <f>'2.sz.tábla   (2)'!P7</f>
        <v>1644002138</v>
      </c>
      <c r="E7" s="258">
        <f>D7-C7</f>
        <v>0</v>
      </c>
      <c r="F7" s="739" t="s">
        <v>130</v>
      </c>
      <c r="G7" s="481">
        <f>'4.sz.tábla '!B13</f>
        <v>664026977</v>
      </c>
      <c r="H7" s="245">
        <f>'4.sz.tábla '!C13</f>
        <v>686817565</v>
      </c>
      <c r="I7" s="245">
        <f>'4.sz.tábla '!D13</f>
        <v>687050198</v>
      </c>
      <c r="J7" s="228">
        <f>I7-H7</f>
        <v>232633</v>
      </c>
      <c r="K7" s="9"/>
    </row>
    <row r="8" spans="1:14" x14ac:dyDescent="0.2">
      <c r="A8" s="181" t="s">
        <v>243</v>
      </c>
      <c r="B8" s="242">
        <f>'2.sz.tábla   (2)'!N30</f>
        <v>2058240000</v>
      </c>
      <c r="C8" s="255">
        <f>'2.sz.tábla   (2)'!O30</f>
        <v>1627117610</v>
      </c>
      <c r="D8" s="255">
        <f>'2.sz.tábla   (2)'!P30</f>
        <v>1627117610</v>
      </c>
      <c r="E8" s="255">
        <f>D8-C8</f>
        <v>0</v>
      </c>
      <c r="F8" s="740" t="s">
        <v>244</v>
      </c>
      <c r="G8" s="203">
        <f>'4.sz.tábla '!F13</f>
        <v>122015138</v>
      </c>
      <c r="H8" s="197">
        <f>'4.sz.tábla '!G13</f>
        <v>124464759</v>
      </c>
      <c r="I8" s="197">
        <f>'4.sz.tábla '!H13</f>
        <v>124500817</v>
      </c>
      <c r="J8" s="192">
        <f>I8-H8</f>
        <v>36058</v>
      </c>
      <c r="K8" s="9"/>
    </row>
    <row r="9" spans="1:14" ht="15" x14ac:dyDescent="0.2">
      <c r="A9" s="86" t="s">
        <v>245</v>
      </c>
      <c r="B9" s="242">
        <f>'2.sz.tábla   (2)'!N43-'8. sz. tábla  (3)'!B33</f>
        <v>716113096</v>
      </c>
      <c r="C9" s="255">
        <f>'2.sz.tábla   (2)'!O43-'8. sz. tábla  (3)'!C33</f>
        <v>680347869</v>
      </c>
      <c r="D9" s="255">
        <f>'2.sz.tábla   (2)'!P43-'8. sz. tábla  (3)'!D33</f>
        <v>680275322</v>
      </c>
      <c r="E9" s="255">
        <f t="shared" ref="E9:E25" si="0">D9-C9</f>
        <v>-72547</v>
      </c>
      <c r="F9" s="740" t="s">
        <v>248</v>
      </c>
      <c r="G9" s="203">
        <f>'4.sz.tábla '!J13</f>
        <v>1338249253</v>
      </c>
      <c r="H9" s="197">
        <f>'4.sz.tábla '!K13</f>
        <v>1328334772</v>
      </c>
      <c r="I9" s="197">
        <f>'4.sz.tábla '!L13</f>
        <v>1321806898</v>
      </c>
      <c r="J9" s="192">
        <f t="shared" ref="J9:J25" si="1">I9-H9</f>
        <v>-6527874</v>
      </c>
      <c r="K9" s="9"/>
      <c r="L9" s="7"/>
      <c r="M9" s="8"/>
      <c r="N9" s="8"/>
    </row>
    <row r="10" spans="1:14" ht="28.5" x14ac:dyDescent="0.2">
      <c r="A10" s="181" t="s">
        <v>249</v>
      </c>
      <c r="B10" s="242">
        <f>'2.sz.tábla   (2)'!N66</f>
        <v>3000000</v>
      </c>
      <c r="C10" s="255">
        <f>'2.sz.tábla   (2)'!O66</f>
        <v>19720754</v>
      </c>
      <c r="D10" s="255">
        <f>'2.sz.tábla   (2)'!P66</f>
        <v>19720754</v>
      </c>
      <c r="E10" s="255">
        <f t="shared" si="0"/>
        <v>0</v>
      </c>
      <c r="F10" s="740" t="s">
        <v>149</v>
      </c>
      <c r="G10" s="203">
        <f>'4.sz.tábla '!O13</f>
        <v>27600000</v>
      </c>
      <c r="H10" s="197">
        <f>'4.sz.tábla '!P13</f>
        <v>30600000</v>
      </c>
      <c r="I10" s="197">
        <f>'4.sz.tábla '!Q13</f>
        <v>30600000</v>
      </c>
      <c r="J10" s="192">
        <f t="shared" si="1"/>
        <v>0</v>
      </c>
      <c r="K10" s="9"/>
    </row>
    <row r="11" spans="1:14" x14ac:dyDescent="0.2">
      <c r="A11" s="136"/>
      <c r="B11" s="242"/>
      <c r="C11" s="603"/>
      <c r="D11" s="603"/>
      <c r="E11" s="255">
        <f t="shared" si="0"/>
        <v>0</v>
      </c>
      <c r="F11" s="86" t="s">
        <v>128</v>
      </c>
      <c r="G11" s="200">
        <f t="shared" ref="G11" si="2">SUM(G12:G15)</f>
        <v>1355809612</v>
      </c>
      <c r="H11" s="195">
        <f t="shared" ref="H11:I11" si="3">SUM(H12:H15)</f>
        <v>1232130349</v>
      </c>
      <c r="I11" s="195">
        <f t="shared" si="3"/>
        <v>1232030349</v>
      </c>
      <c r="J11" s="192">
        <f t="shared" si="1"/>
        <v>-100000</v>
      </c>
      <c r="K11" s="9"/>
    </row>
    <row r="12" spans="1:14" x14ac:dyDescent="0.2">
      <c r="A12" s="136"/>
      <c r="B12" s="242"/>
      <c r="C12" s="255"/>
      <c r="D12" s="255"/>
      <c r="E12" s="255">
        <f t="shared" si="0"/>
        <v>0</v>
      </c>
      <c r="F12" s="136" t="s">
        <v>323</v>
      </c>
      <c r="G12" s="203">
        <f>'5.tábla (2)'!B137</f>
        <v>7183231</v>
      </c>
      <c r="H12" s="197">
        <f>'5.tábla (2)'!C137</f>
        <v>7183231</v>
      </c>
      <c r="I12" s="197">
        <f>'5.tábla (2)'!D137</f>
        <v>7183231</v>
      </c>
      <c r="J12" s="192">
        <f t="shared" si="1"/>
        <v>0</v>
      </c>
      <c r="K12" s="9"/>
    </row>
    <row r="13" spans="1:14" ht="28.5" x14ac:dyDescent="0.2">
      <c r="A13" s="181"/>
      <c r="B13" s="242"/>
      <c r="C13" s="255"/>
      <c r="D13" s="255"/>
      <c r="E13" s="255">
        <f t="shared" si="0"/>
        <v>0</v>
      </c>
      <c r="F13" s="136" t="s">
        <v>324</v>
      </c>
      <c r="G13" s="203">
        <f>'5.tábla (2)'!B141</f>
        <v>535229687</v>
      </c>
      <c r="H13" s="197">
        <f>'5.tábla (2)'!C141+'5.tábla (2)'!C37+'4.sz.tábla '!T9</f>
        <v>512757615</v>
      </c>
      <c r="I13" s="197">
        <f>'5.tábla (2)'!D141+'5.tábla (2)'!D37+'4.sz.tábla '!U9</f>
        <v>512657615</v>
      </c>
      <c r="J13" s="192">
        <f t="shared" si="1"/>
        <v>-100000</v>
      </c>
      <c r="K13" s="9"/>
    </row>
    <row r="14" spans="1:14" ht="28.5" x14ac:dyDescent="0.2">
      <c r="A14" s="182"/>
      <c r="B14" s="242"/>
      <c r="C14" s="255"/>
      <c r="D14" s="255"/>
      <c r="E14" s="255">
        <f t="shared" si="0"/>
        <v>0</v>
      </c>
      <c r="F14" s="466" t="s">
        <v>325</v>
      </c>
      <c r="G14" s="203">
        <f>'5.tábla (2)'!B146</f>
        <v>813396694</v>
      </c>
      <c r="H14" s="197">
        <f>'5.tábla (2)'!C146</f>
        <v>712189503</v>
      </c>
      <c r="I14" s="197">
        <f>'5.tábla (2)'!D146</f>
        <v>712189503</v>
      </c>
      <c r="J14" s="192">
        <f t="shared" si="1"/>
        <v>0</v>
      </c>
      <c r="K14" s="9"/>
    </row>
    <row r="15" spans="1:14" ht="28.5" x14ac:dyDescent="0.2">
      <c r="A15" s="181"/>
      <c r="B15" s="242"/>
      <c r="C15" s="255"/>
      <c r="D15" s="255"/>
      <c r="E15" s="255">
        <f t="shared" si="0"/>
        <v>0</v>
      </c>
      <c r="F15" s="136" t="s">
        <v>326</v>
      </c>
      <c r="G15" s="203">
        <f>'5.tábla (2)'!B143</f>
        <v>0</v>
      </c>
      <c r="H15" s="197">
        <f>'5.tábla (2)'!C143</f>
        <v>0</v>
      </c>
      <c r="I15" s="197">
        <f>'5.tábla (2)'!D143</f>
        <v>0</v>
      </c>
      <c r="J15" s="192">
        <f t="shared" si="1"/>
        <v>0</v>
      </c>
      <c r="K15" s="9"/>
    </row>
    <row r="16" spans="1:14" x14ac:dyDescent="0.2">
      <c r="A16" s="136"/>
      <c r="B16" s="242"/>
      <c r="C16" s="255"/>
      <c r="D16" s="255"/>
      <c r="E16" s="255">
        <f t="shared" si="0"/>
        <v>0</v>
      </c>
      <c r="F16" s="86" t="s">
        <v>317</v>
      </c>
      <c r="G16" s="203">
        <f>'1.sz.tábla   (2)'!B30-'8. sz. tábla  (3)'!G38</f>
        <v>39684814</v>
      </c>
      <c r="H16" s="197">
        <f>'1.sz.tábla   (2)'!C30-'8. sz. tábla  (3)'!H38</f>
        <v>131124997</v>
      </c>
      <c r="I16" s="197">
        <f>'1.sz.tábla   (2)'!D30-'8. sz. tábla  (3)'!I38</f>
        <v>160007271</v>
      </c>
      <c r="J16" s="192">
        <f t="shared" si="1"/>
        <v>28882274</v>
      </c>
      <c r="K16" s="9"/>
    </row>
    <row r="17" spans="1:11" s="1" customFormat="1" ht="15" x14ac:dyDescent="0.25">
      <c r="A17" s="137" t="s">
        <v>250</v>
      </c>
      <c r="B17" s="244">
        <f t="shared" ref="B17" si="4">SUM(B7:B16)</f>
        <v>4295585912</v>
      </c>
      <c r="C17" s="259">
        <f t="shared" ref="C17:D17" si="5">SUM(C7:C16)</f>
        <v>3971188371</v>
      </c>
      <c r="D17" s="259">
        <f t="shared" si="5"/>
        <v>3971115824</v>
      </c>
      <c r="E17" s="299">
        <f t="shared" si="0"/>
        <v>-72547</v>
      </c>
      <c r="F17" s="176" t="s">
        <v>251</v>
      </c>
      <c r="G17" s="201">
        <f t="shared" ref="G17" si="6">G7+G8+G9+G10+G11+G16</f>
        <v>3547385794</v>
      </c>
      <c r="H17" s="193">
        <f t="shared" ref="H17:I17" si="7">H7+H8+H9+H10+H11+H16</f>
        <v>3533472442</v>
      </c>
      <c r="I17" s="193">
        <f t="shared" si="7"/>
        <v>3555995533</v>
      </c>
      <c r="J17" s="736">
        <f>I17-H17</f>
        <v>22523091</v>
      </c>
    </row>
    <row r="18" spans="1:11" s="1" customFormat="1" ht="15" x14ac:dyDescent="0.25">
      <c r="A18" s="137" t="s">
        <v>252</v>
      </c>
      <c r="B18" s="244">
        <f>B17-G17</f>
        <v>748200118</v>
      </c>
      <c r="C18" s="259">
        <f>C17-H17</f>
        <v>437715929</v>
      </c>
      <c r="D18" s="259">
        <f>D17-I17</f>
        <v>415120291</v>
      </c>
      <c r="E18" s="299">
        <f t="shared" si="0"/>
        <v>-22595638</v>
      </c>
      <c r="F18" s="137" t="s">
        <v>253</v>
      </c>
      <c r="G18" s="201"/>
      <c r="H18" s="259"/>
      <c r="I18" s="259"/>
      <c r="J18" s="192">
        <f t="shared" si="1"/>
        <v>0</v>
      </c>
    </row>
    <row r="19" spans="1:11" s="1" customFormat="1" ht="30" x14ac:dyDescent="0.25">
      <c r="A19" s="183" t="s">
        <v>254</v>
      </c>
      <c r="B19" s="244">
        <f t="shared" ref="B19:D19" si="8">SUM(B20)</f>
        <v>169764970</v>
      </c>
      <c r="C19" s="259">
        <f t="shared" si="8"/>
        <v>162764447</v>
      </c>
      <c r="D19" s="259">
        <f t="shared" si="8"/>
        <v>156226347</v>
      </c>
      <c r="E19" s="299">
        <f t="shared" si="0"/>
        <v>-6538100</v>
      </c>
      <c r="F19" s="137" t="s">
        <v>255</v>
      </c>
      <c r="G19" s="201">
        <f t="shared" ref="G19" si="9">SUM(G20:G23)</f>
        <v>53389205</v>
      </c>
      <c r="H19" s="193">
        <f t="shared" ref="H19:I19" si="10">SUM(H20:H23)</f>
        <v>53389205</v>
      </c>
      <c r="I19" s="193">
        <f t="shared" si="10"/>
        <v>53389205</v>
      </c>
      <c r="J19" s="736">
        <f t="shared" si="1"/>
        <v>0</v>
      </c>
    </row>
    <row r="20" spans="1:11" ht="28.5" x14ac:dyDescent="0.2">
      <c r="A20" s="136" t="s">
        <v>256</v>
      </c>
      <c r="B20" s="242">
        <f>'2.sz.tábla   (2)'!N77</f>
        <v>169764970</v>
      </c>
      <c r="C20" s="197">
        <f>'2.sz.tábla   (2)'!O77</f>
        <v>162764447</v>
      </c>
      <c r="D20" s="197">
        <f>'2.sz.tábla   (2)'!P77</f>
        <v>156226347</v>
      </c>
      <c r="E20" s="255">
        <f t="shared" si="0"/>
        <v>-6538100</v>
      </c>
      <c r="F20" s="136" t="s">
        <v>523</v>
      </c>
      <c r="G20" s="203">
        <f>'7. sz. tábla 1'!B244</f>
        <v>53389205</v>
      </c>
      <c r="H20" s="197">
        <f>'7. sz. tábla 1'!C244</f>
        <v>53389205</v>
      </c>
      <c r="I20" s="197">
        <f>'7. sz. tábla 1'!D244</f>
        <v>53389205</v>
      </c>
      <c r="J20" s="192">
        <f t="shared" si="1"/>
        <v>0</v>
      </c>
      <c r="K20" s="9"/>
    </row>
    <row r="21" spans="1:11" s="1" customFormat="1" ht="30" x14ac:dyDescent="0.25">
      <c r="A21" s="137" t="s">
        <v>257</v>
      </c>
      <c r="B21" s="480">
        <f t="shared" ref="B21" si="11">SUM(B22:B24)</f>
        <v>12800000</v>
      </c>
      <c r="C21" s="467">
        <f t="shared" ref="C21:D21" si="12">SUM(C22:C24)</f>
        <v>289413683</v>
      </c>
      <c r="D21" s="467">
        <f t="shared" si="12"/>
        <v>324834536</v>
      </c>
      <c r="E21" s="299">
        <f t="shared" si="0"/>
        <v>35420853</v>
      </c>
      <c r="F21" s="137" t="s">
        <v>327</v>
      </c>
      <c r="G21" s="201"/>
      <c r="H21" s="259"/>
      <c r="I21" s="259"/>
      <c r="J21" s="192">
        <f t="shared" si="1"/>
        <v>0</v>
      </c>
    </row>
    <row r="22" spans="1:11" ht="15" x14ac:dyDescent="0.25">
      <c r="A22" s="178" t="s">
        <v>258</v>
      </c>
      <c r="B22" s="242">
        <v>0</v>
      </c>
      <c r="C22" s="195">
        <v>276613683</v>
      </c>
      <c r="D22" s="195">
        <v>276613683</v>
      </c>
      <c r="E22" s="255">
        <f t="shared" si="0"/>
        <v>0</v>
      </c>
      <c r="F22" s="136" t="s">
        <v>340</v>
      </c>
      <c r="G22" s="201"/>
      <c r="H22" s="259"/>
      <c r="I22" s="259"/>
      <c r="J22" s="192">
        <f t="shared" si="1"/>
        <v>0</v>
      </c>
      <c r="K22" s="9"/>
    </row>
    <row r="23" spans="1:11" x14ac:dyDescent="0.2">
      <c r="A23" s="136" t="s">
        <v>259</v>
      </c>
      <c r="B23" s="242"/>
      <c r="C23" s="260"/>
      <c r="D23" s="260"/>
      <c r="E23" s="255">
        <f t="shared" si="0"/>
        <v>0</v>
      </c>
      <c r="F23" s="466" t="s">
        <v>338</v>
      </c>
      <c r="G23" s="482">
        <f>'7. sz. tábla 1'!B243</f>
        <v>0</v>
      </c>
      <c r="H23" s="229">
        <f>'7. sz. tábla 1'!C243</f>
        <v>0</v>
      </c>
      <c r="I23" s="229">
        <f>'7. sz. tábla 1'!D243</f>
        <v>0</v>
      </c>
      <c r="J23" s="192">
        <f t="shared" si="1"/>
        <v>0</v>
      </c>
      <c r="K23" s="9"/>
    </row>
    <row r="24" spans="1:11" ht="28.5" x14ac:dyDescent="0.2">
      <c r="A24" s="178" t="s">
        <v>339</v>
      </c>
      <c r="B24" s="242">
        <f>'2.sz.tábla   (2)'!N90</f>
        <v>12800000</v>
      </c>
      <c r="C24" s="255">
        <f>'2.sz.tábla   (2)'!O90</f>
        <v>12800000</v>
      </c>
      <c r="D24" s="255">
        <f>'2.sz.tábla   (2)'!P90</f>
        <v>48220853</v>
      </c>
      <c r="E24" s="192">
        <f t="shared" si="0"/>
        <v>35420853</v>
      </c>
      <c r="F24" s="468"/>
      <c r="G24" s="203"/>
      <c r="H24" s="604"/>
      <c r="I24" s="604"/>
      <c r="J24" s="192">
        <f t="shared" si="1"/>
        <v>0</v>
      </c>
      <c r="K24" s="9"/>
    </row>
    <row r="25" spans="1:11" s="1" customFormat="1" ht="15.75" thickBot="1" x14ac:dyDescent="0.3">
      <c r="A25" s="138" t="s">
        <v>260</v>
      </c>
      <c r="B25" s="246">
        <f>B17+B19+B21</f>
        <v>4478150882</v>
      </c>
      <c r="C25" s="194">
        <f>C17+C19+C21</f>
        <v>4423366501</v>
      </c>
      <c r="D25" s="194">
        <f>D17+D19+D21</f>
        <v>4452176707</v>
      </c>
      <c r="E25" s="738">
        <f t="shared" si="0"/>
        <v>28810206</v>
      </c>
      <c r="F25" s="138" t="s">
        <v>261</v>
      </c>
      <c r="G25" s="202">
        <f>G19+G17</f>
        <v>3600774999</v>
      </c>
      <c r="H25" s="194">
        <f>H19+H17</f>
        <v>3586861647</v>
      </c>
      <c r="I25" s="194">
        <f>I19+I17</f>
        <v>3609384738</v>
      </c>
      <c r="J25" s="738">
        <f t="shared" si="1"/>
        <v>22523091</v>
      </c>
    </row>
    <row r="26" spans="1:11" x14ac:dyDescent="0.2">
      <c r="A26" s="376"/>
      <c r="B26" s="469"/>
      <c r="C26" s="469"/>
      <c r="D26" s="469"/>
      <c r="E26" s="469"/>
      <c r="F26" s="694"/>
      <c r="G26" s="470"/>
      <c r="H26" s="470"/>
      <c r="I26" s="470"/>
      <c r="J26" s="470"/>
      <c r="K26" s="469"/>
    </row>
    <row r="27" spans="1:11" ht="15.75" customHeight="1" x14ac:dyDescent="0.25">
      <c r="A27" s="1721" t="s">
        <v>718</v>
      </c>
      <c r="B27" s="1721"/>
      <c r="C27" s="1721"/>
      <c r="D27" s="1721"/>
      <c r="E27" s="1721"/>
      <c r="F27" s="1721"/>
      <c r="G27" s="1721"/>
      <c r="H27" s="1721"/>
      <c r="I27" s="1721"/>
      <c r="J27" s="1721"/>
      <c r="K27" s="1721"/>
    </row>
    <row r="28" spans="1:11" ht="15" thickBot="1" x14ac:dyDescent="0.25"/>
    <row r="29" spans="1:11" s="66" customFormat="1" ht="45.75" thickBot="1" x14ac:dyDescent="0.25">
      <c r="A29" s="292" t="s">
        <v>262</v>
      </c>
      <c r="B29" s="556" t="s">
        <v>657</v>
      </c>
      <c r="C29" s="390" t="s">
        <v>1041</v>
      </c>
      <c r="D29" s="390" t="s">
        <v>1088</v>
      </c>
      <c r="E29" s="391" t="s">
        <v>983</v>
      </c>
      <c r="F29" s="721" t="s">
        <v>263</v>
      </c>
      <c r="G29" s="556" t="s">
        <v>657</v>
      </c>
      <c r="H29" s="390" t="s">
        <v>1041</v>
      </c>
      <c r="I29" s="390" t="s">
        <v>1088</v>
      </c>
      <c r="J29" s="391" t="s">
        <v>983</v>
      </c>
    </row>
    <row r="30" spans="1:11" ht="28.5" x14ac:dyDescent="0.2">
      <c r="A30" s="180" t="s">
        <v>264</v>
      </c>
      <c r="B30" s="241">
        <f>'2.sz.tábla   (2)'!N22</f>
        <v>4751248431</v>
      </c>
      <c r="C30" s="245">
        <f>'2.sz.tábla   (2)'!O22</f>
        <v>6286599318</v>
      </c>
      <c r="D30" s="245">
        <f>'2.sz.tábla   (2)'!P22</f>
        <v>6286599318</v>
      </c>
      <c r="E30" s="228">
        <f>D30-C30</f>
        <v>0</v>
      </c>
      <c r="F30" s="86" t="s">
        <v>265</v>
      </c>
      <c r="G30" s="241">
        <f>'7. sz. tábla 1'!B175</f>
        <v>8739294986</v>
      </c>
      <c r="H30" s="258">
        <f>'7. sz. tábla 1'!C175</f>
        <v>9762627560</v>
      </c>
      <c r="I30" s="258">
        <f>'7. sz. tábla 1'!D175</f>
        <v>9777564985</v>
      </c>
      <c r="J30" s="228">
        <f>I30-H30</f>
        <v>14937425</v>
      </c>
      <c r="K30" s="40"/>
    </row>
    <row r="31" spans="1:11" x14ac:dyDescent="0.2">
      <c r="A31" s="136" t="s">
        <v>266</v>
      </c>
      <c r="B31" s="242">
        <f>'2.sz.tábla   (2)'!N58</f>
        <v>270196741</v>
      </c>
      <c r="C31" s="197">
        <f>'2.sz.tábla   (2)'!O58</f>
        <v>270523434</v>
      </c>
      <c r="D31" s="197">
        <f>'2.sz.tábla   (2)'!P58</f>
        <v>270523434</v>
      </c>
      <c r="E31" s="192">
        <f>D31-C31</f>
        <v>0</v>
      </c>
      <c r="F31" s="136" t="s">
        <v>267</v>
      </c>
      <c r="G31" s="242">
        <f>'4.sz.tábla '!W11</f>
        <v>30976000</v>
      </c>
      <c r="H31" s="255">
        <f>'4.sz.tábla '!X11</f>
        <v>42465272</v>
      </c>
      <c r="I31" s="255">
        <f>'4.sz.tábla '!Y11</f>
        <v>42465272</v>
      </c>
      <c r="J31" s="192">
        <f>I31-H31</f>
        <v>0</v>
      </c>
      <c r="K31" s="9"/>
    </row>
    <row r="32" spans="1:11" x14ac:dyDescent="0.2">
      <c r="A32" s="136" t="s">
        <v>268</v>
      </c>
      <c r="B32" s="242">
        <f>'2.sz.tábla   (2)'!N70</f>
        <v>227000542</v>
      </c>
      <c r="C32" s="197">
        <f>'2.sz.tábla   (2)'!O70</f>
        <v>223000542</v>
      </c>
      <c r="D32" s="197">
        <f>'2.sz.tábla   (2)'!P70</f>
        <v>223000542</v>
      </c>
      <c r="E32" s="192">
        <f t="shared" ref="E32:E46" si="13">D32-C32</f>
        <v>0</v>
      </c>
      <c r="F32" s="136" t="s">
        <v>269</v>
      </c>
      <c r="G32" s="242">
        <f>'7. sz. tábla 1'!B250</f>
        <v>107408627</v>
      </c>
      <c r="H32" s="255">
        <f>'7. sz. tábla 1'!C250</f>
        <v>112001247</v>
      </c>
      <c r="I32" s="255">
        <f>'7. sz. tábla 1'!D250</f>
        <v>107001247</v>
      </c>
      <c r="J32" s="192">
        <f t="shared" ref="J32:J47" si="14">I32-H32</f>
        <v>-5000000</v>
      </c>
      <c r="K32" s="9"/>
    </row>
    <row r="33" spans="1:12" ht="28.5" x14ac:dyDescent="0.2">
      <c r="A33" s="136" t="s">
        <v>1</v>
      </c>
      <c r="B33" s="203">
        <v>133482233</v>
      </c>
      <c r="C33" s="197">
        <v>217322813</v>
      </c>
      <c r="D33" s="197">
        <v>217322813</v>
      </c>
      <c r="E33" s="192">
        <f t="shared" si="13"/>
        <v>0</v>
      </c>
      <c r="F33" s="136" t="s">
        <v>270</v>
      </c>
      <c r="G33" s="240">
        <f>SUM(G34:G37)</f>
        <v>236380585</v>
      </c>
      <c r="H33" s="260">
        <f>SUM(H34:H37)</f>
        <v>1807660444</v>
      </c>
      <c r="I33" s="260">
        <f>SUM(I34:I37)</f>
        <v>1808860444</v>
      </c>
      <c r="J33" s="192">
        <f t="shared" si="14"/>
        <v>1200000</v>
      </c>
      <c r="K33" s="9"/>
    </row>
    <row r="34" spans="1:12" ht="28.5" x14ac:dyDescent="0.2">
      <c r="A34" s="136"/>
      <c r="B34" s="242"/>
      <c r="C34" s="261"/>
      <c r="D34" s="261"/>
      <c r="E34" s="192">
        <f t="shared" si="13"/>
        <v>0</v>
      </c>
      <c r="F34" s="136" t="s">
        <v>271</v>
      </c>
      <c r="G34" s="242">
        <f>'7. sz. tábla 1'!B197</f>
        <v>188580486</v>
      </c>
      <c r="H34" s="255">
        <f>'7. sz. tábla 1'!C197</f>
        <v>191927486</v>
      </c>
      <c r="I34" s="255">
        <f>'7. sz. tábla 1'!D197</f>
        <v>193027486</v>
      </c>
      <c r="J34" s="192">
        <f t="shared" si="14"/>
        <v>1100000</v>
      </c>
      <c r="K34" s="9"/>
    </row>
    <row r="35" spans="1:12" ht="27" customHeight="1" x14ac:dyDescent="0.2">
      <c r="A35" s="136"/>
      <c r="B35" s="242"/>
      <c r="C35" s="261"/>
      <c r="D35" s="261"/>
      <c r="E35" s="192">
        <f t="shared" si="13"/>
        <v>0</v>
      </c>
      <c r="F35" s="471" t="s">
        <v>272</v>
      </c>
      <c r="G35" s="242">
        <f>'7. sz. tábla 1'!B184</f>
        <v>37150000</v>
      </c>
      <c r="H35" s="255">
        <f>'7. sz. tábla 1'!C184</f>
        <v>1598001859</v>
      </c>
      <c r="I35" s="255">
        <f>'7. sz. tábla 1'!D184</f>
        <v>1598101859</v>
      </c>
      <c r="J35" s="192">
        <f t="shared" si="14"/>
        <v>100000</v>
      </c>
      <c r="K35" s="9"/>
    </row>
    <row r="36" spans="1:12" ht="28.5" x14ac:dyDescent="0.2">
      <c r="A36" s="136"/>
      <c r="B36" s="242"/>
      <c r="C36" s="255"/>
      <c r="D36" s="255"/>
      <c r="E36" s="192">
        <f t="shared" si="13"/>
        <v>0</v>
      </c>
      <c r="F36" s="136" t="s">
        <v>342</v>
      </c>
      <c r="G36" s="242">
        <f>'7. sz. tábla 1'!B183</f>
        <v>0</v>
      </c>
      <c r="H36" s="255">
        <f>'7. sz. tábla 1'!C183</f>
        <v>0</v>
      </c>
      <c r="I36" s="255">
        <f>'7. sz. tábla 1'!D183</f>
        <v>0</v>
      </c>
      <c r="J36" s="192">
        <f t="shared" si="14"/>
        <v>0</v>
      </c>
      <c r="K36" s="9"/>
    </row>
    <row r="37" spans="1:12" ht="28.5" x14ac:dyDescent="0.2">
      <c r="A37" s="136"/>
      <c r="B37" s="242"/>
      <c r="C37" s="255"/>
      <c r="D37" s="255"/>
      <c r="E37" s="192">
        <f t="shared" si="13"/>
        <v>0</v>
      </c>
      <c r="F37" s="136" t="s">
        <v>273</v>
      </c>
      <c r="G37" s="242">
        <f>'7. sz. tábla 1'!B178</f>
        <v>10650099</v>
      </c>
      <c r="H37" s="255">
        <f>'7. sz. tábla 1'!C178</f>
        <v>17731099</v>
      </c>
      <c r="I37" s="255">
        <f>'7. sz. tábla 1'!D178</f>
        <v>17731099</v>
      </c>
      <c r="J37" s="192">
        <f t="shared" si="14"/>
        <v>0</v>
      </c>
      <c r="K37" s="9"/>
    </row>
    <row r="38" spans="1:12" x14ac:dyDescent="0.2">
      <c r="A38" s="136"/>
      <c r="B38" s="242"/>
      <c r="C38" s="255"/>
      <c r="D38" s="255"/>
      <c r="E38" s="192">
        <f t="shared" si="13"/>
        <v>0</v>
      </c>
      <c r="F38" s="86" t="s">
        <v>19</v>
      </c>
      <c r="G38" s="242">
        <f>'1.sz.tábla   (2)'!B44+'1.sz.tábla   (2)'!B45+'1.sz.tábla   (2)'!B47+'1.sz.tábla   (2)'!B48+'1.sz.tábla   (2)'!B52+'1.sz.tábla   (2)'!B53</f>
        <v>201320457</v>
      </c>
      <c r="H38" s="255">
        <f>'1.sz.tábla   (2)'!C44+'1.sz.tábla   (2)'!C45+'1.sz.tábla   (2)'!C47+'1.sz.tábla   (2)'!C48+'1.sz.tábla   (2)'!C52+'1.sz.tábla   (2)'!C53+'1.sz.tábla   (2)'!C54</f>
        <v>203983448</v>
      </c>
      <c r="I38" s="255">
        <f>'1.sz.tábla   (2)'!D44+'1.sz.tábla   (2)'!D45+'1.sz.tábla   (2)'!D47+'1.sz.tábla   (2)'!D48+'1.sz.tábla   (2)'!D52+'1.sz.tábla   (2)'!D53+'1.sz.tábla   (2)'!D54</f>
        <v>198944233</v>
      </c>
      <c r="J38" s="192">
        <f t="shared" si="14"/>
        <v>-5039215</v>
      </c>
      <c r="K38" s="9"/>
      <c r="L38" s="40"/>
    </row>
    <row r="39" spans="1:12" s="1" customFormat="1" ht="30" x14ac:dyDescent="0.25">
      <c r="A39" s="137" t="s">
        <v>274</v>
      </c>
      <c r="B39" s="244">
        <f>SUM(B30:B36)</f>
        <v>5381927947</v>
      </c>
      <c r="C39" s="193">
        <f>SUM(C30:C36)</f>
        <v>6997446107</v>
      </c>
      <c r="D39" s="193">
        <f>SUM(D30:D36)</f>
        <v>6997446107</v>
      </c>
      <c r="E39" s="736">
        <f t="shared" si="13"/>
        <v>0</v>
      </c>
      <c r="F39" s="137" t="s">
        <v>275</v>
      </c>
      <c r="G39" s="244">
        <f>G30+G31+G32+G33+G38</f>
        <v>9315380655</v>
      </c>
      <c r="H39" s="259">
        <f>H30+H31+H32+H33+H38</f>
        <v>11928737971</v>
      </c>
      <c r="I39" s="259">
        <f>I30+I31+I32+I33+I38</f>
        <v>11934836181</v>
      </c>
      <c r="J39" s="736">
        <f t="shared" si="14"/>
        <v>6098210</v>
      </c>
    </row>
    <row r="40" spans="1:12" s="1" customFormat="1" ht="15" x14ac:dyDescent="0.25">
      <c r="A40" s="137" t="s">
        <v>276</v>
      </c>
      <c r="B40" s="243"/>
      <c r="C40" s="259"/>
      <c r="D40" s="259"/>
      <c r="E40" s="192">
        <f t="shared" si="13"/>
        <v>0</v>
      </c>
      <c r="F40" s="137" t="s">
        <v>278</v>
      </c>
      <c r="G40" s="244">
        <f>B39-G39</f>
        <v>-3933452708</v>
      </c>
      <c r="H40" s="259">
        <f>C39-H39</f>
        <v>-4931291864</v>
      </c>
      <c r="I40" s="259">
        <f>D39-I39</f>
        <v>-4937390074</v>
      </c>
      <c r="J40" s="736">
        <f t="shared" si="14"/>
        <v>-6098210</v>
      </c>
    </row>
    <row r="41" spans="1:12" s="1" customFormat="1" ht="30" x14ac:dyDescent="0.25">
      <c r="A41" s="137" t="s">
        <v>279</v>
      </c>
      <c r="B41" s="244">
        <f>SUM(B42)</f>
        <v>2704732064</v>
      </c>
      <c r="C41" s="193">
        <f>SUM(C42)</f>
        <v>2956331117</v>
      </c>
      <c r="D41" s="193">
        <f>SUM(D42)</f>
        <v>2956142212</v>
      </c>
      <c r="E41" s="736">
        <f t="shared" si="13"/>
        <v>-188905</v>
      </c>
      <c r="F41" s="137" t="s">
        <v>280</v>
      </c>
      <c r="G41" s="244">
        <f>SUM(G42:G43)</f>
        <v>74242424</v>
      </c>
      <c r="H41" s="259">
        <f>SUM(H42:H43)</f>
        <v>874242424</v>
      </c>
      <c r="I41" s="259">
        <f>SUM(I42:I43)</f>
        <v>874242424</v>
      </c>
      <c r="J41" s="736">
        <f t="shared" si="14"/>
        <v>0</v>
      </c>
    </row>
    <row r="42" spans="1:12" x14ac:dyDescent="0.2">
      <c r="A42" s="136" t="s">
        <v>281</v>
      </c>
      <c r="B42" s="242">
        <f>'2.sz.tábla   (2)'!N78</f>
        <v>2704732064</v>
      </c>
      <c r="C42" s="197">
        <f>'2.sz.tábla   (2)'!O78</f>
        <v>2956331117</v>
      </c>
      <c r="D42" s="197">
        <f>'2.sz.tábla   (2)'!P78</f>
        <v>2956142212</v>
      </c>
      <c r="E42" s="192">
        <f t="shared" si="13"/>
        <v>-188905</v>
      </c>
      <c r="F42" s="136" t="s">
        <v>460</v>
      </c>
      <c r="G42" s="240"/>
      <c r="H42" s="260"/>
      <c r="I42" s="260"/>
      <c r="J42" s="192">
        <f t="shared" si="14"/>
        <v>0</v>
      </c>
      <c r="K42" s="9"/>
    </row>
    <row r="43" spans="1:12" s="1" customFormat="1" ht="30" x14ac:dyDescent="0.25">
      <c r="A43" s="137" t="s">
        <v>282</v>
      </c>
      <c r="B43" s="201">
        <f>SUM(B44:B45)</f>
        <v>425587185</v>
      </c>
      <c r="C43" s="193">
        <f>SUM(C44:C45)</f>
        <v>2012698317</v>
      </c>
      <c r="D43" s="193">
        <f>SUM(D44:D45)</f>
        <v>2012698317</v>
      </c>
      <c r="E43" s="736">
        <f t="shared" si="13"/>
        <v>0</v>
      </c>
      <c r="F43" s="136" t="s">
        <v>283</v>
      </c>
      <c r="G43" s="240">
        <f>'[3]6. sz. tábla 1'!B241</f>
        <v>74242424</v>
      </c>
      <c r="H43" s="260">
        <f>'7. sz. tábla 1'!C241+'7. sz. tábla 1'!C242</f>
        <v>874242424</v>
      </c>
      <c r="I43" s="260">
        <f>'7. sz. tábla 1'!D241+'7. sz. tábla 1'!D242</f>
        <v>874242424</v>
      </c>
      <c r="J43" s="192">
        <f t="shared" si="14"/>
        <v>0</v>
      </c>
    </row>
    <row r="44" spans="1:12" ht="28.5" x14ac:dyDescent="0.2">
      <c r="A44" s="178" t="s">
        <v>284</v>
      </c>
      <c r="B44" s="242">
        <f>'2.sz.tábla   (2)'!N85-B22</f>
        <v>425587185</v>
      </c>
      <c r="C44" s="197">
        <f>'2.sz.tábla   (2)'!O85-C22</f>
        <v>492698317</v>
      </c>
      <c r="D44" s="197">
        <f>'2.sz.tábla   (2)'!P85-D22</f>
        <v>492698317</v>
      </c>
      <c r="E44" s="192">
        <f t="shared" si="13"/>
        <v>0</v>
      </c>
      <c r="F44" s="136" t="s">
        <v>524</v>
      </c>
      <c r="G44" s="242"/>
      <c r="H44" s="255"/>
      <c r="I44" s="255"/>
      <c r="J44" s="192">
        <f t="shared" si="14"/>
        <v>0</v>
      </c>
      <c r="K44" s="9"/>
    </row>
    <row r="45" spans="1:12" ht="15.75" thickBot="1" x14ac:dyDescent="0.3">
      <c r="A45" s="1406" t="s">
        <v>285</v>
      </c>
      <c r="B45" s="696"/>
      <c r="C45" s="697">
        <f>'2.sz.tábla   (2)'!O80</f>
        <v>1520000000</v>
      </c>
      <c r="D45" s="697">
        <f>'2.sz.tábla   (2)'!P80</f>
        <v>1520000000</v>
      </c>
      <c r="E45" s="738">
        <f t="shared" si="13"/>
        <v>0</v>
      </c>
      <c r="F45" s="1407"/>
      <c r="G45" s="1408"/>
      <c r="H45" s="1409"/>
      <c r="I45" s="1409"/>
      <c r="J45" s="1410">
        <f t="shared" si="14"/>
        <v>0</v>
      </c>
      <c r="K45" s="9"/>
    </row>
    <row r="46" spans="1:12" s="1" customFormat="1" ht="15.75" thickBot="1" x14ac:dyDescent="0.3">
      <c r="A46" s="1405" t="s">
        <v>286</v>
      </c>
      <c r="B46" s="695">
        <f>B39+B41+B43</f>
        <v>8512247196</v>
      </c>
      <c r="C46" s="479">
        <f>C39+C41+C43</f>
        <v>11966475541</v>
      </c>
      <c r="D46" s="479">
        <f>D39+D41+D43</f>
        <v>11966286636</v>
      </c>
      <c r="E46" s="1509">
        <f t="shared" si="13"/>
        <v>-188905</v>
      </c>
      <c r="F46" s="1405" t="s">
        <v>287</v>
      </c>
      <c r="G46" s="478">
        <f>G39+G41</f>
        <v>9389623079</v>
      </c>
      <c r="H46" s="623">
        <f>H39+H41</f>
        <v>12802980395</v>
      </c>
      <c r="I46" s="623">
        <f>I39+I41</f>
        <v>12809078605</v>
      </c>
      <c r="J46" s="1510">
        <f t="shared" si="14"/>
        <v>6098210</v>
      </c>
    </row>
    <row r="47" spans="1:12" ht="15" x14ac:dyDescent="0.25">
      <c r="A47" s="388"/>
      <c r="B47" s="392"/>
      <c r="C47" s="392"/>
      <c r="D47" s="392"/>
      <c r="E47" s="392"/>
      <c r="F47" s="376"/>
      <c r="G47" s="472">
        <f>B46-G46</f>
        <v>-877375883</v>
      </c>
      <c r="H47" s="472">
        <f t="shared" ref="H47:I47" si="15">C46-H46</f>
        <v>-836504854</v>
      </c>
      <c r="I47" s="472">
        <f t="shared" si="15"/>
        <v>-842791969</v>
      </c>
      <c r="J47" s="392">
        <f t="shared" si="14"/>
        <v>-6287115</v>
      </c>
      <c r="K47" s="469"/>
    </row>
    <row r="48" spans="1:12" ht="15.75" customHeight="1" x14ac:dyDescent="0.25">
      <c r="A48" s="1721" t="s">
        <v>717</v>
      </c>
      <c r="B48" s="1721"/>
      <c r="C48" s="1721"/>
      <c r="D48" s="1721"/>
      <c r="E48" s="1721"/>
      <c r="F48" s="1721"/>
      <c r="G48" s="1721"/>
      <c r="H48" s="1721"/>
      <c r="I48" s="1721"/>
      <c r="J48" s="1721"/>
      <c r="K48" s="1721"/>
    </row>
    <row r="49" spans="1:11" ht="15" thickBot="1" x14ac:dyDescent="0.25"/>
    <row r="50" spans="1:11" s="66" customFormat="1" ht="45.75" thickBot="1" x14ac:dyDescent="0.25">
      <c r="A50" s="292" t="s">
        <v>288</v>
      </c>
      <c r="B50" s="556" t="s">
        <v>657</v>
      </c>
      <c r="C50" s="390" t="s">
        <v>1041</v>
      </c>
      <c r="D50" s="390" t="s">
        <v>1088</v>
      </c>
      <c r="E50" s="391" t="s">
        <v>983</v>
      </c>
      <c r="F50" s="292" t="s">
        <v>289</v>
      </c>
      <c r="G50" s="556" t="s">
        <v>657</v>
      </c>
      <c r="H50" s="390" t="s">
        <v>1041</v>
      </c>
      <c r="I50" s="390" t="s">
        <v>1088</v>
      </c>
      <c r="J50" s="391" t="s">
        <v>983</v>
      </c>
    </row>
    <row r="51" spans="1:11" x14ac:dyDescent="0.2">
      <c r="A51" s="177" t="s">
        <v>290</v>
      </c>
      <c r="B51" s="473">
        <f>B17</f>
        <v>4295585912</v>
      </c>
      <c r="C51" s="227">
        <f>C17</f>
        <v>3971188371</v>
      </c>
      <c r="D51" s="227">
        <f>D17</f>
        <v>3971115824</v>
      </c>
      <c r="E51" s="227">
        <f>E17</f>
        <v>-72547</v>
      </c>
      <c r="F51" s="86" t="s">
        <v>291</v>
      </c>
      <c r="G51" s="199">
        <f>G17</f>
        <v>3547385794</v>
      </c>
      <c r="H51" s="227">
        <f>H17</f>
        <v>3533472442</v>
      </c>
      <c r="I51" s="227">
        <f>I17</f>
        <v>3555995533</v>
      </c>
      <c r="J51" s="735">
        <f>J17</f>
        <v>22523091</v>
      </c>
      <c r="K51" s="9"/>
    </row>
    <row r="52" spans="1:11" x14ac:dyDescent="0.2">
      <c r="A52" s="136" t="s">
        <v>292</v>
      </c>
      <c r="B52" s="240">
        <f>B39</f>
        <v>5381927947</v>
      </c>
      <c r="C52" s="195">
        <f>C39</f>
        <v>6997446107</v>
      </c>
      <c r="D52" s="195">
        <f>D39</f>
        <v>6997446107</v>
      </c>
      <c r="E52" s="195">
        <f>E39</f>
        <v>0</v>
      </c>
      <c r="F52" s="136" t="s">
        <v>293</v>
      </c>
      <c r="G52" s="200">
        <f>G39</f>
        <v>9315380655</v>
      </c>
      <c r="H52" s="195">
        <f>H39</f>
        <v>11928737971</v>
      </c>
      <c r="I52" s="195">
        <f>I39</f>
        <v>11934836181</v>
      </c>
      <c r="J52" s="734">
        <f>J39</f>
        <v>6098210</v>
      </c>
      <c r="K52" s="9"/>
    </row>
    <row r="53" spans="1:11" s="1" customFormat="1" ht="15" x14ac:dyDescent="0.25">
      <c r="A53" s="137" t="s">
        <v>380</v>
      </c>
      <c r="B53" s="243">
        <f>SUM(B51:B52)</f>
        <v>9677513859</v>
      </c>
      <c r="C53" s="196">
        <f>SUM(C51:C52)</f>
        <v>10968634478</v>
      </c>
      <c r="D53" s="196">
        <f>SUM(D51:D52)</f>
        <v>10968561931</v>
      </c>
      <c r="E53" s="196">
        <f>SUM(E51:E52)</f>
        <v>-72547</v>
      </c>
      <c r="F53" s="137" t="s">
        <v>396</v>
      </c>
      <c r="G53" s="204">
        <f>SUM(G51:G52)</f>
        <v>12862766449</v>
      </c>
      <c r="H53" s="196">
        <f>SUM(H51:H52)</f>
        <v>15462210413</v>
      </c>
      <c r="I53" s="196">
        <f>SUM(I51:I52)</f>
        <v>15490831714</v>
      </c>
      <c r="J53" s="736">
        <f>SUM(J51:J52)</f>
        <v>28621301</v>
      </c>
    </row>
    <row r="54" spans="1:11" s="1" customFormat="1" ht="15" x14ac:dyDescent="0.25">
      <c r="A54" s="137" t="s">
        <v>294</v>
      </c>
      <c r="B54" s="244"/>
      <c r="C54" s="259"/>
      <c r="D54" s="259"/>
      <c r="E54" s="259"/>
      <c r="F54" s="137" t="s">
        <v>20</v>
      </c>
      <c r="G54" s="204">
        <f>B53-G53</f>
        <v>-3185252590</v>
      </c>
      <c r="H54" s="196">
        <f>C53-H53</f>
        <v>-4493575935</v>
      </c>
      <c r="I54" s="196">
        <f>D53-I53</f>
        <v>-4522269783</v>
      </c>
      <c r="J54" s="736">
        <f>E53-J53</f>
        <v>-28693848</v>
      </c>
    </row>
    <row r="55" spans="1:11" s="1" customFormat="1" ht="30" x14ac:dyDescent="0.25">
      <c r="A55" s="137" t="s">
        <v>295</v>
      </c>
      <c r="B55" s="243">
        <f>SUM(B56:B57)</f>
        <v>2874497034</v>
      </c>
      <c r="C55" s="196">
        <f>SUM(C56:C57)</f>
        <v>3119095564</v>
      </c>
      <c r="D55" s="196">
        <f>SUM(D56:D57)</f>
        <v>3112368559</v>
      </c>
      <c r="E55" s="196">
        <f>SUM(E56:E57)</f>
        <v>-6727005</v>
      </c>
      <c r="F55" s="137" t="s">
        <v>296</v>
      </c>
      <c r="G55" s="204">
        <f>SUM(G56:G57)</f>
        <v>127631629</v>
      </c>
      <c r="H55" s="196">
        <f>SUM(H56:H57)</f>
        <v>927631629</v>
      </c>
      <c r="I55" s="196">
        <f>SUM(I56:I57)</f>
        <v>927631629</v>
      </c>
      <c r="J55" s="736">
        <f>SUM(J56:J57)</f>
        <v>0</v>
      </c>
    </row>
    <row r="56" spans="1:11" ht="28.5" x14ac:dyDescent="0.2">
      <c r="A56" s="136" t="s">
        <v>254</v>
      </c>
      <c r="B56" s="242">
        <f>B19</f>
        <v>169764970</v>
      </c>
      <c r="C56" s="197">
        <f>C19</f>
        <v>162764447</v>
      </c>
      <c r="D56" s="197">
        <f>D19</f>
        <v>156226347</v>
      </c>
      <c r="E56" s="197">
        <f>E19</f>
        <v>-6538100</v>
      </c>
      <c r="F56" s="136" t="s">
        <v>297</v>
      </c>
      <c r="G56" s="203">
        <f>G19</f>
        <v>53389205</v>
      </c>
      <c r="H56" s="197">
        <f>H19</f>
        <v>53389205</v>
      </c>
      <c r="I56" s="197">
        <f>I19</f>
        <v>53389205</v>
      </c>
      <c r="J56" s="192">
        <f>J19</f>
        <v>0</v>
      </c>
      <c r="K56" s="9"/>
    </row>
    <row r="57" spans="1:11" ht="28.5" x14ac:dyDescent="0.2">
      <c r="A57" s="136" t="s">
        <v>279</v>
      </c>
      <c r="B57" s="242">
        <f>B41</f>
        <v>2704732064</v>
      </c>
      <c r="C57" s="197">
        <f>C41</f>
        <v>2956331117</v>
      </c>
      <c r="D57" s="197">
        <f>D41</f>
        <v>2956142212</v>
      </c>
      <c r="E57" s="197">
        <f>E41</f>
        <v>-188905</v>
      </c>
      <c r="F57" s="136" t="s">
        <v>298</v>
      </c>
      <c r="G57" s="203">
        <f>G41</f>
        <v>74242424</v>
      </c>
      <c r="H57" s="197">
        <f>H41</f>
        <v>874242424</v>
      </c>
      <c r="I57" s="197">
        <f>I41</f>
        <v>874242424</v>
      </c>
      <c r="J57" s="192">
        <f>J41</f>
        <v>0</v>
      </c>
      <c r="K57" s="9"/>
    </row>
    <row r="58" spans="1:11" s="1" customFormat="1" ht="15" x14ac:dyDescent="0.25">
      <c r="A58" s="176" t="s">
        <v>299</v>
      </c>
      <c r="B58" s="243">
        <f>SUM(B59:B60)</f>
        <v>438387185</v>
      </c>
      <c r="C58" s="196">
        <f>SUM(C59:C60)</f>
        <v>2302112000</v>
      </c>
      <c r="D58" s="196">
        <f>SUM(D59:D60)</f>
        <v>2337532853</v>
      </c>
      <c r="E58" s="196">
        <f>SUM(E59:E60)</f>
        <v>35420853</v>
      </c>
      <c r="F58" s="176"/>
      <c r="G58" s="201"/>
      <c r="H58" s="474"/>
      <c r="I58" s="474"/>
      <c r="J58" s="737"/>
    </row>
    <row r="59" spans="1:11" ht="28.5" x14ac:dyDescent="0.2">
      <c r="A59" s="262" t="s">
        <v>257</v>
      </c>
      <c r="B59" s="242">
        <f>B21</f>
        <v>12800000</v>
      </c>
      <c r="C59" s="197">
        <f>C21</f>
        <v>289413683</v>
      </c>
      <c r="D59" s="197">
        <f>D21</f>
        <v>324834536</v>
      </c>
      <c r="E59" s="197">
        <f>E21</f>
        <v>35420853</v>
      </c>
      <c r="F59" s="262"/>
      <c r="G59" s="200"/>
      <c r="H59" s="255"/>
      <c r="I59" s="255"/>
      <c r="J59" s="192"/>
      <c r="K59" s="9"/>
    </row>
    <row r="60" spans="1:11" ht="29.25" x14ac:dyDescent="0.25">
      <c r="A60" s="178" t="s">
        <v>282</v>
      </c>
      <c r="B60" s="242">
        <f>B43</f>
        <v>425587185</v>
      </c>
      <c r="C60" s="197">
        <f>C43</f>
        <v>2012698317</v>
      </c>
      <c r="D60" s="197">
        <f>D43</f>
        <v>2012698317</v>
      </c>
      <c r="E60" s="197">
        <f>E43</f>
        <v>0</v>
      </c>
      <c r="F60" s="176"/>
      <c r="G60" s="200"/>
      <c r="H60" s="299"/>
      <c r="I60" s="299"/>
      <c r="J60" s="736"/>
      <c r="K60" s="9"/>
    </row>
    <row r="61" spans="1:11" s="1" customFormat="1" ht="15.75" thickBot="1" x14ac:dyDescent="0.3">
      <c r="A61" s="138" t="s">
        <v>42</v>
      </c>
      <c r="B61" s="475">
        <f>B53+B55+B58</f>
        <v>12990398078</v>
      </c>
      <c r="C61" s="198">
        <f>C53+C55+C58</f>
        <v>16389842042</v>
      </c>
      <c r="D61" s="198">
        <f>D53+D55+D58</f>
        <v>16418463343</v>
      </c>
      <c r="E61" s="198">
        <f>E53+E55+E58</f>
        <v>28621301</v>
      </c>
      <c r="F61" s="138" t="s">
        <v>300</v>
      </c>
      <c r="G61" s="205">
        <f>G53+G55</f>
        <v>12990398078</v>
      </c>
      <c r="H61" s="198">
        <f>H53+H55</f>
        <v>16389842042</v>
      </c>
      <c r="I61" s="198">
        <f>I53+I55</f>
        <v>16418463343</v>
      </c>
      <c r="J61" s="738">
        <f>J53+J55</f>
        <v>28621301</v>
      </c>
    </row>
    <row r="62" spans="1:11" x14ac:dyDescent="0.2">
      <c r="G62" s="389">
        <f>B61-G61</f>
        <v>0</v>
      </c>
      <c r="H62" s="389">
        <f>C61-H61</f>
        <v>0</v>
      </c>
      <c r="I62" s="389">
        <f>D61-I61</f>
        <v>0</v>
      </c>
      <c r="J62" s="389">
        <f>E61-J61</f>
        <v>0</v>
      </c>
      <c r="K62" s="389">
        <f>'1.sz.tábla   (2)'!E39</f>
        <v>28621301</v>
      </c>
    </row>
  </sheetData>
  <sheetProtection selectLockedCells="1" selectUnlockedCells="1"/>
  <mergeCells count="4">
    <mergeCell ref="C2:K2"/>
    <mergeCell ref="A4:K4"/>
    <mergeCell ref="A27:K27"/>
    <mergeCell ref="A48:K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 6/2021. (III.05.) önkormányzati rendelethez
 az önkormányzat 2020. évi költségvetéséről szóló 6/2020. (III.06.) önkormányzati rendelet 
8. mellékletének helyébe a következő 8. melléklet lép: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D10" zoomScaleNormal="100" zoomScaleSheetLayoutView="89" workbookViewId="0">
      <selection activeCell="C46" sqref="C46"/>
    </sheetView>
  </sheetViews>
  <sheetFormatPr defaultColWidth="9.140625" defaultRowHeight="14.25" x14ac:dyDescent="0.2"/>
  <cols>
    <col min="1" max="1" width="45.7109375" style="387" customWidth="1"/>
    <col min="2" max="2" width="15.140625" style="799" bestFit="1" customWidth="1"/>
    <col min="3" max="3" width="15.85546875" style="799" customWidth="1"/>
    <col min="4" max="4" width="16.28515625" style="799" customWidth="1"/>
    <col min="5" max="5" width="45.85546875" style="387" customWidth="1"/>
    <col min="6" max="6" width="14" style="799" customWidth="1"/>
    <col min="7" max="7" width="16" style="799" customWidth="1"/>
    <col min="8" max="8" width="16.140625" style="799"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722"/>
      <c r="C1" s="1722"/>
      <c r="D1" s="1722"/>
      <c r="E1" s="1722"/>
      <c r="F1" s="1722"/>
      <c r="G1" s="1722"/>
      <c r="H1" s="1722"/>
    </row>
    <row r="2" spans="1:12" x14ac:dyDescent="0.2">
      <c r="B2" s="1722"/>
      <c r="C2" s="1722"/>
      <c r="D2" s="1722"/>
      <c r="E2" s="1722"/>
      <c r="F2" s="1722"/>
      <c r="G2" s="1722"/>
      <c r="H2" s="1722"/>
    </row>
    <row r="3" spans="1:12" ht="15" x14ac:dyDescent="0.25">
      <c r="A3" s="1723" t="s">
        <v>976</v>
      </c>
      <c r="B3" s="1723"/>
      <c r="C3" s="1723"/>
      <c r="D3" s="1723"/>
      <c r="E3" s="1723"/>
      <c r="F3" s="1723"/>
      <c r="G3" s="1723"/>
      <c r="H3" s="1723"/>
    </row>
    <row r="5" spans="1:12" ht="15.75" customHeight="1" x14ac:dyDescent="0.25">
      <c r="A5" s="1721" t="s">
        <v>716</v>
      </c>
      <c r="B5" s="1721"/>
      <c r="C5" s="1721"/>
      <c r="D5" s="1721"/>
      <c r="E5" s="1721"/>
      <c r="F5" s="1721"/>
      <c r="G5" s="1721"/>
      <c r="H5" s="1721"/>
    </row>
    <row r="6" spans="1:12" ht="15" thickBot="1" x14ac:dyDescent="0.25"/>
    <row r="7" spans="1:12" s="66" customFormat="1" ht="30.75" thickBot="1" x14ac:dyDescent="0.3">
      <c r="A7" s="800" t="s">
        <v>240</v>
      </c>
      <c r="B7" s="801" t="s">
        <v>767</v>
      </c>
      <c r="C7" s="802" t="s">
        <v>386</v>
      </c>
      <c r="D7" s="803" t="s">
        <v>768</v>
      </c>
      <c r="E7" s="804" t="s">
        <v>241</v>
      </c>
      <c r="F7" s="801" t="s">
        <v>767</v>
      </c>
      <c r="G7" s="802" t="s">
        <v>386</v>
      </c>
      <c r="H7" s="803" t="s">
        <v>768</v>
      </c>
    </row>
    <row r="8" spans="1:12" ht="26.25" customHeight="1" x14ac:dyDescent="0.2">
      <c r="A8" s="805" t="s">
        <v>242</v>
      </c>
      <c r="B8" s="806">
        <f>'2.sz.tábla   (2)'!H7+'2.sz.tábla   (2)'!L7+'3.sz. tábla  (2)'!D12+'3.sz. tábla  (2)'!D13</f>
        <v>483301407.07478428</v>
      </c>
      <c r="C8" s="806">
        <f>'2.sz.tábla   (2)'!D7-'3.sz. tábla  (2)'!D14</f>
        <v>1160700730.9252157</v>
      </c>
      <c r="D8" s="807">
        <f>SUM(B8:C8)</f>
        <v>1644002138</v>
      </c>
      <c r="E8" s="808" t="s">
        <v>130</v>
      </c>
      <c r="F8" s="809">
        <f>'4.sz.tábla '!D11</f>
        <v>561201811</v>
      </c>
      <c r="G8" s="806">
        <f>'5.tábla (2)'!D48</f>
        <v>125848387</v>
      </c>
      <c r="H8" s="807">
        <f>SUM(F8:G8)</f>
        <v>687050198</v>
      </c>
      <c r="I8" s="40"/>
    </row>
    <row r="9" spans="1:12" x14ac:dyDescent="0.2">
      <c r="A9" s="810" t="s">
        <v>243</v>
      </c>
      <c r="B9" s="806">
        <f>'2.sz.tábla   (2)'!H30</f>
        <v>0</v>
      </c>
      <c r="C9" s="806">
        <f>'2.sz.tábla   (2)'!D30</f>
        <v>1627117610</v>
      </c>
      <c r="D9" s="807">
        <f t="shared" ref="D9:D14" si="0">SUM(B9:C9)</f>
        <v>1627117610</v>
      </c>
      <c r="E9" s="811" t="s">
        <v>244</v>
      </c>
      <c r="F9" s="812">
        <f>'4.sz.tábla '!H11</f>
        <v>103341820</v>
      </c>
      <c r="G9" s="813">
        <f>'5.tábla (2)'!D63</f>
        <v>21158997</v>
      </c>
      <c r="H9" s="807">
        <f t="shared" ref="H9:H16" si="1">SUM(F9:G9)</f>
        <v>124500817</v>
      </c>
      <c r="I9" s="40"/>
    </row>
    <row r="10" spans="1:12" ht="15" x14ac:dyDescent="0.2">
      <c r="A10" s="814" t="s">
        <v>245</v>
      </c>
      <c r="B10" s="806">
        <f>'2.sz.tábla   (2)'!H43+'2.sz.tábla   (2)'!L43</f>
        <v>82603343</v>
      </c>
      <c r="C10" s="806">
        <f>'2.sz.tábla   (2)'!D43-'8a. sz. tábla  (4)'!C34</f>
        <v>597671979</v>
      </c>
      <c r="D10" s="807">
        <f t="shared" si="0"/>
        <v>680275322</v>
      </c>
      <c r="E10" s="811" t="s">
        <v>248</v>
      </c>
      <c r="F10" s="812">
        <f>'4.sz.tábla '!L11</f>
        <v>217077476</v>
      </c>
      <c r="G10" s="806">
        <f>'5.tábla (2)'!D77</f>
        <v>1104729422</v>
      </c>
      <c r="H10" s="807">
        <f t="shared" si="1"/>
        <v>1321806898</v>
      </c>
      <c r="I10" s="40"/>
      <c r="J10" s="7"/>
      <c r="K10" s="8"/>
      <c r="L10" s="8"/>
    </row>
    <row r="11" spans="1:12" ht="28.5" x14ac:dyDescent="0.2">
      <c r="A11" s="810" t="s">
        <v>249</v>
      </c>
      <c r="B11" s="806">
        <f>'2.sz.tábla   (2)'!H66+'2.sz.tábla   (2)'!L66</f>
        <v>0</v>
      </c>
      <c r="C11" s="806">
        <f>'2.sz.tábla   (2)'!D66</f>
        <v>19720754</v>
      </c>
      <c r="D11" s="807">
        <f t="shared" si="0"/>
        <v>19720754</v>
      </c>
      <c r="E11" s="808" t="s">
        <v>149</v>
      </c>
      <c r="F11" s="812">
        <f>'4.sz.tábla '!S11</f>
        <v>0</v>
      </c>
      <c r="G11" s="806">
        <f>'5.tábla (2)'!D126</f>
        <v>30600000</v>
      </c>
      <c r="H11" s="807">
        <f t="shared" si="1"/>
        <v>30600000</v>
      </c>
      <c r="I11" s="40"/>
    </row>
    <row r="12" spans="1:12" x14ac:dyDescent="0.2">
      <c r="A12" s="815"/>
      <c r="B12" s="806"/>
      <c r="C12" s="806"/>
      <c r="D12" s="807">
        <f t="shared" si="0"/>
        <v>0</v>
      </c>
      <c r="E12" s="811" t="s">
        <v>128</v>
      </c>
      <c r="F12" s="816"/>
      <c r="G12" s="816"/>
      <c r="H12" s="807"/>
      <c r="I12" s="40"/>
    </row>
    <row r="13" spans="1:12" x14ac:dyDescent="0.2">
      <c r="A13" s="815"/>
      <c r="B13" s="806"/>
      <c r="C13" s="806"/>
      <c r="D13" s="807">
        <f t="shared" si="0"/>
        <v>0</v>
      </c>
      <c r="E13" s="811" t="s">
        <v>323</v>
      </c>
      <c r="F13" s="816"/>
      <c r="G13" s="806">
        <f>'5.tábla (2)'!D137</f>
        <v>7183231</v>
      </c>
      <c r="H13" s="807">
        <f t="shared" si="1"/>
        <v>7183231</v>
      </c>
      <c r="I13" s="40"/>
    </row>
    <row r="14" spans="1:12" ht="28.5" x14ac:dyDescent="0.2">
      <c r="A14" s="810"/>
      <c r="B14" s="806"/>
      <c r="C14" s="806"/>
      <c r="D14" s="807">
        <f t="shared" si="0"/>
        <v>0</v>
      </c>
      <c r="E14" s="811" t="s">
        <v>324</v>
      </c>
      <c r="F14" s="812">
        <f>'4.sz.tábla '!U11</f>
        <v>2973949</v>
      </c>
      <c r="G14" s="806">
        <f>'5.tábla (2)'!D141</f>
        <v>509683666</v>
      </c>
      <c r="H14" s="807">
        <f t="shared" si="1"/>
        <v>512657615</v>
      </c>
      <c r="I14" s="40"/>
    </row>
    <row r="15" spans="1:12" ht="28.5" x14ac:dyDescent="0.2">
      <c r="A15" s="817"/>
      <c r="B15" s="806"/>
      <c r="C15" s="806"/>
      <c r="D15" s="807"/>
      <c r="E15" s="818" t="s">
        <v>325</v>
      </c>
      <c r="F15" s="812"/>
      <c r="G15" s="813">
        <f>'5.tábla (2)'!D146</f>
        <v>712189503</v>
      </c>
      <c r="H15" s="807">
        <f t="shared" si="1"/>
        <v>712189503</v>
      </c>
      <c r="I15" s="40"/>
    </row>
    <row r="16" spans="1:12" ht="28.5" x14ac:dyDescent="0.2">
      <c r="A16" s="810"/>
      <c r="B16" s="806"/>
      <c r="C16" s="806"/>
      <c r="D16" s="807"/>
      <c r="E16" s="811" t="s">
        <v>326</v>
      </c>
      <c r="F16" s="812"/>
      <c r="G16" s="806">
        <f>'5.tábla (2)'!D143</f>
        <v>0</v>
      </c>
      <c r="H16" s="807">
        <f t="shared" si="1"/>
        <v>0</v>
      </c>
      <c r="I16" s="40"/>
    </row>
    <row r="17" spans="1:9" x14ac:dyDescent="0.2">
      <c r="A17" s="815"/>
      <c r="B17" s="806"/>
      <c r="C17" s="806"/>
      <c r="D17" s="807"/>
      <c r="E17" s="819" t="s">
        <v>317</v>
      </c>
      <c r="F17" s="812"/>
      <c r="G17" s="820">
        <f>'1.sz.tábla   (2)'!D30-'8a. sz. tábla  (4)'!G39</f>
        <v>160007271</v>
      </c>
      <c r="H17" s="807">
        <f>SUM(F17:G17)</f>
        <v>160007271</v>
      </c>
      <c r="I17" s="40"/>
    </row>
    <row r="18" spans="1:9" ht="15" x14ac:dyDescent="0.25">
      <c r="A18" s="821" t="s">
        <v>250</v>
      </c>
      <c r="B18" s="822">
        <f>SUM(B8:B17)</f>
        <v>565904750.07478428</v>
      </c>
      <c r="C18" s="822">
        <f>SUM(C8:C17)</f>
        <v>3405211073.9252157</v>
      </c>
      <c r="D18" s="823">
        <f>SUM(D8:D17)</f>
        <v>3971115824</v>
      </c>
      <c r="E18" s="824" t="s">
        <v>251</v>
      </c>
      <c r="F18" s="825">
        <f>F8+F9+F10+F11+F12+F17+F14</f>
        <v>884595056</v>
      </c>
      <c r="G18" s="825">
        <f>SUM(G8:G17)</f>
        <v>2671400477</v>
      </c>
      <c r="H18" s="825">
        <f>H8+H9+H10+H11+H14+H15+H16+H17+H13</f>
        <v>3555995533</v>
      </c>
      <c r="I18" s="40">
        <f>SUM(F18:G18)</f>
        <v>3555995533</v>
      </c>
    </row>
    <row r="19" spans="1:9" ht="15" x14ac:dyDescent="0.25">
      <c r="A19" s="821" t="s">
        <v>252</v>
      </c>
      <c r="B19" s="822">
        <f>B18-F18</f>
        <v>-318690305.92521572</v>
      </c>
      <c r="C19" s="822">
        <f>C18-G18</f>
        <v>733810596.92521572</v>
      </c>
      <c r="D19" s="823">
        <f>D18-H18</f>
        <v>415120291</v>
      </c>
      <c r="E19" s="826" t="s">
        <v>253</v>
      </c>
      <c r="F19" s="812"/>
      <c r="G19" s="827"/>
      <c r="H19" s="828"/>
    </row>
    <row r="20" spans="1:9" ht="30" x14ac:dyDescent="0.25">
      <c r="A20" s="829" t="s">
        <v>254</v>
      </c>
      <c r="B20" s="827">
        <f>SUM(B21)</f>
        <v>41733711</v>
      </c>
      <c r="C20" s="827">
        <f>SUM(C21)</f>
        <v>114492636</v>
      </c>
      <c r="D20" s="828">
        <f>SUM(B20:C20)</f>
        <v>156226347</v>
      </c>
      <c r="E20" s="826" t="s">
        <v>255</v>
      </c>
      <c r="F20" s="830">
        <f>SUM(F21:F21)</f>
        <v>0</v>
      </c>
      <c r="G20" s="822">
        <f>SUM(G21:G25)</f>
        <v>53389205</v>
      </c>
      <c r="H20" s="823">
        <f>G20-F20</f>
        <v>53389205</v>
      </c>
    </row>
    <row r="21" spans="1:9" ht="28.5" x14ac:dyDescent="0.2">
      <c r="A21" s="815" t="s">
        <v>256</v>
      </c>
      <c r="B21" s="806">
        <f>'2.sz.tábla   (2)'!H77+'2.sz.tábla   (2)'!L77</f>
        <v>41733711</v>
      </c>
      <c r="C21" s="806">
        <f>'2.sz.tábla   (2)'!D77</f>
        <v>114492636</v>
      </c>
      <c r="D21" s="807">
        <f>SUM(B21:C21)</f>
        <v>156226347</v>
      </c>
      <c r="E21" s="815" t="s">
        <v>523</v>
      </c>
      <c r="F21" s="812"/>
      <c r="G21" s="806">
        <f>'7. sz. tábla 1'!D244</f>
        <v>53389205</v>
      </c>
      <c r="H21" s="807">
        <f>SUM(F21:G21)</f>
        <v>53389205</v>
      </c>
    </row>
    <row r="22" spans="1:9" ht="30" x14ac:dyDescent="0.25">
      <c r="A22" s="821" t="s">
        <v>257</v>
      </c>
      <c r="B22" s="806"/>
      <c r="C22" s="831">
        <f>SUM(C23:C25)</f>
        <v>324834536</v>
      </c>
      <c r="D22" s="832">
        <f>SUM(B22:C22)</f>
        <v>324834536</v>
      </c>
      <c r="E22" s="811" t="s">
        <v>327</v>
      </c>
      <c r="F22" s="812"/>
      <c r="G22" s="806"/>
      <c r="H22" s="807">
        <f>SUM(F22:G22)</f>
        <v>0</v>
      </c>
    </row>
    <row r="23" spans="1:9" ht="15" x14ac:dyDescent="0.25">
      <c r="A23" s="833" t="s">
        <v>258</v>
      </c>
      <c r="B23" s="806"/>
      <c r="C23" s="806">
        <f>'8. sz. tábla  (3)'!D22</f>
        <v>276613683</v>
      </c>
      <c r="D23" s="807">
        <f>SUM(B23:C23)</f>
        <v>276613683</v>
      </c>
      <c r="E23" s="815" t="s">
        <v>340</v>
      </c>
      <c r="F23" s="812"/>
      <c r="G23" s="834"/>
      <c r="H23" s="807">
        <f>SUM(F23:G23)</f>
        <v>0</v>
      </c>
    </row>
    <row r="24" spans="1:9" x14ac:dyDescent="0.2">
      <c r="A24" s="815" t="s">
        <v>259</v>
      </c>
      <c r="B24" s="806"/>
      <c r="C24" s="835"/>
      <c r="D24" s="836"/>
      <c r="E24" s="837" t="s">
        <v>338</v>
      </c>
      <c r="F24" s="816"/>
      <c r="G24" s="838"/>
      <c r="H24" s="807">
        <f>SUM(F24:G24)</f>
        <v>0</v>
      </c>
    </row>
    <row r="25" spans="1:9" ht="29.25" thickBot="1" x14ac:dyDescent="0.25">
      <c r="A25" s="833" t="s">
        <v>339</v>
      </c>
      <c r="B25" s="820"/>
      <c r="C25" s="820">
        <f>'2.sz.tábla   (2)'!D90</f>
        <v>48220853</v>
      </c>
      <c r="D25" s="839">
        <f>SUM(B25:C25)</f>
        <v>48220853</v>
      </c>
      <c r="E25" s="840"/>
      <c r="F25" s="841"/>
      <c r="G25" s="842"/>
      <c r="H25" s="843"/>
    </row>
    <row r="26" spans="1:9" ht="15.75" thickBot="1" x14ac:dyDescent="0.3">
      <c r="A26" s="800" t="s">
        <v>260</v>
      </c>
      <c r="B26" s="844">
        <f>B18+B20+B22</f>
        <v>607638461.07478428</v>
      </c>
      <c r="C26" s="844">
        <f>C18+C20+C22</f>
        <v>3844538245.9252157</v>
      </c>
      <c r="D26" s="845">
        <f>D18+D20+D22</f>
        <v>4452176707</v>
      </c>
      <c r="E26" s="804" t="s">
        <v>261</v>
      </c>
      <c r="F26" s="846">
        <f>F18+F20</f>
        <v>884595056</v>
      </c>
      <c r="G26" s="844">
        <f>G18+G20</f>
        <v>2724789682</v>
      </c>
      <c r="H26" s="845">
        <f>H18+H20</f>
        <v>3609384738</v>
      </c>
    </row>
    <row r="28" spans="1:9" ht="15.75" customHeight="1" x14ac:dyDescent="0.25">
      <c r="A28" s="1721" t="s">
        <v>718</v>
      </c>
      <c r="B28" s="1721"/>
      <c r="C28" s="1721"/>
      <c r="D28" s="1721"/>
      <c r="E28" s="1721"/>
      <c r="F28" s="1721"/>
      <c r="G28" s="1721"/>
      <c r="H28" s="1721"/>
    </row>
    <row r="29" spans="1:9" ht="15" thickBot="1" x14ac:dyDescent="0.25"/>
    <row r="30" spans="1:9" s="66" customFormat="1" ht="30.75" thickBot="1" x14ac:dyDescent="0.25">
      <c r="A30" s="847" t="s">
        <v>262</v>
      </c>
      <c r="B30" s="801" t="s">
        <v>767</v>
      </c>
      <c r="C30" s="802" t="s">
        <v>386</v>
      </c>
      <c r="D30" s="803" t="s">
        <v>768</v>
      </c>
      <c r="E30" s="848" t="s">
        <v>263</v>
      </c>
      <c r="F30" s="801" t="s">
        <v>767</v>
      </c>
      <c r="G30" s="802" t="s">
        <v>386</v>
      </c>
      <c r="H30" s="803" t="s">
        <v>768</v>
      </c>
    </row>
    <row r="31" spans="1:9" ht="28.5" x14ac:dyDescent="0.2">
      <c r="A31" s="805" t="s">
        <v>264</v>
      </c>
      <c r="B31" s="806">
        <f>'2.sz.tábla   (2)'!H22+'2.sz.tábla   (2)'!L22</f>
        <v>3468000</v>
      </c>
      <c r="C31" s="806">
        <f>'2.sz.tábla   (2)'!D22</f>
        <v>6283131318</v>
      </c>
      <c r="D31" s="849">
        <f>SUM(B31:C31)</f>
        <v>6286599318</v>
      </c>
      <c r="E31" s="850" t="s">
        <v>265</v>
      </c>
      <c r="F31" s="851"/>
      <c r="G31" s="851">
        <f>'7. sz. tábla 1'!D175</f>
        <v>9777564985</v>
      </c>
      <c r="H31" s="852">
        <f>SUM(F31:G31)</f>
        <v>9777564985</v>
      </c>
    </row>
    <row r="32" spans="1:9" x14ac:dyDescent="0.2">
      <c r="A32" s="815" t="s">
        <v>266</v>
      </c>
      <c r="B32" s="806">
        <f>'2.sz.tábla   (2)'!H58+'2.sz.tábla   (2)'!L58</f>
        <v>1070000</v>
      </c>
      <c r="C32" s="806">
        <f>'2.sz.tábla   (2)'!D58</f>
        <v>269453434</v>
      </c>
      <c r="D32" s="853">
        <f>SUM(B32:C32)</f>
        <v>270523434</v>
      </c>
      <c r="E32" s="854" t="s">
        <v>267</v>
      </c>
      <c r="F32" s="855">
        <f>'4.sz.tábla '!Y11</f>
        <v>42465272</v>
      </c>
      <c r="G32" s="838"/>
      <c r="H32" s="856">
        <f t="shared" ref="H32:H39" si="2">SUM(F32:G32)</f>
        <v>42465272</v>
      </c>
    </row>
    <row r="33" spans="1:11" x14ac:dyDescent="0.2">
      <c r="A33" s="815" t="s">
        <v>268</v>
      </c>
      <c r="B33" s="806">
        <f>'2.sz.tábla   (2)'!H70+'2.sz.tábla   (2)'!L70</f>
        <v>0</v>
      </c>
      <c r="C33" s="806">
        <f>'2.sz.tábla   (2)'!D70</f>
        <v>223000542</v>
      </c>
      <c r="D33" s="853">
        <f>SUM(B33:C33)</f>
        <v>223000542</v>
      </c>
      <c r="E33" s="854" t="s">
        <v>269</v>
      </c>
      <c r="F33" s="855"/>
      <c r="G33" s="855">
        <f>'7. sz. tábla 1'!D250</f>
        <v>107001247</v>
      </c>
      <c r="H33" s="856">
        <f t="shared" si="2"/>
        <v>107001247</v>
      </c>
    </row>
    <row r="34" spans="1:11" ht="28.5" x14ac:dyDescent="0.2">
      <c r="A34" s="136" t="s">
        <v>1</v>
      </c>
      <c r="B34" s="806"/>
      <c r="C34" s="806">
        <f>'8. sz. tábla  (3)'!D33</f>
        <v>217322813</v>
      </c>
      <c r="D34" s="853">
        <f>SUM(B34:C34)</f>
        <v>217322813</v>
      </c>
      <c r="E34" s="854" t="s">
        <v>270</v>
      </c>
      <c r="F34" s="855"/>
      <c r="G34" s="855"/>
      <c r="H34" s="856"/>
    </row>
    <row r="35" spans="1:11" ht="28.5" x14ac:dyDescent="0.2">
      <c r="A35" s="815"/>
      <c r="B35" s="806"/>
      <c r="C35" s="813"/>
      <c r="D35" s="857"/>
      <c r="E35" s="854" t="s">
        <v>271</v>
      </c>
      <c r="F35" s="838"/>
      <c r="G35" s="838">
        <f>'7. sz. tábla 1'!D197</f>
        <v>193027486</v>
      </c>
      <c r="H35" s="856">
        <f>SUM(F35:G35)</f>
        <v>193027486</v>
      </c>
    </row>
    <row r="36" spans="1:11" ht="27" customHeight="1" x14ac:dyDescent="0.2">
      <c r="A36" s="815"/>
      <c r="B36" s="806"/>
      <c r="C36" s="813"/>
      <c r="D36" s="857"/>
      <c r="E36" s="858" t="s">
        <v>272</v>
      </c>
      <c r="F36" s="855"/>
      <c r="G36" s="859">
        <f>'7. sz. tábla 1'!D184</f>
        <v>1598101859</v>
      </c>
      <c r="H36" s="856">
        <f t="shared" si="2"/>
        <v>1598101859</v>
      </c>
    </row>
    <row r="37" spans="1:11" ht="28.5" x14ac:dyDescent="0.2">
      <c r="A37" s="815"/>
      <c r="B37" s="806"/>
      <c r="C37" s="860"/>
      <c r="D37" s="853"/>
      <c r="E37" s="854" t="s">
        <v>342</v>
      </c>
      <c r="F37" s="855"/>
      <c r="G37" s="855">
        <f>'7. sz. tábla 1'!D183</f>
        <v>0</v>
      </c>
      <c r="H37" s="856">
        <f t="shared" si="2"/>
        <v>0</v>
      </c>
    </row>
    <row r="38" spans="1:11" ht="28.5" x14ac:dyDescent="0.2">
      <c r="A38" s="815"/>
      <c r="B38" s="806"/>
      <c r="C38" s="855"/>
      <c r="D38" s="853"/>
      <c r="E38" s="854" t="s">
        <v>769</v>
      </c>
      <c r="F38" s="855"/>
      <c r="G38" s="855">
        <f>'7. sz. tábla 1'!D178</f>
        <v>17731099</v>
      </c>
      <c r="H38" s="856">
        <f t="shared" si="2"/>
        <v>17731099</v>
      </c>
    </row>
    <row r="39" spans="1:11" x14ac:dyDescent="0.2">
      <c r="A39" s="815"/>
      <c r="B39" s="806"/>
      <c r="C39" s="855"/>
      <c r="D39" s="853"/>
      <c r="E39" s="854" t="s">
        <v>19</v>
      </c>
      <c r="F39" s="855"/>
      <c r="G39" s="855">
        <f>'8. sz. tábla  (3)'!I38</f>
        <v>198944233</v>
      </c>
      <c r="H39" s="856">
        <f t="shared" si="2"/>
        <v>198944233</v>
      </c>
    </row>
    <row r="40" spans="1:11" ht="30" x14ac:dyDescent="0.25">
      <c r="A40" s="821" t="s">
        <v>274</v>
      </c>
      <c r="B40" s="830">
        <f>SUM(B31:B37)</f>
        <v>4538000</v>
      </c>
      <c r="C40" s="834">
        <f>SUM(C31:C37)</f>
        <v>6992908107</v>
      </c>
      <c r="D40" s="861">
        <f>SUM(D31:D37)</f>
        <v>6997446107</v>
      </c>
      <c r="E40" s="862" t="s">
        <v>275</v>
      </c>
      <c r="F40" s="863">
        <f>SUM(F31:F34)</f>
        <v>42465272</v>
      </c>
      <c r="G40" s="863">
        <f>SUM(G31:G39)</f>
        <v>11892370909</v>
      </c>
      <c r="H40" s="825">
        <f>H31+H32+H33+H35+H36+H37+H38+H39</f>
        <v>11934836181</v>
      </c>
      <c r="I40" s="40">
        <f>SUM(F40:G40)</f>
        <v>11934836181</v>
      </c>
      <c r="K40" s="1"/>
    </row>
    <row r="41" spans="1:11" ht="15" x14ac:dyDescent="0.25">
      <c r="A41" s="821" t="s">
        <v>276</v>
      </c>
      <c r="B41" s="812"/>
      <c r="C41" s="861"/>
      <c r="D41" s="861"/>
      <c r="E41" s="862" t="s">
        <v>278</v>
      </c>
      <c r="F41" s="863">
        <f>B40-F40</f>
        <v>-37927272</v>
      </c>
      <c r="G41" s="863">
        <f>C40-G40</f>
        <v>-4899462802</v>
      </c>
      <c r="H41" s="825">
        <f>D40-H40</f>
        <v>-4937390074</v>
      </c>
    </row>
    <row r="42" spans="1:11" ht="30" x14ac:dyDescent="0.25">
      <c r="A42" s="821" t="s">
        <v>279</v>
      </c>
      <c r="B42" s="830">
        <f>SUM(B43)</f>
        <v>22532237</v>
      </c>
      <c r="C42" s="864">
        <f>SUM(C43)</f>
        <v>2933609975</v>
      </c>
      <c r="D42" s="861">
        <f>SUM(D43)</f>
        <v>2956142212</v>
      </c>
      <c r="E42" s="862" t="s">
        <v>280</v>
      </c>
      <c r="F42" s="863">
        <f>SUM(F43:F44)</f>
        <v>0</v>
      </c>
      <c r="G42" s="863">
        <f>SUM(G43:G44)</f>
        <v>874242424</v>
      </c>
      <c r="H42" s="825">
        <f>SUM(H43:H45)</f>
        <v>874242424</v>
      </c>
    </row>
    <row r="43" spans="1:11" x14ac:dyDescent="0.2">
      <c r="A43" s="815" t="s">
        <v>281</v>
      </c>
      <c r="B43" s="812">
        <f>'2.sz.tábla   (2)'!L78+'2.sz.tábla   (2)'!H78</f>
        <v>22532237</v>
      </c>
      <c r="C43" s="853">
        <f>'2.sz.tábla   (2)'!D78</f>
        <v>2933609975</v>
      </c>
      <c r="D43" s="853">
        <f>SUM(B43:C43)</f>
        <v>2956142212</v>
      </c>
      <c r="E43" s="854" t="s">
        <v>770</v>
      </c>
      <c r="F43" s="855"/>
      <c r="G43" s="855"/>
      <c r="H43" s="856">
        <f>SUM(F43:G43)</f>
        <v>0</v>
      </c>
    </row>
    <row r="44" spans="1:11" ht="30" x14ac:dyDescent="0.25">
      <c r="A44" s="821" t="s">
        <v>282</v>
      </c>
      <c r="B44" s="830">
        <f>SUM(B45:B46)</f>
        <v>0</v>
      </c>
      <c r="C44" s="822">
        <f>SUM(C45:C46)</f>
        <v>2012698317</v>
      </c>
      <c r="D44" s="861">
        <f>SUM(D45:D46)</f>
        <v>2012698317</v>
      </c>
      <c r="E44" s="854" t="s">
        <v>283</v>
      </c>
      <c r="F44" s="855"/>
      <c r="G44" s="855">
        <f>'8. sz. tábla  (3)'!I43</f>
        <v>874242424</v>
      </c>
      <c r="H44" s="856">
        <f>SUM(F44:G44)</f>
        <v>874242424</v>
      </c>
    </row>
    <row r="45" spans="1:11" ht="28.5" x14ac:dyDescent="0.2">
      <c r="A45" s="833" t="s">
        <v>284</v>
      </c>
      <c r="B45" s="812"/>
      <c r="C45" s="853">
        <f>'2.sz.tábla   (2)'!D84-C23</f>
        <v>492698317</v>
      </c>
      <c r="D45" s="853">
        <f>SUM(B45:C45)</f>
        <v>492698317</v>
      </c>
      <c r="E45" s="854" t="s">
        <v>524</v>
      </c>
      <c r="F45" s="855"/>
      <c r="G45" s="855"/>
      <c r="H45" s="856"/>
    </row>
    <row r="46" spans="1:11" ht="15" thickBot="1" x14ac:dyDescent="0.25">
      <c r="A46" s="833" t="s">
        <v>285</v>
      </c>
      <c r="B46" s="865"/>
      <c r="C46" s="866">
        <f>'8. sz. tábla  (3)'!D45</f>
        <v>1520000000</v>
      </c>
      <c r="D46" s="853">
        <f>SUM(B46:C46)</f>
        <v>1520000000</v>
      </c>
      <c r="E46" s="867"/>
      <c r="F46" s="868"/>
      <c r="G46" s="868"/>
      <c r="H46" s="869"/>
    </row>
    <row r="47" spans="1:11" ht="15.75" thickBot="1" x14ac:dyDescent="0.3">
      <c r="A47" s="800" t="s">
        <v>286</v>
      </c>
      <c r="B47" s="846">
        <f>B40+B42+B44</f>
        <v>27070237</v>
      </c>
      <c r="C47" s="844">
        <f>C40+C42+C44</f>
        <v>11939216399</v>
      </c>
      <c r="D47" s="870">
        <f>D40+D42+D44</f>
        <v>11966286636</v>
      </c>
      <c r="E47" s="871" t="s">
        <v>287</v>
      </c>
      <c r="F47" s="872">
        <f>F40+F42</f>
        <v>42465272</v>
      </c>
      <c r="G47" s="873">
        <f>G40+G42</f>
        <v>12766613333</v>
      </c>
      <c r="H47" s="874">
        <f>H40+H42</f>
        <v>12809078605</v>
      </c>
    </row>
    <row r="48" spans="1:11" ht="15" x14ac:dyDescent="0.25">
      <c r="A48" s="388"/>
      <c r="B48" s="875"/>
      <c r="C48" s="875"/>
      <c r="D48" s="875"/>
      <c r="E48" s="388"/>
      <c r="F48" s="875"/>
      <c r="G48" s="875"/>
      <c r="H48" s="875"/>
    </row>
    <row r="49" spans="1:9" ht="15.75" customHeight="1" x14ac:dyDescent="0.25">
      <c r="A49" s="1721" t="s">
        <v>717</v>
      </c>
      <c r="B49" s="1721"/>
      <c r="C49" s="1721"/>
      <c r="D49" s="1721"/>
      <c r="E49" s="1721"/>
      <c r="F49" s="1721"/>
      <c r="G49" s="1721"/>
      <c r="H49" s="1721"/>
    </row>
    <row r="50" spans="1:9" ht="15" thickBot="1" x14ac:dyDescent="0.25"/>
    <row r="51" spans="1:9" s="66" customFormat="1" ht="30.75" thickBot="1" x14ac:dyDescent="0.25">
      <c r="A51" s="847" t="s">
        <v>288</v>
      </c>
      <c r="B51" s="801" t="s">
        <v>767</v>
      </c>
      <c r="C51" s="802" t="s">
        <v>386</v>
      </c>
      <c r="D51" s="803" t="s">
        <v>768</v>
      </c>
      <c r="E51" s="847" t="s">
        <v>289</v>
      </c>
      <c r="F51" s="801" t="s">
        <v>767</v>
      </c>
      <c r="G51" s="802" t="s">
        <v>386</v>
      </c>
      <c r="H51" s="803" t="s">
        <v>768</v>
      </c>
    </row>
    <row r="52" spans="1:9" x14ac:dyDescent="0.2">
      <c r="A52" s="814" t="s">
        <v>290</v>
      </c>
      <c r="B52" s="809">
        <f>B18</f>
        <v>565904750.07478428</v>
      </c>
      <c r="C52" s="849">
        <f>C18</f>
        <v>3405211073.9252157</v>
      </c>
      <c r="D52" s="876">
        <f>D18</f>
        <v>3971115824</v>
      </c>
      <c r="E52" s="814" t="s">
        <v>291</v>
      </c>
      <c r="F52" s="809">
        <f>F18</f>
        <v>884595056</v>
      </c>
      <c r="G52" s="877">
        <f>G18</f>
        <v>2671400477</v>
      </c>
      <c r="H52" s="876">
        <f>H18</f>
        <v>3555995533</v>
      </c>
      <c r="I52" s="40">
        <f t="shared" ref="I52:I60" si="3">SUM(F52:G52)</f>
        <v>3555995533</v>
      </c>
    </row>
    <row r="53" spans="1:9" x14ac:dyDescent="0.2">
      <c r="A53" s="815" t="s">
        <v>292</v>
      </c>
      <c r="B53" s="812">
        <f>B40</f>
        <v>4538000</v>
      </c>
      <c r="C53" s="806">
        <f>C40</f>
        <v>6992908107</v>
      </c>
      <c r="D53" s="856">
        <f>D40</f>
        <v>6997446107</v>
      </c>
      <c r="E53" s="815" t="s">
        <v>293</v>
      </c>
      <c r="F53" s="812">
        <f>F40</f>
        <v>42465272</v>
      </c>
      <c r="G53" s="806">
        <f>G40</f>
        <v>11892370909</v>
      </c>
      <c r="H53" s="807">
        <f>H40</f>
        <v>11934836181</v>
      </c>
      <c r="I53" s="40">
        <f t="shared" si="3"/>
        <v>11934836181</v>
      </c>
    </row>
    <row r="54" spans="1:9" ht="15" x14ac:dyDescent="0.25">
      <c r="A54" s="821" t="s">
        <v>380</v>
      </c>
      <c r="B54" s="830">
        <f>SUM(B52:B53)</f>
        <v>570442750.07478428</v>
      </c>
      <c r="C54" s="822">
        <f>SUM(C52:C53)</f>
        <v>10398119180.925217</v>
      </c>
      <c r="D54" s="825">
        <f>SUM(D52:D53)</f>
        <v>10968561931</v>
      </c>
      <c r="E54" s="821" t="s">
        <v>396</v>
      </c>
      <c r="F54" s="830">
        <f>SUM(F52:F53)</f>
        <v>927060328</v>
      </c>
      <c r="G54" s="822">
        <f>SUM(G52:G53)</f>
        <v>14563771386</v>
      </c>
      <c r="H54" s="823">
        <f>SUM(H52:H53)</f>
        <v>15490831714</v>
      </c>
      <c r="I54" s="40">
        <f t="shared" si="3"/>
        <v>15490831714</v>
      </c>
    </row>
    <row r="55" spans="1:9" ht="15" x14ac:dyDescent="0.25">
      <c r="A55" s="821" t="s">
        <v>294</v>
      </c>
      <c r="B55" s="822"/>
      <c r="C55" s="822"/>
      <c r="D55" s="825"/>
      <c r="E55" s="821" t="s">
        <v>771</v>
      </c>
      <c r="F55" s="830">
        <f>B54-F54</f>
        <v>-356617577.92521572</v>
      </c>
      <c r="G55" s="830">
        <f>C54-G54</f>
        <v>-4165652205.0747833</v>
      </c>
      <c r="H55" s="823">
        <f>D54-H54</f>
        <v>-4522269783</v>
      </c>
      <c r="I55" s="40">
        <f t="shared" si="3"/>
        <v>-4522269782.999999</v>
      </c>
    </row>
    <row r="56" spans="1:9" ht="30" x14ac:dyDescent="0.25">
      <c r="A56" s="821" t="s">
        <v>295</v>
      </c>
      <c r="B56" s="830">
        <f>SUM(B57:B58)</f>
        <v>64265948</v>
      </c>
      <c r="C56" s="822">
        <f>SUM(C57:C58)</f>
        <v>3048102611</v>
      </c>
      <c r="D56" s="825">
        <f>SUM(D57:D58)</f>
        <v>3112368559</v>
      </c>
      <c r="E56" s="821" t="s">
        <v>296</v>
      </c>
      <c r="F56" s="830">
        <f>SUM(F57:F58)</f>
        <v>0</v>
      </c>
      <c r="G56" s="822">
        <f>SUM(G57:G58)</f>
        <v>927631629</v>
      </c>
      <c r="H56" s="823">
        <f>SUM(H57:H58)</f>
        <v>927631629</v>
      </c>
      <c r="I56" s="40">
        <f t="shared" si="3"/>
        <v>927631629</v>
      </c>
    </row>
    <row r="57" spans="1:9" ht="28.5" x14ac:dyDescent="0.2">
      <c r="A57" s="815" t="s">
        <v>254</v>
      </c>
      <c r="B57" s="812">
        <f>B20</f>
        <v>41733711</v>
      </c>
      <c r="C57" s="816">
        <f>C20</f>
        <v>114492636</v>
      </c>
      <c r="D57" s="856">
        <f>D20</f>
        <v>156226347</v>
      </c>
      <c r="E57" s="815" t="s">
        <v>297</v>
      </c>
      <c r="F57" s="816">
        <f>F20</f>
        <v>0</v>
      </c>
      <c r="G57" s="816">
        <f>G20</f>
        <v>53389205</v>
      </c>
      <c r="H57" s="878">
        <f>H20</f>
        <v>53389205</v>
      </c>
      <c r="I57" s="40">
        <f t="shared" si="3"/>
        <v>53389205</v>
      </c>
    </row>
    <row r="58" spans="1:9" ht="28.5" x14ac:dyDescent="0.2">
      <c r="A58" s="815" t="s">
        <v>279</v>
      </c>
      <c r="B58" s="812">
        <f>B42</f>
        <v>22532237</v>
      </c>
      <c r="C58" s="816">
        <f>C42</f>
        <v>2933609975</v>
      </c>
      <c r="D58" s="856">
        <f>D42</f>
        <v>2956142212</v>
      </c>
      <c r="E58" s="815" t="s">
        <v>298</v>
      </c>
      <c r="F58" s="816">
        <f>F42</f>
        <v>0</v>
      </c>
      <c r="G58" s="816">
        <f>G42</f>
        <v>874242424</v>
      </c>
      <c r="H58" s="878">
        <f>H42</f>
        <v>874242424</v>
      </c>
      <c r="I58" s="40">
        <f t="shared" si="3"/>
        <v>874242424</v>
      </c>
    </row>
    <row r="59" spans="1:9" ht="15" x14ac:dyDescent="0.25">
      <c r="A59" s="821" t="s">
        <v>299</v>
      </c>
      <c r="B59" s="830">
        <f>SUM(B60:B61)</f>
        <v>0</v>
      </c>
      <c r="C59" s="822">
        <f>SUM(C60:C61)</f>
        <v>2337532853</v>
      </c>
      <c r="D59" s="825">
        <f>SUM(D60:D61)</f>
        <v>2337532853</v>
      </c>
      <c r="E59" s="815"/>
      <c r="F59" s="879"/>
      <c r="G59" s="879"/>
      <c r="H59" s="880"/>
      <c r="I59" s="40">
        <f t="shared" si="3"/>
        <v>0</v>
      </c>
    </row>
    <row r="60" spans="1:9" ht="28.5" x14ac:dyDescent="0.2">
      <c r="A60" s="815" t="s">
        <v>257</v>
      </c>
      <c r="B60" s="812">
        <f>B22</f>
        <v>0</v>
      </c>
      <c r="C60" s="816">
        <f>C22</f>
        <v>324834536</v>
      </c>
      <c r="D60" s="856">
        <f>D22</f>
        <v>324834536</v>
      </c>
      <c r="E60" s="815"/>
      <c r="F60" s="816"/>
      <c r="G60" s="816"/>
      <c r="H60" s="878"/>
      <c r="I60" s="40">
        <f t="shared" si="3"/>
        <v>0</v>
      </c>
    </row>
    <row r="61" spans="1:9" ht="30" thickBot="1" x14ac:dyDescent="0.3">
      <c r="A61" s="833" t="s">
        <v>282</v>
      </c>
      <c r="B61" s="865">
        <f>B44</f>
        <v>0</v>
      </c>
      <c r="C61" s="841">
        <f>C44</f>
        <v>2012698317</v>
      </c>
      <c r="D61" s="881">
        <f>D44</f>
        <v>2012698317</v>
      </c>
      <c r="E61" s="882"/>
      <c r="F61" s="864"/>
      <c r="G61" s="864"/>
      <c r="H61" s="883"/>
      <c r="I61" s="40"/>
    </row>
    <row r="62" spans="1:9" ht="15.75" thickBot="1" x14ac:dyDescent="0.3">
      <c r="A62" s="800" t="s">
        <v>42</v>
      </c>
      <c r="B62" s="846">
        <f>B54+B56+B59</f>
        <v>634708698.07478428</v>
      </c>
      <c r="C62" s="844">
        <f>C54+C56+C59</f>
        <v>15783754644.925217</v>
      </c>
      <c r="D62" s="870">
        <f>D54+D56+D59</f>
        <v>16418463343</v>
      </c>
      <c r="E62" s="800" t="s">
        <v>300</v>
      </c>
      <c r="F62" s="844">
        <f>F54+F56</f>
        <v>927060328</v>
      </c>
      <c r="G62" s="844">
        <f>G54+G56</f>
        <v>15491403015</v>
      </c>
      <c r="H62" s="845">
        <f>H54+H56</f>
        <v>16418463343</v>
      </c>
      <c r="I62" s="40"/>
    </row>
    <row r="63" spans="1:9" x14ac:dyDescent="0.2">
      <c r="A63" s="387" t="s">
        <v>772</v>
      </c>
      <c r="B63" s="799">
        <f>B62-F62</f>
        <v>-292351629.92521572</v>
      </c>
      <c r="C63" s="799">
        <f>C62-G62</f>
        <v>292351629.92521667</v>
      </c>
      <c r="D63" s="799">
        <f>D62-H62</f>
        <v>0</v>
      </c>
      <c r="H63" s="799">
        <f>F62+G62</f>
        <v>16418463343</v>
      </c>
      <c r="I63" s="40"/>
    </row>
    <row r="64" spans="1:9" x14ac:dyDescent="0.2">
      <c r="D64" s="799">
        <f>SUM(B62:C62)</f>
        <v>16418463343</v>
      </c>
      <c r="H64" s="799">
        <f>'8. sz. tábla  (3)'!I61</f>
        <v>16418463343</v>
      </c>
    </row>
    <row r="65" spans="4:8" x14ac:dyDescent="0.2">
      <c r="H65" s="799">
        <f>H64-H63</f>
        <v>0</v>
      </c>
    </row>
    <row r="66" spans="4:8" x14ac:dyDescent="0.2">
      <c r="D66" s="799">
        <f>'8. sz. tábla  (3)'!D61</f>
        <v>16418463343</v>
      </c>
    </row>
    <row r="67" spans="4:8" x14ac:dyDescent="0.2">
      <c r="D67" s="799">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 6/2021. (III.05.) önkormányzati rendelethez
 az önkormányzat 2020. évi költségvetéséről szóló 6/2020. (III.06.) önkormányzati rendelet 
8/a. mellékletének helyébe a következő 8/a. melléklet lép: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view="pageLayout" topLeftCell="B82" zoomScaleNormal="118" zoomScaleSheetLayoutView="89" workbookViewId="0">
      <selection activeCell="E48" sqref="E48"/>
    </sheetView>
  </sheetViews>
  <sheetFormatPr defaultColWidth="9.140625" defaultRowHeight="14.25" x14ac:dyDescent="0.2"/>
  <cols>
    <col min="1" max="1" width="45.7109375" style="894" customWidth="1"/>
    <col min="2" max="2" width="13.140625" style="884" customWidth="1"/>
    <col min="3" max="3" width="14.5703125" style="884" customWidth="1"/>
    <col min="4" max="4" width="16.28515625" style="884" customWidth="1"/>
    <col min="5" max="5" width="14.5703125" style="884" customWidth="1"/>
    <col min="6" max="6" width="45.85546875" style="884" customWidth="1"/>
    <col min="7" max="7" width="12.85546875" style="887" customWidth="1"/>
    <col min="8" max="8" width="14.28515625" style="887" customWidth="1"/>
    <col min="9" max="9" width="15.5703125" style="887" customWidth="1"/>
    <col min="10" max="10" width="15.7109375" style="887" customWidth="1"/>
    <col min="11" max="11" width="14.7109375" style="884" customWidth="1"/>
    <col min="12" max="12" width="14.28515625" style="884" customWidth="1"/>
    <col min="13" max="13" width="12.7109375" style="884" customWidth="1"/>
    <col min="14" max="14" width="9.140625" style="884"/>
    <col min="15" max="15" width="10" style="884" bestFit="1" customWidth="1"/>
    <col min="16" max="16384" width="9.140625" style="884"/>
  </cols>
  <sheetData>
    <row r="1" spans="1:12" ht="14.25" customHeight="1" x14ac:dyDescent="0.2">
      <c r="A1" s="1724" t="s">
        <v>975</v>
      </c>
      <c r="B1" s="1724"/>
      <c r="C1" s="1724"/>
      <c r="D1" s="1724"/>
      <c r="E1" s="1724"/>
      <c r="F1" s="1724"/>
      <c r="G1" s="1724"/>
      <c r="H1" s="1724"/>
      <c r="I1" s="1724"/>
      <c r="J1" s="1724"/>
    </row>
    <row r="2" spans="1:12" s="885" customFormat="1" ht="14.25" customHeight="1" x14ac:dyDescent="0.2">
      <c r="A2" s="1724"/>
      <c r="B2" s="1724"/>
      <c r="C2" s="1724"/>
      <c r="D2" s="1724"/>
      <c r="E2" s="1724"/>
      <c r="F2" s="1724"/>
      <c r="G2" s="1724"/>
      <c r="H2" s="1724"/>
      <c r="I2" s="1724"/>
      <c r="J2" s="1724"/>
    </row>
    <row r="3" spans="1:12" s="885" customFormat="1" ht="14.25" customHeight="1" x14ac:dyDescent="0.2">
      <c r="A3" s="1724"/>
      <c r="B3" s="1724"/>
      <c r="C3" s="1724"/>
      <c r="D3" s="1724"/>
      <c r="E3" s="1724"/>
      <c r="F3" s="1724"/>
      <c r="G3" s="1724"/>
      <c r="H3" s="1724"/>
      <c r="I3" s="1724"/>
      <c r="J3" s="1724"/>
    </row>
    <row r="4" spans="1:12" s="885" customFormat="1" ht="14.25" customHeight="1" x14ac:dyDescent="0.25">
      <c r="A4" s="886"/>
      <c r="B4" s="886"/>
      <c r="C4" s="886"/>
      <c r="D4" s="886"/>
      <c r="E4" s="886"/>
      <c r="F4" s="886"/>
      <c r="G4" s="886"/>
      <c r="H4" s="886"/>
      <c r="I4" s="886"/>
      <c r="J4" s="886"/>
    </row>
    <row r="5" spans="1:12" ht="15.75" customHeight="1" x14ac:dyDescent="0.25">
      <c r="A5" s="1725" t="s">
        <v>972</v>
      </c>
      <c r="B5" s="1725"/>
      <c r="C5" s="1725"/>
      <c r="D5" s="1725"/>
      <c r="E5" s="1725"/>
      <c r="F5" s="1725"/>
      <c r="G5" s="1725"/>
    </row>
    <row r="7" spans="1:12" s="894" customFormat="1" ht="25.5" x14ac:dyDescent="0.2">
      <c r="A7" s="888" t="s">
        <v>240</v>
      </c>
      <c r="B7" s="889" t="s">
        <v>388</v>
      </c>
      <c r="C7" s="890" t="s">
        <v>773</v>
      </c>
      <c r="D7" s="891" t="s">
        <v>386</v>
      </c>
      <c r="E7" s="892" t="s">
        <v>768</v>
      </c>
      <c r="F7" s="893" t="s">
        <v>241</v>
      </c>
      <c r="G7" s="889" t="s">
        <v>388</v>
      </c>
      <c r="H7" s="890" t="s">
        <v>773</v>
      </c>
      <c r="I7" s="891" t="s">
        <v>386</v>
      </c>
      <c r="J7" s="892" t="s">
        <v>768</v>
      </c>
    </row>
    <row r="8" spans="1:12" s="894" customFormat="1" ht="15" x14ac:dyDescent="0.25">
      <c r="A8" s="895" t="s">
        <v>774</v>
      </c>
      <c r="B8" s="896"/>
      <c r="C8" s="896"/>
      <c r="D8" s="897"/>
      <c r="E8" s="898"/>
      <c r="F8" s="899" t="s">
        <v>385</v>
      </c>
      <c r="G8" s="900"/>
      <c r="H8" s="900"/>
      <c r="I8" s="901"/>
      <c r="J8" s="902"/>
    </row>
    <row r="9" spans="1:12" s="912" customFormat="1" ht="28.5" x14ac:dyDescent="0.2">
      <c r="A9" s="903" t="s">
        <v>775</v>
      </c>
      <c r="B9" s="904">
        <f>'3.sz. tábla  (2)'!D12+'2.a tábla ÚJ '!P12-'9. sz. tábla (2)'!B39</f>
        <v>181979267.07478428</v>
      </c>
      <c r="C9" s="905">
        <f>'2.sz.tábla   (2)'!H7+'3.sz. tábla  (2)'!D13-'9. sz. tábla (2)'!C39-'9. sz. tábla (2)'!C72</f>
        <v>193508348.97060001</v>
      </c>
      <c r="D9" s="906">
        <f>'3.sz. tábla  (2)'!D15-'2.sz.tábla   (2)'!D23+'2.sz.tábla   (2)'!D20-'9. sz. tábla (2)'!D39</f>
        <v>938543168.92521572</v>
      </c>
      <c r="E9" s="907">
        <f>SUM(B9:D9)</f>
        <v>1314030784.9706001</v>
      </c>
      <c r="F9" s="908" t="s">
        <v>130</v>
      </c>
      <c r="G9" s="904">
        <f>'4.sz.tábla '!D9-'9. sz. tábla (2)'!G39</f>
        <v>196346300</v>
      </c>
      <c r="H9" s="904">
        <f>'5.tábla (2)'!D7-'9. sz. tábla (2)'!H39-'9. sz. tábla (2)'!H72</f>
        <v>250993304</v>
      </c>
      <c r="I9" s="909">
        <f>'5.tábla (2)'!D48-'9. sz. tábla (2)'!I39</f>
        <v>65531834</v>
      </c>
      <c r="J9" s="910">
        <f>SUM(G9:I9)</f>
        <v>512871438</v>
      </c>
      <c r="K9" s="911">
        <f>I9+I39</f>
        <v>125848387</v>
      </c>
      <c r="L9" s="911"/>
    </row>
    <row r="10" spans="1:12" ht="17.25" customHeight="1" x14ac:dyDescent="0.2">
      <c r="A10" s="913" t="s">
        <v>243</v>
      </c>
      <c r="B10" s="914"/>
      <c r="C10" s="806">
        <f>'2.sz.tábla   (2)'!H30</f>
        <v>0</v>
      </c>
      <c r="D10" s="806">
        <f>'2.sz.tábla   (2)'!D30</f>
        <v>1627117610</v>
      </c>
      <c r="E10" s="907">
        <f>SUM(B10:D10)</f>
        <v>1627117610</v>
      </c>
      <c r="F10" s="915" t="s">
        <v>122</v>
      </c>
      <c r="G10" s="916">
        <f>'4.sz.tábla '!H9-'9. sz. tábla (2)'!G40</f>
        <v>32499613</v>
      </c>
      <c r="H10" s="916">
        <f>'5.tábla (2)'!D17-'9. sz. tábla (2)'!H40-'9. sz. tábla (2)'!H73</f>
        <v>49128397</v>
      </c>
      <c r="I10" s="917">
        <f>'5.tábla (2)'!D63-'9. sz. tábla (2)'!I40</f>
        <v>7551349</v>
      </c>
      <c r="J10" s="918">
        <f t="shared" ref="J10:J18" si="0">SUM(G10:I10)</f>
        <v>89179359</v>
      </c>
      <c r="K10" s="911">
        <f>I10+I40</f>
        <v>21158997</v>
      </c>
      <c r="L10" s="911"/>
    </row>
    <row r="11" spans="1:12" x14ac:dyDescent="0.2">
      <c r="A11" s="919" t="s">
        <v>245</v>
      </c>
      <c r="B11" s="916">
        <f>'2.a tábla ÚJ '!P21-'9. sz. tábla (2)'!B41</f>
        <v>26074593</v>
      </c>
      <c r="C11" s="916">
        <f>'2.sz.tábla   (2)'!H43-'9. sz. tábla (2)'!C41-'9. sz. tábla (2)'!C74</f>
        <v>27209750</v>
      </c>
      <c r="D11" s="917">
        <f>'2.sz.tábla   (2)'!D43-'9. sz. tábla (2)'!D26-'9. sz. tábla (2)'!D41-'9. sz. tábla (2)'!D56</f>
        <v>198297015</v>
      </c>
      <c r="E11" s="907">
        <f>SUM(B11:D11)</f>
        <v>251581358</v>
      </c>
      <c r="F11" s="915" t="s">
        <v>123</v>
      </c>
      <c r="G11" s="916">
        <f>'4.sz.tábla '!L9-'9. sz. tábla (2)'!G41</f>
        <v>76528795</v>
      </c>
      <c r="H11" s="916">
        <f>'5.tábla (2)'!D27-'9. sz. tábla (2)'!H41-'9. sz. tábla (2)'!H74</f>
        <v>69281711</v>
      </c>
      <c r="I11" s="917">
        <f>'5.tábla (2)'!D77-'9. sz. tábla (2)'!I41</f>
        <v>688555646</v>
      </c>
      <c r="J11" s="918">
        <f t="shared" si="0"/>
        <v>834366152</v>
      </c>
      <c r="K11" s="911">
        <f t="shared" ref="K11:K17" si="1">I11+I41</f>
        <v>1104729422</v>
      </c>
      <c r="L11" s="911"/>
    </row>
    <row r="12" spans="1:12" ht="28.5" x14ac:dyDescent="0.2">
      <c r="A12" s="920" t="s">
        <v>249</v>
      </c>
      <c r="B12" s="916">
        <f>'2.a tábla ÚJ '!O40-'9. sz. tábla (2)'!B42</f>
        <v>0</v>
      </c>
      <c r="C12" s="921">
        <f>'2.sz.tábla   (2)'!G66</f>
        <v>0</v>
      </c>
      <c r="D12" s="906">
        <f>'2.sz.tábla   (2)'!D66-'9. sz. tábla (2)'!D42</f>
        <v>220000</v>
      </c>
      <c r="E12" s="907">
        <f>SUM(B12:D12)</f>
        <v>220000</v>
      </c>
      <c r="F12" s="922" t="s">
        <v>149</v>
      </c>
      <c r="G12" s="916"/>
      <c r="H12" s="916"/>
      <c r="I12" s="917">
        <f>'5.tábla (2)'!D126-'9. sz. tábla (2)'!I42</f>
        <v>30600000</v>
      </c>
      <c r="J12" s="918">
        <f t="shared" si="0"/>
        <v>30600000</v>
      </c>
      <c r="K12" s="911">
        <f t="shared" si="1"/>
        <v>30600000</v>
      </c>
      <c r="L12" s="911"/>
    </row>
    <row r="13" spans="1:12" x14ac:dyDescent="0.2">
      <c r="A13" s="913"/>
      <c r="B13" s="916"/>
      <c r="C13" s="916"/>
      <c r="D13" s="917"/>
      <c r="E13" s="918"/>
      <c r="F13" s="915" t="s">
        <v>128</v>
      </c>
      <c r="G13" s="916"/>
      <c r="H13" s="916"/>
      <c r="I13" s="917"/>
      <c r="J13" s="918">
        <f t="shared" si="0"/>
        <v>0</v>
      </c>
      <c r="K13" s="911">
        <f t="shared" si="1"/>
        <v>0</v>
      </c>
      <c r="L13" s="911"/>
    </row>
    <row r="14" spans="1:12" x14ac:dyDescent="0.2">
      <c r="A14" s="919"/>
      <c r="B14" s="916"/>
      <c r="C14" s="916"/>
      <c r="D14" s="917"/>
      <c r="E14" s="918"/>
      <c r="F14" s="811" t="s">
        <v>323</v>
      </c>
      <c r="G14" s="916"/>
      <c r="H14" s="916"/>
      <c r="I14" s="917">
        <f>'5.tábla (2)'!D137-'9. sz. tábla (2)'!I44</f>
        <v>7183231</v>
      </c>
      <c r="J14" s="918">
        <f t="shared" si="0"/>
        <v>7183231</v>
      </c>
      <c r="K14" s="911">
        <f t="shared" si="1"/>
        <v>7183231</v>
      </c>
      <c r="L14" s="911"/>
    </row>
    <row r="15" spans="1:12" ht="28.5" x14ac:dyDescent="0.2">
      <c r="A15" s="919"/>
      <c r="B15" s="916"/>
      <c r="C15" s="916"/>
      <c r="D15" s="917"/>
      <c r="E15" s="918"/>
      <c r="F15" s="811" t="s">
        <v>324</v>
      </c>
      <c r="G15" s="916">
        <f>'4.sz.tábla '!U9-G45</f>
        <v>89479</v>
      </c>
      <c r="H15" s="916">
        <f>'5.tábla (2)'!D37-H78</f>
        <v>2261136</v>
      </c>
      <c r="I15" s="917">
        <f>'5.tábla (2)'!D141-'9. sz. tábla (2)'!I45</f>
        <v>488167299</v>
      </c>
      <c r="J15" s="918">
        <f t="shared" si="0"/>
        <v>490517914</v>
      </c>
      <c r="K15" s="911">
        <f t="shared" si="1"/>
        <v>509683666</v>
      </c>
      <c r="L15" s="911"/>
    </row>
    <row r="16" spans="1:12" ht="28.5" x14ac:dyDescent="0.2">
      <c r="A16" s="923"/>
      <c r="B16" s="916"/>
      <c r="C16" s="921"/>
      <c r="D16" s="924"/>
      <c r="E16" s="925"/>
      <c r="F16" s="818" t="s">
        <v>325</v>
      </c>
      <c r="G16" s="916"/>
      <c r="H16" s="916"/>
      <c r="I16" s="917">
        <f>'5.tábla (2)'!D146-'9. sz. tábla (2)'!I46</f>
        <v>311104523</v>
      </c>
      <c r="J16" s="918">
        <f t="shared" si="0"/>
        <v>311104523</v>
      </c>
      <c r="K16" s="911">
        <f>I16+I46</f>
        <v>712189503</v>
      </c>
      <c r="L16" s="911"/>
    </row>
    <row r="17" spans="1:12" ht="28.5" x14ac:dyDescent="0.2">
      <c r="A17" s="926"/>
      <c r="B17" s="916"/>
      <c r="C17" s="916"/>
      <c r="D17" s="917"/>
      <c r="E17" s="918"/>
      <c r="F17" s="811" t="s">
        <v>326</v>
      </c>
      <c r="G17" s="916"/>
      <c r="H17" s="916"/>
      <c r="I17" s="917">
        <f>'5.tábla (2)'!D143-'9. sz. tábla (2)'!I47</f>
        <v>0</v>
      </c>
      <c r="J17" s="918">
        <f t="shared" si="0"/>
        <v>0</v>
      </c>
      <c r="K17" s="911">
        <f t="shared" si="1"/>
        <v>0</v>
      </c>
      <c r="L17" s="911"/>
    </row>
    <row r="18" spans="1:12" x14ac:dyDescent="0.2">
      <c r="A18" s="913"/>
      <c r="B18" s="916"/>
      <c r="C18" s="916"/>
      <c r="D18" s="917"/>
      <c r="E18" s="918"/>
      <c r="F18" s="376" t="s">
        <v>317</v>
      </c>
      <c r="G18" s="927"/>
      <c r="H18" s="927"/>
      <c r="I18" s="820">
        <f>'8a. sz. tábla  (4)'!G17</f>
        <v>160007271</v>
      </c>
      <c r="J18" s="928">
        <f t="shared" si="0"/>
        <v>160007271</v>
      </c>
      <c r="K18" s="911">
        <f>I18+I48</f>
        <v>160007271</v>
      </c>
      <c r="L18" s="911"/>
    </row>
    <row r="19" spans="1:12" s="934" customFormat="1" ht="30" x14ac:dyDescent="0.25">
      <c r="A19" s="929" t="s">
        <v>776</v>
      </c>
      <c r="B19" s="930">
        <f>SUM(B9:B18)</f>
        <v>208053860.07478428</v>
      </c>
      <c r="C19" s="930">
        <f>SUM(C9:C18)</f>
        <v>220718098.97060001</v>
      </c>
      <c r="D19" s="931">
        <f>SUM(D9:D18)</f>
        <v>2764177793.9252157</v>
      </c>
      <c r="E19" s="931">
        <f>SUM(E9:E18)</f>
        <v>3192949752.9706001</v>
      </c>
      <c r="F19" s="932" t="s">
        <v>777</v>
      </c>
      <c r="G19" s="933">
        <f>SUM(G9:G18)</f>
        <v>305464187</v>
      </c>
      <c r="H19" s="933">
        <f>SUM(H9:H18)</f>
        <v>371664548</v>
      </c>
      <c r="I19" s="933">
        <f>SUM(I9:I18)</f>
        <v>1758701153</v>
      </c>
      <c r="J19" s="933">
        <f>SUM(J9:J18)</f>
        <v>2435829888</v>
      </c>
      <c r="K19" s="911">
        <f>I19+I49</f>
        <v>2671400477</v>
      </c>
      <c r="L19" s="911"/>
    </row>
    <row r="20" spans="1:12" x14ac:dyDescent="0.2">
      <c r="A20" s="901" t="s">
        <v>778</v>
      </c>
      <c r="B20" s="916">
        <f>'2.sz.tábla   (2)'!L77-'9. sz. tábla (2)'!B50</f>
        <v>14589408</v>
      </c>
      <c r="C20" s="916">
        <f>'2.sz.tábla   (2)'!H77-'9. sz. tábla (2)'!C50-'9. sz. tábla (2)'!C83</f>
        <v>21984380.262000002</v>
      </c>
      <c r="D20" s="917">
        <f>'2.sz.tábla   (2)'!D77+'2.sz.tábla   (2)'!D90+'8a. sz. tábla  (4)'!C23-'9. sz. tábla (2)'!D50</f>
        <v>335306787</v>
      </c>
      <c r="E20" s="935">
        <f>SUM(B20:D20)</f>
        <v>371880575.26200002</v>
      </c>
      <c r="F20" s="902" t="s">
        <v>779</v>
      </c>
      <c r="G20" s="918"/>
      <c r="H20" s="918"/>
      <c r="I20" s="918">
        <f>'7. sz. tábla 1'!D244</f>
        <v>53389205</v>
      </c>
      <c r="J20" s="918">
        <f>SUM(G20:I20)</f>
        <v>53389205</v>
      </c>
      <c r="K20" s="911">
        <f>I20+I50</f>
        <v>53389205</v>
      </c>
      <c r="L20" s="911"/>
    </row>
    <row r="21" spans="1:12" ht="45" x14ac:dyDescent="0.25">
      <c r="A21" s="929" t="s">
        <v>780</v>
      </c>
      <c r="B21" s="930">
        <f>B19+B20</f>
        <v>222643268.07478428</v>
      </c>
      <c r="C21" s="930">
        <f>C19+C20</f>
        <v>242702479.2326</v>
      </c>
      <c r="D21" s="931">
        <f>D19+D20</f>
        <v>3099484580.9252157</v>
      </c>
      <c r="E21" s="936">
        <f>E19+E20</f>
        <v>3564830328.2326002</v>
      </c>
      <c r="F21" s="932" t="s">
        <v>781</v>
      </c>
      <c r="G21" s="933">
        <f>G19+G20</f>
        <v>305464187</v>
      </c>
      <c r="H21" s="933">
        <f>H19+H20</f>
        <v>371664548</v>
      </c>
      <c r="I21" s="933">
        <f>I19+I20</f>
        <v>1812090358</v>
      </c>
      <c r="J21" s="933">
        <f>J19+J20</f>
        <v>2489219093</v>
      </c>
      <c r="K21" s="943">
        <f>SUM(K19:K20)</f>
        <v>2724789682</v>
      </c>
    </row>
    <row r="22" spans="1:12" ht="15" x14ac:dyDescent="0.25">
      <c r="A22" s="937" t="s">
        <v>782</v>
      </c>
      <c r="B22" s="938"/>
      <c r="C22" s="938"/>
      <c r="D22" s="938"/>
      <c r="E22" s="939"/>
      <c r="F22" s="940" t="s">
        <v>389</v>
      </c>
      <c r="G22" s="941"/>
      <c r="H22" s="941"/>
      <c r="I22" s="941"/>
      <c r="J22" s="941"/>
    </row>
    <row r="23" spans="1:12" ht="28.5" x14ac:dyDescent="0.2">
      <c r="A23" s="920" t="s">
        <v>264</v>
      </c>
      <c r="B23" s="916">
        <f>'2.sz.tábla   (2)'!L27-'9. sz. tábla (2)'!B53</f>
        <v>3468000</v>
      </c>
      <c r="C23" s="916">
        <f>'2.sz.tábla   (2)'!H27-'9. sz. tábla (2)'!C53</f>
        <v>0</v>
      </c>
      <c r="D23" s="917">
        <f>'2.sz.tábla   (2)'!D22-'9. sz. tábla (2)'!D53</f>
        <v>968319208</v>
      </c>
      <c r="E23" s="935">
        <f>SUM(B23:D23)</f>
        <v>971787208</v>
      </c>
      <c r="F23" s="942" t="s">
        <v>265</v>
      </c>
      <c r="G23" s="918"/>
      <c r="H23" s="918"/>
      <c r="I23" s="918">
        <f>'7. sz. tábla 1'!D175-'9. sz. tábla (2)'!I53</f>
        <v>3671618665</v>
      </c>
      <c r="J23" s="918">
        <f t="shared" ref="J23:J30" si="2">SUM(G23:I23)</f>
        <v>3671618665</v>
      </c>
      <c r="K23" s="943">
        <f t="shared" ref="K23:K28" si="3">I23+I53</f>
        <v>9777564985</v>
      </c>
      <c r="L23" s="943"/>
    </row>
    <row r="24" spans="1:12" x14ac:dyDescent="0.2">
      <c r="A24" s="944" t="s">
        <v>783</v>
      </c>
      <c r="B24" s="916">
        <f>'2.sz.tábla   (2)'!L58-'9. sz. tábla (2)'!B54</f>
        <v>0</v>
      </c>
      <c r="C24" s="916">
        <f>'2.sz.tábla   (2)'!H58-'9. sz. tábla (2)'!C87</f>
        <v>1070000</v>
      </c>
      <c r="D24" s="917">
        <f>'2.sz.tábla   (2)'!D58-'9. sz. tábla (2)'!D54</f>
        <v>32917323</v>
      </c>
      <c r="E24" s="935">
        <f>SUM(B24:D24)</f>
        <v>33987323</v>
      </c>
      <c r="F24" s="942" t="s">
        <v>267</v>
      </c>
      <c r="G24" s="918">
        <f>'4.sz.tábla '!Y9-'9. sz. tábla (2)'!G54</f>
        <v>19786911</v>
      </c>
      <c r="H24" s="918">
        <f>'5.tábla (2)'!D39-'9. sz. tábla (2)'!H54-'9. sz. tábla (2)'!H87</f>
        <v>17095675</v>
      </c>
      <c r="I24" s="918"/>
      <c r="J24" s="918">
        <f t="shared" si="2"/>
        <v>36882586</v>
      </c>
      <c r="K24" s="943">
        <f t="shared" si="3"/>
        <v>0</v>
      </c>
      <c r="L24" s="943"/>
    </row>
    <row r="25" spans="1:12" ht="28.5" x14ac:dyDescent="0.2">
      <c r="A25" s="944" t="s">
        <v>784</v>
      </c>
      <c r="B25" s="916">
        <f>'2.sz.tábla   (2)'!H70-'9. sz. tábla (2)'!B88</f>
        <v>0</v>
      </c>
      <c r="C25" s="916"/>
      <c r="D25" s="917">
        <f>'2.sz.tábla   (2)'!D70-'9. sz. tábla (2)'!D55</f>
        <v>12000000</v>
      </c>
      <c r="E25" s="935">
        <f>SUM(B25:D25)</f>
        <v>12000000</v>
      </c>
      <c r="F25" s="942" t="s">
        <v>269</v>
      </c>
      <c r="G25" s="918"/>
      <c r="H25" s="918"/>
      <c r="I25" s="918">
        <f>'6.sz.tábla  (3)'!D120-'9. sz. tábla (2)'!I55</f>
        <v>95841720</v>
      </c>
      <c r="J25" s="918">
        <f t="shared" si="2"/>
        <v>95841720</v>
      </c>
      <c r="K25" s="943">
        <f t="shared" si="3"/>
        <v>107001247</v>
      </c>
      <c r="L25" s="943"/>
    </row>
    <row r="26" spans="1:12" ht="28.5" x14ac:dyDescent="0.2">
      <c r="A26" s="136" t="s">
        <v>1</v>
      </c>
      <c r="B26" s="916"/>
      <c r="C26" s="916"/>
      <c r="D26" s="917">
        <f>'8a. sz. tábla  (4)'!C34-'9. sz. tábla (2)'!D56</f>
        <v>63975117</v>
      </c>
      <c r="E26" s="935">
        <f>SUM(B26:D26)</f>
        <v>63975117</v>
      </c>
      <c r="F26" s="942" t="s">
        <v>785</v>
      </c>
      <c r="G26" s="918"/>
      <c r="H26" s="918"/>
      <c r="I26" s="918"/>
      <c r="J26" s="918">
        <f t="shared" si="2"/>
        <v>0</v>
      </c>
      <c r="K26" s="943">
        <f t="shared" si="3"/>
        <v>0</v>
      </c>
      <c r="L26" s="943"/>
    </row>
    <row r="27" spans="1:12" ht="28.5" x14ac:dyDescent="0.2">
      <c r="A27" s="913"/>
      <c r="B27" s="916"/>
      <c r="C27" s="916"/>
      <c r="D27" s="917"/>
      <c r="E27" s="935"/>
      <c r="F27" s="942" t="s">
        <v>786</v>
      </c>
      <c r="G27" s="918"/>
      <c r="H27" s="918"/>
      <c r="I27" s="918">
        <f>'7. sz. tábla 1'!D197-'9. sz. tábla (2)'!I57</f>
        <v>8706667</v>
      </c>
      <c r="J27" s="918">
        <f t="shared" si="2"/>
        <v>8706667</v>
      </c>
      <c r="K27" s="943">
        <f>I27+I57</f>
        <v>193027486</v>
      </c>
      <c r="L27" s="943"/>
    </row>
    <row r="28" spans="1:12" ht="28.5" x14ac:dyDescent="0.2">
      <c r="A28" s="913"/>
      <c r="B28" s="916"/>
      <c r="C28" s="916"/>
      <c r="D28" s="917"/>
      <c r="E28" s="935"/>
      <c r="F28" s="945" t="s">
        <v>787</v>
      </c>
      <c r="G28" s="918"/>
      <c r="H28" s="918"/>
      <c r="I28" s="918">
        <f>'7. sz. tábla 1'!D184-'9. sz. tábla (2)'!I58</f>
        <v>171291171</v>
      </c>
      <c r="J28" s="918">
        <f t="shared" si="2"/>
        <v>171291171</v>
      </c>
      <c r="K28" s="943">
        <f t="shared" si="3"/>
        <v>1598101859</v>
      </c>
      <c r="L28" s="943"/>
    </row>
    <row r="29" spans="1:12" ht="28.5" x14ac:dyDescent="0.2">
      <c r="A29" s="946"/>
      <c r="B29" s="916"/>
      <c r="C29" s="916"/>
      <c r="D29" s="917"/>
      <c r="E29" s="935"/>
      <c r="F29" s="942" t="s">
        <v>769</v>
      </c>
      <c r="G29" s="918"/>
      <c r="H29" s="918"/>
      <c r="I29" s="918">
        <f>'7. sz. tábla 1'!D178-'9. sz. tábla (2)'!I60</f>
        <v>0</v>
      </c>
      <c r="J29" s="918">
        <f t="shared" si="2"/>
        <v>0</v>
      </c>
      <c r="K29" s="943">
        <f>I29+I60</f>
        <v>17731099</v>
      </c>
      <c r="L29" s="943"/>
    </row>
    <row r="30" spans="1:12" x14ac:dyDescent="0.2">
      <c r="A30" s="946"/>
      <c r="B30" s="916"/>
      <c r="C30" s="916"/>
      <c r="D30" s="917"/>
      <c r="E30" s="935"/>
      <c r="F30" s="947" t="s">
        <v>19</v>
      </c>
      <c r="G30" s="918"/>
      <c r="H30" s="918"/>
      <c r="I30" s="918">
        <f>'8a. sz. tábla  (4)'!G39</f>
        <v>198944233</v>
      </c>
      <c r="J30" s="918">
        <f t="shared" si="2"/>
        <v>198944233</v>
      </c>
      <c r="K30" s="943">
        <f>I30</f>
        <v>198944233</v>
      </c>
      <c r="L30" s="943"/>
    </row>
    <row r="31" spans="1:12" s="934" customFormat="1" ht="30" x14ac:dyDescent="0.25">
      <c r="A31" s="929" t="s">
        <v>788</v>
      </c>
      <c r="B31" s="930">
        <f>SUM(B23:B29)</f>
        <v>3468000</v>
      </c>
      <c r="C31" s="930">
        <f>SUM(C23:C29)</f>
        <v>1070000</v>
      </c>
      <c r="D31" s="931">
        <f>SUM(D23:D29)</f>
        <v>1077211648</v>
      </c>
      <c r="E31" s="936">
        <f>SUM(E23:E29)</f>
        <v>1081749648</v>
      </c>
      <c r="F31" s="932" t="s">
        <v>789</v>
      </c>
      <c r="G31" s="933">
        <f>SUM(G23:G29)</f>
        <v>19786911</v>
      </c>
      <c r="H31" s="933">
        <f>SUM(H23:H29)</f>
        <v>17095675</v>
      </c>
      <c r="I31" s="933">
        <f>SUM(I23:I30)</f>
        <v>4146402456</v>
      </c>
      <c r="J31" s="933">
        <f>SUM(J23:J30)</f>
        <v>4183285042</v>
      </c>
      <c r="K31" s="948">
        <f>SUM(K23:K30)</f>
        <v>11892370909</v>
      </c>
      <c r="L31" s="948"/>
    </row>
    <row r="32" spans="1:12" ht="15" customHeight="1" x14ac:dyDescent="0.2">
      <c r="A32" s="901" t="s">
        <v>778</v>
      </c>
      <c r="B32" s="916">
        <f>'2.sz.tábla   (2)'!L78-'9. sz. tábla (2)'!B62</f>
        <v>14104346</v>
      </c>
      <c r="C32" s="916">
        <f>'2.sz.tábla   (2)'!H78-'9. sz. tábla (2)'!C62-'9. sz. tábla (2)'!C91</f>
        <v>6851875.3829999994</v>
      </c>
      <c r="D32" s="949">
        <f>'2.sz.tábla   (2)'!D78+'2.sz.tábla   (2)'!D85-'8a. sz. tábla  (4)'!C23+'8a. sz. tábla  (4)'!C46-'9. sz. tábla (2)'!D62</f>
        <v>2590725964</v>
      </c>
      <c r="E32" s="950">
        <f>SUM(B32:D32)</f>
        <v>2611682185.3829999</v>
      </c>
      <c r="F32" s="902" t="s">
        <v>779</v>
      </c>
      <c r="G32" s="918"/>
      <c r="H32" s="918"/>
      <c r="I32" s="918">
        <f>'8a. sz. tábla  (4)'!G42-'9. sz. tábla (2)'!I62</f>
        <v>874242424</v>
      </c>
      <c r="J32" s="918">
        <f>SUM(G32:I32)</f>
        <v>874242424</v>
      </c>
      <c r="K32" s="943">
        <f>I32+I62</f>
        <v>874242424</v>
      </c>
    </row>
    <row r="33" spans="1:15" ht="45" x14ac:dyDescent="0.25">
      <c r="A33" s="937" t="s">
        <v>790</v>
      </c>
      <c r="B33" s="930">
        <f>B31+B32</f>
        <v>17572346</v>
      </c>
      <c r="C33" s="930">
        <f>C31+C32</f>
        <v>7921875.3829999994</v>
      </c>
      <c r="D33" s="931">
        <f>D31+D32</f>
        <v>3667937612</v>
      </c>
      <c r="E33" s="936">
        <f>E31+E32</f>
        <v>3693431833.3829999</v>
      </c>
      <c r="F33" s="932" t="s">
        <v>791</v>
      </c>
      <c r="G33" s="933">
        <f>G31+G32</f>
        <v>19786911</v>
      </c>
      <c r="H33" s="933">
        <f>H31+H32</f>
        <v>17095675</v>
      </c>
      <c r="I33" s="933">
        <f>I31+I32</f>
        <v>5020644880</v>
      </c>
      <c r="J33" s="933">
        <f>J31+J32</f>
        <v>5057527466</v>
      </c>
      <c r="K33" s="943">
        <f>SUM(K31:K32)</f>
        <v>12766613333</v>
      </c>
    </row>
    <row r="34" spans="1:15" x14ac:dyDescent="0.2">
      <c r="B34" s="943">
        <f>B33+B21</f>
        <v>240215614.07478428</v>
      </c>
      <c r="C34" s="943">
        <f>C33+C21</f>
        <v>250624354.61559999</v>
      </c>
      <c r="D34" s="943">
        <f>D33+D21</f>
        <v>6767422192.9252157</v>
      </c>
      <c r="E34" s="943">
        <f>E33+E21</f>
        <v>7258262161.6156006</v>
      </c>
      <c r="G34" s="951">
        <f>G33+G21</f>
        <v>325251098</v>
      </c>
      <c r="H34" s="951">
        <f>H33+H21</f>
        <v>388760223</v>
      </c>
      <c r="I34" s="951">
        <f>I33+I21</f>
        <v>6832735238</v>
      </c>
      <c r="J34" s="951">
        <f>J33+J21</f>
        <v>7546746559</v>
      </c>
    </row>
    <row r="35" spans="1:15" ht="15.75" customHeight="1" x14ac:dyDescent="0.25">
      <c r="A35" s="1725" t="s">
        <v>973</v>
      </c>
      <c r="B35" s="1725"/>
      <c r="C35" s="1725"/>
      <c r="D35" s="1725"/>
      <c r="E35" s="1725"/>
      <c r="F35" s="1725"/>
      <c r="G35" s="1725"/>
      <c r="H35" s="951"/>
    </row>
    <row r="37" spans="1:15" s="894" customFormat="1" ht="25.5" x14ac:dyDescent="0.2">
      <c r="A37" s="952" t="s">
        <v>240</v>
      </c>
      <c r="B37" s="889" t="s">
        <v>388</v>
      </c>
      <c r="C37" s="890" t="s">
        <v>773</v>
      </c>
      <c r="D37" s="891" t="s">
        <v>386</v>
      </c>
      <c r="E37" s="892" t="s">
        <v>768</v>
      </c>
      <c r="F37" s="953" t="s">
        <v>241</v>
      </c>
      <c r="G37" s="889" t="s">
        <v>388</v>
      </c>
      <c r="H37" s="890" t="s">
        <v>773</v>
      </c>
      <c r="I37" s="891" t="s">
        <v>386</v>
      </c>
      <c r="J37" s="892" t="s">
        <v>768</v>
      </c>
      <c r="L37" s="954"/>
    </row>
    <row r="38" spans="1:15" ht="15" x14ac:dyDescent="0.25">
      <c r="A38" s="895" t="s">
        <v>774</v>
      </c>
      <c r="B38" s="1412"/>
      <c r="C38" s="896"/>
      <c r="D38" s="897"/>
      <c r="E38" s="898"/>
      <c r="F38" s="899" t="s">
        <v>385</v>
      </c>
      <c r="G38" s="955"/>
      <c r="H38" s="955"/>
      <c r="I38" s="956"/>
      <c r="J38" s="941"/>
      <c r="L38" s="957"/>
      <c r="M38" s="957"/>
      <c r="N38" s="957"/>
    </row>
    <row r="39" spans="1:15" ht="28.5" x14ac:dyDescent="0.2">
      <c r="A39" s="923" t="s">
        <v>775</v>
      </c>
      <c r="B39" s="1413">
        <f>63300000-2882551+170143+1000000+83990</f>
        <v>61671582</v>
      </c>
      <c r="C39" s="916"/>
      <c r="D39" s="917">
        <v>222157562</v>
      </c>
      <c r="E39" s="918">
        <f>SUM(B39:D39)</f>
        <v>283829144</v>
      </c>
      <c r="F39" s="922" t="s">
        <v>130</v>
      </c>
      <c r="G39" s="1413">
        <f>43302337+3565757-2503878+74906+127609+568000</f>
        <v>45134731</v>
      </c>
      <c r="H39" s="916">
        <f>9534638+232633</f>
        <v>9767271</v>
      </c>
      <c r="I39" s="917">
        <v>60316553</v>
      </c>
      <c r="J39" s="918">
        <f>SUM(G39:I39)</f>
        <v>115218555</v>
      </c>
      <c r="K39" s="957"/>
      <c r="L39" s="957"/>
      <c r="O39" s="957"/>
    </row>
    <row r="40" spans="1:15" x14ac:dyDescent="0.2">
      <c r="A40" s="913" t="s">
        <v>243</v>
      </c>
      <c r="B40" s="1413"/>
      <c r="C40" s="916"/>
      <c r="D40" s="917"/>
      <c r="E40" s="918">
        <f>SUM(B40:D40)</f>
        <v>0</v>
      </c>
      <c r="F40" s="915" t="s">
        <v>122</v>
      </c>
      <c r="G40" s="1413">
        <f>7748538+638157-378673+39130-127609+88040</f>
        <v>8007583</v>
      </c>
      <c r="H40" s="916">
        <f>2128286+36058</f>
        <v>2164344</v>
      </c>
      <c r="I40" s="917">
        <v>13607648</v>
      </c>
      <c r="J40" s="918">
        <f t="shared" ref="J40:J47" si="4">SUM(G40:I40)</f>
        <v>23779575</v>
      </c>
      <c r="K40" s="957"/>
      <c r="L40" s="957"/>
      <c r="O40" s="957"/>
    </row>
    <row r="41" spans="1:15" x14ac:dyDescent="0.2">
      <c r="A41" s="919" t="s">
        <v>245</v>
      </c>
      <c r="B41" s="1413">
        <f>23319000</f>
        <v>23319000</v>
      </c>
      <c r="C41" s="916"/>
      <c r="D41" s="917">
        <f>552722660-D56</f>
        <v>399374964</v>
      </c>
      <c r="E41" s="918">
        <f>SUM(B41:D41)</f>
        <v>422693964</v>
      </c>
      <c r="F41" s="915" t="s">
        <v>123</v>
      </c>
      <c r="G41" s="1413">
        <f>54937253+343960</f>
        <v>55281213</v>
      </c>
      <c r="H41" s="916"/>
      <c r="I41" s="917">
        <f>421253776-5080000</f>
        <v>416173776</v>
      </c>
      <c r="J41" s="918">
        <f t="shared" si="4"/>
        <v>471454989</v>
      </c>
      <c r="K41" s="957"/>
      <c r="L41" s="957"/>
      <c r="O41" s="957"/>
    </row>
    <row r="42" spans="1:15" ht="28.5" x14ac:dyDescent="0.2">
      <c r="A42" s="920" t="s">
        <v>249</v>
      </c>
      <c r="B42" s="1413"/>
      <c r="C42" s="916"/>
      <c r="D42" s="917">
        <f>3500754+16000000</f>
        <v>19500754</v>
      </c>
      <c r="E42" s="918">
        <f>SUM(B42:D42)</f>
        <v>19500754</v>
      </c>
      <c r="F42" s="922" t="s">
        <v>149</v>
      </c>
      <c r="G42" s="1413"/>
      <c r="H42" s="916"/>
      <c r="I42" s="917"/>
      <c r="J42" s="918">
        <f t="shared" si="4"/>
        <v>0</v>
      </c>
      <c r="K42" s="957"/>
      <c r="L42" s="957"/>
      <c r="O42" s="957"/>
    </row>
    <row r="43" spans="1:15" x14ac:dyDescent="0.2">
      <c r="A43" s="913"/>
      <c r="B43" s="916"/>
      <c r="C43" s="916"/>
      <c r="D43" s="917"/>
      <c r="E43" s="918">
        <f>SUM(B43:D43)</f>
        <v>0</v>
      </c>
      <c r="F43" s="915" t="s">
        <v>128</v>
      </c>
      <c r="G43" s="916"/>
      <c r="H43" s="916"/>
      <c r="I43" s="917"/>
      <c r="J43" s="918">
        <f t="shared" si="4"/>
        <v>0</v>
      </c>
      <c r="L43" s="957"/>
      <c r="O43" s="957"/>
    </row>
    <row r="44" spans="1:15" x14ac:dyDescent="0.2">
      <c r="A44" s="919"/>
      <c r="B44" s="916"/>
      <c r="C44" s="916"/>
      <c r="D44" s="917"/>
      <c r="E44" s="918"/>
      <c r="F44" s="811" t="s">
        <v>323</v>
      </c>
      <c r="G44" s="916"/>
      <c r="H44" s="916"/>
      <c r="I44" s="917"/>
      <c r="J44" s="918">
        <f t="shared" si="4"/>
        <v>0</v>
      </c>
    </row>
    <row r="45" spans="1:15" ht="28.5" x14ac:dyDescent="0.2">
      <c r="A45" s="919"/>
      <c r="B45" s="916"/>
      <c r="C45" s="916"/>
      <c r="D45" s="917"/>
      <c r="E45" s="918"/>
      <c r="F45" s="811" t="s">
        <v>324</v>
      </c>
      <c r="G45" s="916"/>
      <c r="H45" s="916"/>
      <c r="I45" s="917">
        <f>21616367-100000</f>
        <v>21516367</v>
      </c>
      <c r="J45" s="918">
        <f t="shared" si="4"/>
        <v>21516367</v>
      </c>
      <c r="L45" s="957"/>
      <c r="M45" s="957"/>
      <c r="N45" s="957"/>
    </row>
    <row r="46" spans="1:15" ht="28.5" x14ac:dyDescent="0.2">
      <c r="A46" s="923"/>
      <c r="B46" s="916"/>
      <c r="C46" s="921"/>
      <c r="D46" s="924"/>
      <c r="E46" s="925"/>
      <c r="F46" s="818" t="s">
        <v>325</v>
      </c>
      <c r="G46" s="916"/>
      <c r="H46" s="916"/>
      <c r="I46" s="917">
        <v>401084980</v>
      </c>
      <c r="J46" s="918">
        <f t="shared" si="4"/>
        <v>401084980</v>
      </c>
      <c r="L46" s="957"/>
    </row>
    <row r="47" spans="1:15" ht="28.5" x14ac:dyDescent="0.2">
      <c r="A47" s="926"/>
      <c r="B47" s="916"/>
      <c r="C47" s="916"/>
      <c r="D47" s="917"/>
      <c r="E47" s="918"/>
      <c r="F47" s="811" t="s">
        <v>326</v>
      </c>
      <c r="G47" s="916"/>
      <c r="H47" s="916"/>
      <c r="I47" s="917"/>
      <c r="J47" s="918">
        <f t="shared" si="4"/>
        <v>0</v>
      </c>
      <c r="L47" s="957"/>
    </row>
    <row r="48" spans="1:15" x14ac:dyDescent="0.2">
      <c r="A48" s="913"/>
      <c r="B48" s="916"/>
      <c r="C48" s="916"/>
      <c r="D48" s="917"/>
      <c r="E48" s="918"/>
      <c r="F48" s="819" t="s">
        <v>317</v>
      </c>
      <c r="G48" s="916"/>
      <c r="H48" s="916"/>
      <c r="I48" s="917"/>
      <c r="J48" s="941"/>
      <c r="M48" s="957"/>
      <c r="N48" s="957"/>
    </row>
    <row r="49" spans="1:13" ht="30" x14ac:dyDescent="0.25">
      <c r="A49" s="929" t="s">
        <v>792</v>
      </c>
      <c r="B49" s="930">
        <f>SUM(B39:B48)</f>
        <v>84990582</v>
      </c>
      <c r="C49" s="930">
        <f>SUM(C39:C48)</f>
        <v>0</v>
      </c>
      <c r="D49" s="931">
        <f>SUM(D39:D48)</f>
        <v>641033280</v>
      </c>
      <c r="E49" s="933">
        <f>SUM(E39:E48)</f>
        <v>726023862</v>
      </c>
      <c r="F49" s="899" t="s">
        <v>793</v>
      </c>
      <c r="G49" s="930">
        <f>SUM(G39:G48)</f>
        <v>108423527</v>
      </c>
      <c r="H49" s="930">
        <f>SUM(H39:H48)</f>
        <v>11931615</v>
      </c>
      <c r="I49" s="931">
        <f>SUM(I39:I48)</f>
        <v>912699324</v>
      </c>
      <c r="J49" s="933">
        <f>SUM(J39:J48)</f>
        <v>1033054466</v>
      </c>
      <c r="M49" s="943"/>
    </row>
    <row r="50" spans="1:13" x14ac:dyDescent="0.2">
      <c r="A50" s="901" t="s">
        <v>778</v>
      </c>
      <c r="B50" s="916"/>
      <c r="C50" s="916"/>
      <c r="D50" s="917">
        <v>104020385</v>
      </c>
      <c r="E50" s="918">
        <f>SUM(B50:D50)</f>
        <v>104020385</v>
      </c>
      <c r="F50" s="958" t="s">
        <v>779</v>
      </c>
      <c r="G50" s="916"/>
      <c r="H50" s="916"/>
      <c r="I50" s="917">
        <f>'[5]8a. sz. tábla  (4)'!G43</f>
        <v>0</v>
      </c>
      <c r="J50" s="918">
        <f>SUM(G50:I50)</f>
        <v>0</v>
      </c>
    </row>
    <row r="51" spans="1:13" ht="45" x14ac:dyDescent="0.25">
      <c r="A51" s="929" t="s">
        <v>794</v>
      </c>
      <c r="B51" s="930">
        <f>B49+B50</f>
        <v>84990582</v>
      </c>
      <c r="C51" s="930">
        <f>C49+C50</f>
        <v>0</v>
      </c>
      <c r="D51" s="931">
        <f>D49+D50</f>
        <v>745053665</v>
      </c>
      <c r="E51" s="933">
        <f>E49+E50</f>
        <v>830044247</v>
      </c>
      <c r="F51" s="899" t="s">
        <v>795</v>
      </c>
      <c r="G51" s="930">
        <f>G49+G50</f>
        <v>108423527</v>
      </c>
      <c r="H51" s="930">
        <f>H49+H50</f>
        <v>11931615</v>
      </c>
      <c r="I51" s="931">
        <f>I49+I50</f>
        <v>912699324</v>
      </c>
      <c r="J51" s="933">
        <f>J49+J50</f>
        <v>1033054466</v>
      </c>
    </row>
    <row r="52" spans="1:13" ht="15" x14ac:dyDescent="0.25">
      <c r="A52" s="929" t="s">
        <v>782</v>
      </c>
      <c r="B52" s="938"/>
      <c r="C52" s="938"/>
      <c r="D52" s="938"/>
      <c r="E52" s="940"/>
      <c r="F52" s="959" t="s">
        <v>389</v>
      </c>
      <c r="G52" s="960"/>
      <c r="H52" s="960"/>
      <c r="I52" s="960"/>
      <c r="J52" s="941"/>
    </row>
    <row r="53" spans="1:13" ht="28.5" x14ac:dyDescent="0.2">
      <c r="A53" s="920" t="s">
        <v>264</v>
      </c>
      <c r="B53" s="916"/>
      <c r="C53" s="916"/>
      <c r="D53" s="917">
        <v>5314812110</v>
      </c>
      <c r="E53" s="918">
        <f>SUM(B53:D53)</f>
        <v>5314812110</v>
      </c>
      <c r="F53" s="922" t="s">
        <v>265</v>
      </c>
      <c r="G53" s="916"/>
      <c r="H53" s="916"/>
      <c r="I53" s="917">
        <v>6105946320</v>
      </c>
      <c r="J53" s="918">
        <f>SUM(G53:I53)</f>
        <v>6105946320</v>
      </c>
    </row>
    <row r="54" spans="1:13" x14ac:dyDescent="0.2">
      <c r="A54" s="944" t="s">
        <v>783</v>
      </c>
      <c r="B54" s="916"/>
      <c r="C54" s="916"/>
      <c r="D54" s="917">
        <v>236536111</v>
      </c>
      <c r="E54" s="918">
        <f>SUM(B54:D54)</f>
        <v>236536111</v>
      </c>
      <c r="F54" s="915" t="s">
        <v>267</v>
      </c>
      <c r="G54" s="916">
        <f>200000+1450470</f>
        <v>1650470</v>
      </c>
      <c r="H54" s="916"/>
      <c r="I54" s="917"/>
      <c r="J54" s="918">
        <f t="shared" ref="J54:J62" si="5">SUM(G54:I54)</f>
        <v>1650470</v>
      </c>
    </row>
    <row r="55" spans="1:13" ht="28.5" x14ac:dyDescent="0.2">
      <c r="A55" s="944" t="s">
        <v>784</v>
      </c>
      <c r="B55" s="916"/>
      <c r="C55" s="961"/>
      <c r="D55" s="962">
        <f>'2.sz.tábla   (2)'!D72</f>
        <v>211000542</v>
      </c>
      <c r="E55" s="918">
        <f>SUM(B55:D55)</f>
        <v>211000542</v>
      </c>
      <c r="F55" s="915" t="s">
        <v>269</v>
      </c>
      <c r="G55" s="916"/>
      <c r="H55" s="916"/>
      <c r="I55" s="917">
        <f>'6.sz.tábla  (3)'!D116+'6.sz.tábla  (3)'!D115</f>
        <v>11159527</v>
      </c>
      <c r="J55" s="918">
        <f t="shared" si="5"/>
        <v>11159527</v>
      </c>
    </row>
    <row r="56" spans="1:13" ht="28.5" x14ac:dyDescent="0.2">
      <c r="A56" s="136" t="s">
        <v>1</v>
      </c>
      <c r="B56" s="916"/>
      <c r="C56" s="916"/>
      <c r="D56" s="917">
        <v>153347696</v>
      </c>
      <c r="E56" s="918">
        <f>SUM(B56:D56)</f>
        <v>153347696</v>
      </c>
      <c r="F56" s="915" t="s">
        <v>785</v>
      </c>
      <c r="G56" s="916"/>
      <c r="H56" s="916"/>
      <c r="I56" s="917"/>
      <c r="J56" s="918">
        <f t="shared" si="5"/>
        <v>0</v>
      </c>
    </row>
    <row r="57" spans="1:13" ht="28.5" x14ac:dyDescent="0.2">
      <c r="A57" s="963"/>
      <c r="B57" s="916"/>
      <c r="C57" s="916"/>
      <c r="D57" s="917"/>
      <c r="E57" s="918"/>
      <c r="F57" s="915" t="s">
        <v>786</v>
      </c>
      <c r="G57" s="916"/>
      <c r="H57" s="916"/>
      <c r="I57" s="917">
        <v>184320819</v>
      </c>
      <c r="J57" s="918">
        <f t="shared" si="5"/>
        <v>184320819</v>
      </c>
    </row>
    <row r="58" spans="1:13" ht="28.5" x14ac:dyDescent="0.2">
      <c r="A58" s="963"/>
      <c r="B58" s="916"/>
      <c r="C58" s="916"/>
      <c r="D58" s="917"/>
      <c r="E58" s="918"/>
      <c r="F58" s="964" t="s">
        <v>787</v>
      </c>
      <c r="G58" s="916"/>
      <c r="H58" s="916"/>
      <c r="I58" s="917">
        <v>1426810688</v>
      </c>
      <c r="J58" s="918">
        <f t="shared" si="5"/>
        <v>1426810688</v>
      </c>
    </row>
    <row r="59" spans="1:13" ht="28.5" x14ac:dyDescent="0.2">
      <c r="A59" s="965"/>
      <c r="B59" s="916"/>
      <c r="C59" s="916"/>
      <c r="D59" s="917"/>
      <c r="E59" s="918"/>
      <c r="F59" s="811" t="s">
        <v>342</v>
      </c>
      <c r="G59" s="916"/>
      <c r="H59" s="916"/>
      <c r="I59" s="917">
        <v>0</v>
      </c>
      <c r="J59" s="918">
        <f t="shared" si="5"/>
        <v>0</v>
      </c>
    </row>
    <row r="60" spans="1:13" ht="28.5" x14ac:dyDescent="0.2">
      <c r="A60" s="965"/>
      <c r="B60" s="916"/>
      <c r="C60" s="916"/>
      <c r="D60" s="917"/>
      <c r="E60" s="918"/>
      <c r="F60" s="811" t="s">
        <v>769</v>
      </c>
      <c r="G60" s="916"/>
      <c r="H60" s="916"/>
      <c r="I60" s="917">
        <f>'7. sz. tábla 1'!D178</f>
        <v>17731099</v>
      </c>
      <c r="J60" s="918">
        <f t="shared" si="5"/>
        <v>17731099</v>
      </c>
    </row>
    <row r="61" spans="1:13" ht="30" x14ac:dyDescent="0.25">
      <c r="A61" s="966" t="s">
        <v>796</v>
      </c>
      <c r="B61" s="930">
        <f>SUM(B53:B59)</f>
        <v>0</v>
      </c>
      <c r="C61" s="930">
        <f>SUM(C53:C59)</f>
        <v>0</v>
      </c>
      <c r="D61" s="931">
        <f>SUM(D53:D59)</f>
        <v>5915696459</v>
      </c>
      <c r="E61" s="933">
        <f>SUM(E53:E59)</f>
        <v>5915696459</v>
      </c>
      <c r="F61" s="899" t="s">
        <v>797</v>
      </c>
      <c r="G61" s="930">
        <f>SUM(G53:G59)</f>
        <v>1650470</v>
      </c>
      <c r="H61" s="930">
        <f>SUM(H53:H59)</f>
        <v>0</v>
      </c>
      <c r="I61" s="931">
        <f>SUM(I53:I60)</f>
        <v>7745968453</v>
      </c>
      <c r="J61" s="933">
        <f>SUM(J53:J60)</f>
        <v>7747618923</v>
      </c>
    </row>
    <row r="62" spans="1:13" x14ac:dyDescent="0.2">
      <c r="A62" s="900" t="s">
        <v>778</v>
      </c>
      <c r="B62" s="916"/>
      <c r="C62" s="916"/>
      <c r="D62" s="917">
        <f>2307867828+47714500</f>
        <v>2355582328</v>
      </c>
      <c r="E62" s="918">
        <f>SUM(B62:D62)</f>
        <v>2355582328</v>
      </c>
      <c r="F62" s="958" t="s">
        <v>779</v>
      </c>
      <c r="G62" s="916"/>
      <c r="H62" s="916"/>
      <c r="I62" s="917">
        <v>0</v>
      </c>
      <c r="J62" s="918">
        <f t="shared" si="5"/>
        <v>0</v>
      </c>
    </row>
    <row r="63" spans="1:13" x14ac:dyDescent="0.2">
      <c r="A63" s="900"/>
      <c r="B63" s="916"/>
      <c r="C63" s="916"/>
      <c r="D63" s="917"/>
      <c r="E63" s="918"/>
      <c r="F63" s="915"/>
      <c r="G63" s="916"/>
      <c r="H63" s="916"/>
      <c r="I63" s="917"/>
      <c r="J63" s="941"/>
    </row>
    <row r="64" spans="1:13" ht="45" x14ac:dyDescent="0.25">
      <c r="A64" s="967" t="s">
        <v>798</v>
      </c>
      <c r="B64" s="930">
        <f>B61+B62</f>
        <v>0</v>
      </c>
      <c r="C64" s="930">
        <f>C61+C62</f>
        <v>0</v>
      </c>
      <c r="D64" s="931">
        <f>D61+D62</f>
        <v>8271278787</v>
      </c>
      <c r="E64" s="933">
        <f>E61+E62</f>
        <v>8271278787</v>
      </c>
      <c r="F64" s="968" t="s">
        <v>799</v>
      </c>
      <c r="G64" s="930">
        <f>G61+G62</f>
        <v>1650470</v>
      </c>
      <c r="H64" s="930">
        <f>H61+H62</f>
        <v>0</v>
      </c>
      <c r="I64" s="931">
        <f>I61+I62</f>
        <v>7745968453</v>
      </c>
      <c r="J64" s="933">
        <f>J61+J62</f>
        <v>7747618923</v>
      </c>
    </row>
    <row r="65" spans="1:10" x14ac:dyDescent="0.2">
      <c r="A65" s="969"/>
      <c r="B65" s="970">
        <f>B64+B51</f>
        <v>84990582</v>
      </c>
      <c r="C65" s="970">
        <f>C64+C51</f>
        <v>0</v>
      </c>
      <c r="D65" s="970">
        <f>D64+D51</f>
        <v>9016332452</v>
      </c>
      <c r="E65" s="970">
        <f>E64+E51</f>
        <v>9101323034</v>
      </c>
      <c r="F65" s="971"/>
      <c r="G65" s="951">
        <f>G64+G51</f>
        <v>110073997</v>
      </c>
      <c r="H65" s="951">
        <f>H64+H51</f>
        <v>11931615</v>
      </c>
      <c r="I65" s="951">
        <f>I64+I51</f>
        <v>8658667777</v>
      </c>
      <c r="J65" s="951">
        <f>J64+J51</f>
        <v>8780673389</v>
      </c>
    </row>
    <row r="66" spans="1:10" x14ac:dyDescent="0.2">
      <c r="A66" s="969"/>
      <c r="B66" s="970"/>
      <c r="C66" s="970"/>
      <c r="D66" s="970"/>
      <c r="E66" s="970"/>
      <c r="F66" s="971"/>
      <c r="G66" s="951"/>
      <c r="H66" s="951"/>
      <c r="I66" s="951"/>
      <c r="J66" s="951"/>
    </row>
    <row r="67" spans="1:10" x14ac:dyDescent="0.2">
      <c r="A67" s="969"/>
      <c r="B67" s="970"/>
      <c r="C67" s="970"/>
      <c r="D67" s="970"/>
      <c r="E67" s="970"/>
      <c r="F67" s="971"/>
      <c r="G67" s="951"/>
      <c r="H67" s="951"/>
      <c r="I67" s="951"/>
      <c r="J67" s="951"/>
    </row>
    <row r="68" spans="1:10" ht="15.75" customHeight="1" x14ac:dyDescent="0.25">
      <c r="A68" s="1725" t="s">
        <v>974</v>
      </c>
      <c r="B68" s="1725"/>
      <c r="C68" s="1725"/>
      <c r="D68" s="1725"/>
      <c r="E68" s="1725"/>
      <c r="F68" s="1725"/>
      <c r="G68" s="1725"/>
    </row>
    <row r="70" spans="1:10" s="894" customFormat="1" ht="25.5" x14ac:dyDescent="0.2">
      <c r="A70" s="952" t="s">
        <v>240</v>
      </c>
      <c r="B70" s="889" t="s">
        <v>388</v>
      </c>
      <c r="C70" s="890" t="s">
        <v>773</v>
      </c>
      <c r="D70" s="891" t="s">
        <v>386</v>
      </c>
      <c r="E70" s="892" t="s">
        <v>768</v>
      </c>
      <c r="F70" s="953" t="s">
        <v>241</v>
      </c>
      <c r="G70" s="889" t="s">
        <v>388</v>
      </c>
      <c r="H70" s="890" t="s">
        <v>773</v>
      </c>
      <c r="I70" s="891" t="s">
        <v>386</v>
      </c>
      <c r="J70" s="892" t="s">
        <v>768</v>
      </c>
    </row>
    <row r="71" spans="1:10" ht="15" x14ac:dyDescent="0.25">
      <c r="A71" s="972" t="s">
        <v>774</v>
      </c>
      <c r="B71" s="896"/>
      <c r="C71" s="896"/>
      <c r="D71" s="897"/>
      <c r="E71" s="898"/>
      <c r="F71" s="973" t="s">
        <v>385</v>
      </c>
      <c r="G71" s="955"/>
      <c r="H71" s="955"/>
      <c r="I71" s="956"/>
      <c r="J71" s="941"/>
    </row>
    <row r="72" spans="1:10" ht="28.5" x14ac:dyDescent="0.2">
      <c r="A72" s="974" t="s">
        <v>775</v>
      </c>
      <c r="B72" s="916"/>
      <c r="C72" s="916">
        <f>(158520651+105750)*0.187+(20923749+30078809+71916)*0.2161+29100953*0.187</f>
        <v>46142209.029399998</v>
      </c>
      <c r="D72" s="917"/>
      <c r="E72" s="918">
        <f>SUM(B72:D72)</f>
        <v>46142209.029399998</v>
      </c>
      <c r="F72" s="922" t="s">
        <v>130</v>
      </c>
      <c r="G72" s="916"/>
      <c r="H72" s="916">
        <v>58960205</v>
      </c>
      <c r="I72" s="917"/>
      <c r="J72" s="918">
        <f t="shared" ref="J72:J78" si="6">SUM(G72:I72)</f>
        <v>58960205</v>
      </c>
    </row>
    <row r="73" spans="1:10" x14ac:dyDescent="0.2">
      <c r="A73" s="963" t="s">
        <v>243</v>
      </c>
      <c r="B73" s="916"/>
      <c r="C73" s="916">
        <v>0</v>
      </c>
      <c r="D73" s="917"/>
      <c r="E73" s="918">
        <f>SUM(B73:D73)</f>
        <v>0</v>
      </c>
      <c r="F73" s="975" t="s">
        <v>122</v>
      </c>
      <c r="G73" s="916"/>
      <c r="H73" s="916">
        <v>11541883</v>
      </c>
      <c r="I73" s="917"/>
      <c r="J73" s="918">
        <f t="shared" si="6"/>
        <v>11541883</v>
      </c>
    </row>
    <row r="74" spans="1:10" x14ac:dyDescent="0.2">
      <c r="A74" s="919" t="s">
        <v>245</v>
      </c>
      <c r="B74" s="916">
        <v>0</v>
      </c>
      <c r="C74" s="916">
        <v>6000000</v>
      </c>
      <c r="D74" s="917"/>
      <c r="E74" s="918">
        <f>SUM(B74:D74)</f>
        <v>6000000</v>
      </c>
      <c r="F74" s="975" t="s">
        <v>248</v>
      </c>
      <c r="G74" s="916"/>
      <c r="H74" s="916">
        <v>15985757</v>
      </c>
      <c r="I74" s="917"/>
      <c r="J74" s="918">
        <f t="shared" si="6"/>
        <v>15985757</v>
      </c>
    </row>
    <row r="75" spans="1:10" ht="28.5" x14ac:dyDescent="0.2">
      <c r="A75" s="920" t="s">
        <v>249</v>
      </c>
      <c r="B75" s="916"/>
      <c r="C75" s="916"/>
      <c r="D75" s="917"/>
      <c r="E75" s="918"/>
      <c r="F75" s="976" t="s">
        <v>149</v>
      </c>
      <c r="G75" s="916"/>
      <c r="H75" s="916"/>
      <c r="I75" s="917"/>
      <c r="J75" s="918">
        <f t="shared" si="6"/>
        <v>0</v>
      </c>
    </row>
    <row r="76" spans="1:10" x14ac:dyDescent="0.2">
      <c r="A76" s="963"/>
      <c r="B76" s="916"/>
      <c r="C76" s="916"/>
      <c r="D76" s="917"/>
      <c r="E76" s="918"/>
      <c r="F76" s="975" t="s">
        <v>128</v>
      </c>
      <c r="G76" s="916"/>
      <c r="H76" s="916"/>
      <c r="I76" s="917"/>
      <c r="J76" s="918">
        <f t="shared" si="6"/>
        <v>0</v>
      </c>
    </row>
    <row r="77" spans="1:10" x14ac:dyDescent="0.2">
      <c r="A77" s="977"/>
      <c r="B77" s="916"/>
      <c r="C77" s="916"/>
      <c r="D77" s="917"/>
      <c r="E77" s="918"/>
      <c r="F77" s="811" t="s">
        <v>323</v>
      </c>
      <c r="G77" s="916"/>
      <c r="H77" s="916"/>
      <c r="I77" s="917"/>
      <c r="J77" s="918">
        <f t="shared" si="6"/>
        <v>0</v>
      </c>
    </row>
    <row r="78" spans="1:10" ht="28.5" x14ac:dyDescent="0.2">
      <c r="A78" s="977"/>
      <c r="B78" s="916"/>
      <c r="C78" s="916"/>
      <c r="D78" s="917"/>
      <c r="E78" s="918"/>
      <c r="F78" s="811" t="s">
        <v>324</v>
      </c>
      <c r="G78" s="916"/>
      <c r="H78" s="916">
        <v>623334</v>
      </c>
      <c r="I78" s="917"/>
      <c r="J78" s="918">
        <f t="shared" si="6"/>
        <v>623334</v>
      </c>
    </row>
    <row r="79" spans="1:10" ht="28.5" x14ac:dyDescent="0.2">
      <c r="A79" s="974"/>
      <c r="B79" s="916"/>
      <c r="C79" s="921"/>
      <c r="D79" s="924"/>
      <c r="E79" s="925"/>
      <c r="F79" s="818" t="s">
        <v>325</v>
      </c>
      <c r="G79" s="916"/>
      <c r="H79" s="916"/>
      <c r="I79" s="917"/>
      <c r="J79" s="941"/>
    </row>
    <row r="80" spans="1:10" ht="28.5" x14ac:dyDescent="0.2">
      <c r="A80" s="920"/>
      <c r="B80" s="916"/>
      <c r="C80" s="916"/>
      <c r="D80" s="917"/>
      <c r="E80" s="918"/>
      <c r="F80" s="811" t="s">
        <v>326</v>
      </c>
      <c r="G80" s="916"/>
      <c r="H80" s="916"/>
      <c r="I80" s="917"/>
      <c r="J80" s="941"/>
    </row>
    <row r="81" spans="1:11" x14ac:dyDescent="0.2">
      <c r="A81" s="978"/>
      <c r="B81" s="916"/>
      <c r="C81" s="916"/>
      <c r="D81" s="917"/>
      <c r="E81" s="918"/>
      <c r="F81" s="819" t="s">
        <v>317</v>
      </c>
      <c r="G81" s="916"/>
      <c r="H81" s="916"/>
      <c r="I81" s="917"/>
      <c r="J81" s="941"/>
    </row>
    <row r="82" spans="1:11" ht="45" x14ac:dyDescent="0.25">
      <c r="A82" s="966" t="s">
        <v>800</v>
      </c>
      <c r="B82" s="930">
        <f>SUM(B72:B81)</f>
        <v>0</v>
      </c>
      <c r="C82" s="930">
        <f>SUM(C72:C81)</f>
        <v>52142209.029399998</v>
      </c>
      <c r="D82" s="931">
        <f>SUM(D72:D81)</f>
        <v>0</v>
      </c>
      <c r="E82" s="933">
        <f>SUM(E72:E81)</f>
        <v>52142209.029399998</v>
      </c>
      <c r="F82" s="973" t="s">
        <v>801</v>
      </c>
      <c r="G82" s="930">
        <f>SUM(G72:G81)</f>
        <v>0</v>
      </c>
      <c r="H82" s="930">
        <f>SUM(H72:H81)</f>
        <v>87111179</v>
      </c>
      <c r="I82" s="931">
        <f>SUM(I72:I81)</f>
        <v>0</v>
      </c>
      <c r="J82" s="933">
        <f>SUM(J72:J81)</f>
        <v>87111179</v>
      </c>
    </row>
    <row r="83" spans="1:11" x14ac:dyDescent="0.2">
      <c r="A83" s="900" t="s">
        <v>778</v>
      </c>
      <c r="B83" s="916"/>
      <c r="C83" s="916">
        <f>('2.sz.tábla   (2)'!H77-'5.tábla (2)'!D37)*0.187+'5.tábla (2)'!D37*0.2161</f>
        <v>5159922.7379999999</v>
      </c>
      <c r="D83" s="917"/>
      <c r="E83" s="918">
        <f>SUM(B83:D83)</f>
        <v>5159922.7379999999</v>
      </c>
      <c r="F83" s="979" t="s">
        <v>779</v>
      </c>
      <c r="G83" s="916"/>
      <c r="H83" s="916"/>
      <c r="I83" s="917"/>
      <c r="J83" s="941"/>
    </row>
    <row r="84" spans="1:11" ht="45" x14ac:dyDescent="0.25">
      <c r="A84" s="966" t="s">
        <v>802</v>
      </c>
      <c r="B84" s="930">
        <f>B82+B83</f>
        <v>0</v>
      </c>
      <c r="C84" s="930">
        <f>C82+C83</f>
        <v>57302131.767399997</v>
      </c>
      <c r="D84" s="931">
        <f>D82+D83</f>
        <v>0</v>
      </c>
      <c r="E84" s="933">
        <f>E82+E83</f>
        <v>57302131.767399997</v>
      </c>
      <c r="F84" s="973" t="s">
        <v>803</v>
      </c>
      <c r="G84" s="930">
        <f>G82+G83</f>
        <v>0</v>
      </c>
      <c r="H84" s="930">
        <f>H82+H83</f>
        <v>87111179</v>
      </c>
      <c r="I84" s="931">
        <f>I82+I83</f>
        <v>0</v>
      </c>
      <c r="J84" s="933">
        <f>J82+J83</f>
        <v>87111179</v>
      </c>
    </row>
    <row r="85" spans="1:11" ht="15" x14ac:dyDescent="0.25">
      <c r="A85" s="929" t="s">
        <v>782</v>
      </c>
      <c r="B85" s="938"/>
      <c r="C85" s="938"/>
      <c r="D85" s="938"/>
      <c r="E85" s="940"/>
      <c r="F85" s="959" t="s">
        <v>389</v>
      </c>
      <c r="G85" s="960"/>
      <c r="H85" s="960"/>
      <c r="I85" s="960"/>
      <c r="J85" s="941"/>
    </row>
    <row r="86" spans="1:11" ht="29.25" x14ac:dyDescent="0.25">
      <c r="A86" s="920" t="s">
        <v>264</v>
      </c>
      <c r="B86" s="930"/>
      <c r="C86" s="930"/>
      <c r="D86" s="931"/>
      <c r="E86" s="933"/>
      <c r="F86" s="922" t="s">
        <v>265</v>
      </c>
      <c r="G86" s="916"/>
      <c r="H86" s="916"/>
      <c r="I86" s="917"/>
      <c r="J86" s="918">
        <f t="shared" ref="J86:J91" si="7">SUM(G86:I86)</f>
        <v>0</v>
      </c>
    </row>
    <row r="87" spans="1:11" x14ac:dyDescent="0.2">
      <c r="A87" s="944" t="s">
        <v>783</v>
      </c>
      <c r="B87" s="916"/>
      <c r="C87" s="916"/>
      <c r="D87" s="917"/>
      <c r="E87" s="918"/>
      <c r="F87" s="915" t="s">
        <v>267</v>
      </c>
      <c r="G87" s="916"/>
      <c r="H87" s="916">
        <v>3932216</v>
      </c>
      <c r="I87" s="917"/>
      <c r="J87" s="918">
        <f t="shared" si="7"/>
        <v>3932216</v>
      </c>
    </row>
    <row r="88" spans="1:11" ht="29.25" x14ac:dyDescent="0.25">
      <c r="A88" s="944" t="s">
        <v>784</v>
      </c>
      <c r="B88" s="980"/>
      <c r="C88" s="980"/>
      <c r="D88" s="981"/>
      <c r="E88" s="982"/>
      <c r="F88" s="915" t="s">
        <v>269</v>
      </c>
      <c r="G88" s="916"/>
      <c r="H88" s="916"/>
      <c r="I88" s="917"/>
      <c r="J88" s="918">
        <f t="shared" si="7"/>
        <v>0</v>
      </c>
    </row>
    <row r="89" spans="1:11" x14ac:dyDescent="0.2">
      <c r="A89" s="913"/>
      <c r="B89" s="916"/>
      <c r="C89" s="916"/>
      <c r="D89" s="917"/>
      <c r="E89" s="918"/>
      <c r="F89" s="915" t="s">
        <v>785</v>
      </c>
      <c r="G89" s="916"/>
      <c r="H89" s="916"/>
      <c r="I89" s="917"/>
      <c r="J89" s="918">
        <f t="shared" si="7"/>
        <v>0</v>
      </c>
    </row>
    <row r="90" spans="1:11" ht="30" x14ac:dyDescent="0.25">
      <c r="A90" s="966" t="s">
        <v>796</v>
      </c>
      <c r="B90" s="930">
        <f>SUM(B86:B88)</f>
        <v>0</v>
      </c>
      <c r="C90" s="930">
        <f>SUM(C86:C88)</f>
        <v>0</v>
      </c>
      <c r="D90" s="931">
        <f>SUM(D86:D88)</f>
        <v>0</v>
      </c>
      <c r="E90" s="933">
        <f>SUM(E86:E88)</f>
        <v>0</v>
      </c>
      <c r="F90" s="915" t="s">
        <v>786</v>
      </c>
      <c r="G90" s="916"/>
      <c r="H90" s="916"/>
      <c r="I90" s="917"/>
      <c r="J90" s="918">
        <f t="shared" si="7"/>
        <v>0</v>
      </c>
    </row>
    <row r="91" spans="1:11" ht="28.5" x14ac:dyDescent="0.2">
      <c r="A91" s="900" t="s">
        <v>778</v>
      </c>
      <c r="B91" s="916"/>
      <c r="C91" s="916">
        <f>'2.sz.tábla   (2)'!H78*0.187</f>
        <v>1576015.6170000001</v>
      </c>
      <c r="D91" s="917"/>
      <c r="E91" s="918">
        <f>SUM(B91:D91)</f>
        <v>1576015.6170000001</v>
      </c>
      <c r="F91" s="964" t="s">
        <v>787</v>
      </c>
      <c r="G91" s="916"/>
      <c r="H91" s="916"/>
      <c r="I91" s="917"/>
      <c r="J91" s="918">
        <f t="shared" si="7"/>
        <v>0</v>
      </c>
    </row>
    <row r="92" spans="1:11" ht="28.5" x14ac:dyDescent="0.2">
      <c r="A92" s="946"/>
      <c r="B92" s="916"/>
      <c r="C92" s="916"/>
      <c r="D92" s="917"/>
      <c r="E92" s="918"/>
      <c r="F92" s="811" t="s">
        <v>273</v>
      </c>
      <c r="G92" s="916"/>
      <c r="H92" s="916"/>
      <c r="I92" s="917"/>
      <c r="J92" s="941"/>
    </row>
    <row r="93" spans="1:11" ht="45" x14ac:dyDescent="0.25">
      <c r="A93" s="937" t="s">
        <v>804</v>
      </c>
      <c r="B93" s="930">
        <f>SUM(B86:B92)</f>
        <v>0</v>
      </c>
      <c r="C93" s="931">
        <f>SUM(C86:C92)</f>
        <v>1576015.6170000001</v>
      </c>
      <c r="D93" s="931">
        <f>SUM(D86:D92)</f>
        <v>0</v>
      </c>
      <c r="E93" s="933">
        <f>SUM(E86:E92)</f>
        <v>1576015.6170000001</v>
      </c>
      <c r="F93" s="968" t="s">
        <v>805</v>
      </c>
      <c r="G93" s="930">
        <f>SUM(G86:G92)</f>
        <v>0</v>
      </c>
      <c r="H93" s="931">
        <f>SUM(H86:H92)</f>
        <v>3932216</v>
      </c>
      <c r="I93" s="931">
        <f>SUM(I86:I92)</f>
        <v>0</v>
      </c>
      <c r="J93" s="933">
        <f>SUM(J86:J92)</f>
        <v>3932216</v>
      </c>
    </row>
    <row r="94" spans="1:11" x14ac:dyDescent="0.2">
      <c r="B94" s="943">
        <f>B93+B84+B64+B51+B33+B21</f>
        <v>325206196.07478428</v>
      </c>
      <c r="C94" s="943">
        <f>C93+C84+C64+C51+C33+C21</f>
        <v>309502502</v>
      </c>
      <c r="D94" s="943">
        <f>D93+D84+D64+D51+D33+D21</f>
        <v>15783754644.925217</v>
      </c>
      <c r="E94" s="943">
        <f>E93+E84+E64+E51+E33+E21</f>
        <v>16418463343</v>
      </c>
      <c r="G94" s="951">
        <f>G93+G84+G64+G51+G33+G21</f>
        <v>435325095</v>
      </c>
      <c r="H94" s="951">
        <f>H93+H84+H64+H51+H33+H21</f>
        <v>491735233</v>
      </c>
      <c r="I94" s="951">
        <f>I93+I84+I64+I51+I33+I21</f>
        <v>15491403015</v>
      </c>
      <c r="J94" s="951">
        <f>SUM(G94:I94)</f>
        <v>16418463343</v>
      </c>
      <c r="K94" s="943">
        <f>J93+J84+J64+J51+J33+J21</f>
        <v>16418463343</v>
      </c>
    </row>
    <row r="95" spans="1:11" x14ac:dyDescent="0.2">
      <c r="A95" s="954" t="s">
        <v>806</v>
      </c>
      <c r="B95" s="943">
        <f>B94-G94</f>
        <v>-110118898.92521572</v>
      </c>
      <c r="C95" s="943">
        <f>C94-H94</f>
        <v>-182232731</v>
      </c>
      <c r="D95" s="943">
        <f>D94-I94</f>
        <v>292351629.92521667</v>
      </c>
      <c r="E95" s="943">
        <f>J94-E94</f>
        <v>0</v>
      </c>
      <c r="J95" s="951">
        <f>E96-J94</f>
        <v>0</v>
      </c>
    </row>
    <row r="96" spans="1:11" x14ac:dyDescent="0.2">
      <c r="C96" s="943">
        <f>SUM(B95:C95)</f>
        <v>-292351629.92521572</v>
      </c>
      <c r="E96" s="943">
        <f>'8a. sz. tábla  (4)'!D64</f>
        <v>16418463343</v>
      </c>
      <c r="H96" s="951"/>
    </row>
    <row r="97" spans="3:10" x14ac:dyDescent="0.2">
      <c r="E97" s="943"/>
      <c r="H97" s="951">
        <f>H84+H93</f>
        <v>91043395</v>
      </c>
      <c r="J97" s="951"/>
    </row>
    <row r="98" spans="3:10" x14ac:dyDescent="0.2">
      <c r="E98" s="943"/>
      <c r="J98" s="951"/>
    </row>
    <row r="100" spans="3:10" x14ac:dyDescent="0.2">
      <c r="C100" s="943"/>
      <c r="H100" s="951"/>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 6/2021. (III.05.) önkormányzati rendelethez
 az önkormányzat 2020. évi költségvetéséről szóló 6/2020. (III.06.) önkormányzati rendelet 
9. mellékletének helyébe a következő 9. melléklet lép: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2"/>
  <sheetViews>
    <sheetView view="pageLayout" zoomScaleNormal="100" workbookViewId="0">
      <selection activeCell="B460" sqref="B460"/>
    </sheetView>
  </sheetViews>
  <sheetFormatPr defaultRowHeight="12.75" x14ac:dyDescent="0.2"/>
  <cols>
    <col min="1" max="1" width="17.5703125" style="1039" customWidth="1"/>
    <col min="2" max="2" width="13.42578125" style="985" customWidth="1"/>
    <col min="3" max="3" width="14.140625" style="985" customWidth="1"/>
    <col min="4" max="4" width="13.42578125" style="985" customWidth="1"/>
    <col min="5" max="5" width="14.140625" style="985" customWidth="1"/>
    <col min="6" max="6" width="13.7109375" customWidth="1"/>
    <col min="7" max="7" width="12.7109375" bestFit="1" customWidth="1"/>
    <col min="8" max="8" width="10.140625" bestFit="1" customWidth="1"/>
  </cols>
  <sheetData>
    <row r="1" spans="1:8" x14ac:dyDescent="0.2">
      <c r="A1" s="1729" t="s">
        <v>938</v>
      </c>
      <c r="B1" s="1729"/>
      <c r="C1" s="1729"/>
      <c r="D1" s="1729"/>
      <c r="E1" s="1729"/>
    </row>
    <row r="2" spans="1:8" ht="22.5" customHeight="1" x14ac:dyDescent="0.2">
      <c r="A2" s="1729"/>
      <c r="B2" s="1729"/>
      <c r="C2" s="1729"/>
      <c r="D2" s="1729"/>
      <c r="E2" s="1729"/>
    </row>
    <row r="3" spans="1:8" ht="15" x14ac:dyDescent="0.25">
      <c r="A3" s="1041"/>
      <c r="B3" s="1042"/>
      <c r="C3" s="1042"/>
      <c r="D3" s="1042"/>
      <c r="E3" s="1042"/>
    </row>
    <row r="4" spans="1:8" x14ac:dyDescent="0.2">
      <c r="A4" s="1041"/>
      <c r="B4" s="1043" t="s">
        <v>855</v>
      </c>
      <c r="C4" s="1044"/>
      <c r="D4" s="1045"/>
    </row>
    <row r="5" spans="1:8" ht="25.5" x14ac:dyDescent="0.2">
      <c r="A5" s="1046" t="s">
        <v>856</v>
      </c>
      <c r="B5" s="1730" t="s">
        <v>857</v>
      </c>
      <c r="C5" s="1730"/>
      <c r="D5" s="1730"/>
    </row>
    <row r="6" spans="1:8" x14ac:dyDescent="0.2">
      <c r="A6" s="1047"/>
      <c r="B6" s="1048"/>
      <c r="C6" s="1049"/>
      <c r="D6" s="1050"/>
    </row>
    <row r="7" spans="1:8" x14ac:dyDescent="0.2">
      <c r="A7" s="1047"/>
      <c r="B7" s="1048"/>
      <c r="C7" s="1051"/>
      <c r="D7" s="1052"/>
    </row>
    <row r="8" spans="1:8" x14ac:dyDescent="0.2">
      <c r="A8" s="1053" t="s">
        <v>858</v>
      </c>
      <c r="B8" s="1054" t="s">
        <v>859</v>
      </c>
      <c r="C8" s="1055" t="s">
        <v>860</v>
      </c>
      <c r="D8" s="1056" t="s">
        <v>861</v>
      </c>
      <c r="E8" s="1057" t="s">
        <v>83</v>
      </c>
    </row>
    <row r="9" spans="1:8" x14ac:dyDescent="0.2">
      <c r="A9" s="1058" t="s">
        <v>862</v>
      </c>
      <c r="B9" s="1059">
        <v>126048529</v>
      </c>
      <c r="C9" s="1060">
        <v>27728400</v>
      </c>
      <c r="D9" s="1063">
        <v>161911871</v>
      </c>
      <c r="E9" s="1062">
        <f>SUM(B9:D9)</f>
        <v>315688800</v>
      </c>
    </row>
    <row r="10" spans="1:8" x14ac:dyDescent="0.2">
      <c r="A10" s="1058" t="s">
        <v>863</v>
      </c>
      <c r="B10" s="1059"/>
      <c r="C10" s="1060"/>
      <c r="D10" s="1063"/>
      <c r="E10" s="1062">
        <f t="shared" ref="E10:E12" si="0">SUM(B10:D10)</f>
        <v>0</v>
      </c>
    </row>
    <row r="11" spans="1:8" x14ac:dyDescent="0.2">
      <c r="A11" s="1058" t="s">
        <v>864</v>
      </c>
      <c r="B11" s="1059"/>
      <c r="C11" s="1060"/>
      <c r="D11" s="1063"/>
      <c r="E11" s="1062">
        <f t="shared" si="0"/>
        <v>0</v>
      </c>
    </row>
    <row r="12" spans="1:8" s="1158" customFormat="1" x14ac:dyDescent="0.2">
      <c r="A12" s="1064" t="s">
        <v>83</v>
      </c>
      <c r="B12" s="1065">
        <f>SUM(B9:B11)</f>
        <v>126048529</v>
      </c>
      <c r="C12" s="1065">
        <f>SUM(C9:C11)</f>
        <v>27728400</v>
      </c>
      <c r="D12" s="1066">
        <f>SUM(D9:D11)</f>
        <v>161911871</v>
      </c>
      <c r="E12" s="1157">
        <f t="shared" si="0"/>
        <v>315688800</v>
      </c>
    </row>
    <row r="13" spans="1:8" x14ac:dyDescent="0.2">
      <c r="A13" s="1068"/>
      <c r="B13" s="1069"/>
      <c r="C13" s="1070"/>
      <c r="D13" s="1071"/>
      <c r="E13" s="1072"/>
    </row>
    <row r="14" spans="1:8" ht="38.25" x14ac:dyDescent="0.2">
      <c r="A14" s="1053" t="s">
        <v>865</v>
      </c>
      <c r="B14" s="1073" t="s">
        <v>866</v>
      </c>
      <c r="C14" s="1074" t="s">
        <v>931</v>
      </c>
      <c r="D14" s="1057" t="s">
        <v>861</v>
      </c>
      <c r="E14" s="1075" t="s">
        <v>83</v>
      </c>
    </row>
    <row r="15" spans="1:8" ht="25.5" customHeight="1" x14ac:dyDescent="0.2">
      <c r="A15" s="1058" t="s">
        <v>867</v>
      </c>
      <c r="B15" s="1059">
        <v>18584629</v>
      </c>
      <c r="C15" s="1076">
        <v>39903534</v>
      </c>
      <c r="D15" s="1077">
        <f>'5.tábla (2)'!D57+'5.tábla (2)'!D15</f>
        <v>41982513</v>
      </c>
      <c r="E15" s="1062">
        <f>SUM(B15:D15)</f>
        <v>100470676</v>
      </c>
      <c r="F15" s="638">
        <f>'5.tábla (2)'!D57+'5.tábla (2)'!D15</f>
        <v>41982513</v>
      </c>
    </row>
    <row r="16" spans="1:8" ht="25.5" x14ac:dyDescent="0.2">
      <c r="A16" s="1058" t="s">
        <v>868</v>
      </c>
      <c r="B16" s="1059">
        <v>3199963</v>
      </c>
      <c r="C16" s="1076">
        <v>5310895</v>
      </c>
      <c r="D16" s="1077">
        <f>'5.tábla (2)'!D25+'5.tábla (2)'!D70</f>
        <v>10399266</v>
      </c>
      <c r="E16" s="1062">
        <f t="shared" ref="E16:E21" si="1">SUM(B16:D16)</f>
        <v>18910124</v>
      </c>
      <c r="F16" s="638">
        <f>'5.tábla (2)'!D25+'5.tábla (2)'!D70</f>
        <v>10399266</v>
      </c>
      <c r="G16" s="638"/>
      <c r="H16" s="638"/>
    </row>
    <row r="17" spans="1:6" x14ac:dyDescent="0.2">
      <c r="A17" s="1058" t="s">
        <v>869</v>
      </c>
      <c r="B17" s="1059">
        <v>32552321</v>
      </c>
      <c r="C17" s="1076">
        <v>41321509</v>
      </c>
      <c r="D17" s="1077">
        <v>103134170</v>
      </c>
      <c r="E17" s="1062">
        <f t="shared" si="1"/>
        <v>177008000</v>
      </c>
      <c r="F17" s="638">
        <f>'5.tábla (2)'!D102</f>
        <v>103134170</v>
      </c>
    </row>
    <row r="18" spans="1:6" x14ac:dyDescent="0.2">
      <c r="A18" s="1058" t="s">
        <v>870</v>
      </c>
      <c r="B18" s="1059"/>
      <c r="C18" s="1076"/>
      <c r="D18" s="1077"/>
      <c r="E18" s="1062">
        <f t="shared" si="1"/>
        <v>0</v>
      </c>
    </row>
    <row r="19" spans="1:6" x14ac:dyDescent="0.2">
      <c r="A19" s="1058" t="s">
        <v>871</v>
      </c>
      <c r="B19" s="1059">
        <v>114173</v>
      </c>
      <c r="C19" s="1076">
        <v>8662831</v>
      </c>
      <c r="D19" s="1077">
        <v>10522996</v>
      </c>
      <c r="E19" s="1062">
        <f t="shared" si="1"/>
        <v>19300000</v>
      </c>
      <c r="F19" s="638">
        <f>'7. sz. tábla 1'!D47</f>
        <v>10522996</v>
      </c>
    </row>
    <row r="20" spans="1:6" ht="25.5" x14ac:dyDescent="0.2">
      <c r="A20" s="1058" t="s">
        <v>872</v>
      </c>
      <c r="B20" s="1059"/>
      <c r="C20" s="1076"/>
      <c r="D20" s="1077"/>
      <c r="E20" s="1062">
        <f t="shared" si="1"/>
        <v>0</v>
      </c>
    </row>
    <row r="21" spans="1:6" s="1158" customFormat="1" x14ac:dyDescent="0.2">
      <c r="A21" s="1064" t="s">
        <v>83</v>
      </c>
      <c r="B21" s="1065">
        <f>SUM(B15:B20)</f>
        <v>54451086</v>
      </c>
      <c r="C21" s="1066">
        <f>SUM(C15:C20)</f>
        <v>95198769</v>
      </c>
      <c r="D21" s="1078">
        <f>SUM(D15:D20)</f>
        <v>166038945</v>
      </c>
      <c r="E21" s="1157">
        <f t="shared" si="1"/>
        <v>315688800</v>
      </c>
    </row>
    <row r="22" spans="1:6" x14ac:dyDescent="0.2">
      <c r="A22" s="1047"/>
      <c r="B22" s="1079"/>
      <c r="C22" s="1044"/>
      <c r="D22" s="1045"/>
    </row>
    <row r="24" spans="1:6" x14ac:dyDescent="0.2">
      <c r="A24" s="1041"/>
      <c r="B24" s="1043" t="s">
        <v>873</v>
      </c>
      <c r="C24" s="1044"/>
      <c r="D24" s="1045"/>
    </row>
    <row r="25" spans="1:6" ht="25.5" x14ac:dyDescent="0.2">
      <c r="A25" s="1046" t="s">
        <v>856</v>
      </c>
      <c r="B25" s="1727" t="s">
        <v>874</v>
      </c>
      <c r="C25" s="1727"/>
      <c r="D25" s="1727"/>
    </row>
    <row r="26" spans="1:6" x14ac:dyDescent="0.2">
      <c r="A26" s="1047"/>
      <c r="B26" s="1048"/>
      <c r="C26" s="1049"/>
      <c r="D26" s="1050"/>
    </row>
    <row r="27" spans="1:6" x14ac:dyDescent="0.2">
      <c r="A27" s="1047"/>
      <c r="B27" s="1048"/>
      <c r="C27" s="1051"/>
      <c r="D27" s="1052"/>
    </row>
    <row r="28" spans="1:6" x14ac:dyDescent="0.2">
      <c r="A28" s="1053" t="s">
        <v>858</v>
      </c>
      <c r="B28" s="1054" t="s">
        <v>859</v>
      </c>
      <c r="C28" s="1055" t="s">
        <v>860</v>
      </c>
      <c r="D28" s="1056" t="s">
        <v>861</v>
      </c>
      <c r="E28" s="1057" t="s">
        <v>83</v>
      </c>
    </row>
    <row r="29" spans="1:6" x14ac:dyDescent="0.2">
      <c r="A29" s="1058" t="s">
        <v>862</v>
      </c>
      <c r="B29" s="1059"/>
      <c r="C29" s="1060">
        <v>0</v>
      </c>
      <c r="D29" s="1061">
        <f>618050000+12479000</f>
        <v>630529000</v>
      </c>
      <c r="E29" s="1062">
        <f>SUM(B29:D29)</f>
        <v>630529000</v>
      </c>
    </row>
    <row r="30" spans="1:6" x14ac:dyDescent="0.2">
      <c r="A30" s="1058" t="s">
        <v>863</v>
      </c>
      <c r="B30" s="1059"/>
      <c r="C30" s="1060"/>
      <c r="D30" s="1063"/>
      <c r="E30" s="1062">
        <f t="shared" ref="E30:E32" si="2">SUM(B30:D30)</f>
        <v>0</v>
      </c>
    </row>
    <row r="31" spans="1:6" x14ac:dyDescent="0.2">
      <c r="A31" s="1058" t="s">
        <v>864</v>
      </c>
      <c r="B31" s="1059"/>
      <c r="C31" s="1060"/>
      <c r="D31" s="1063"/>
      <c r="E31" s="1062">
        <f t="shared" si="2"/>
        <v>0</v>
      </c>
    </row>
    <row r="32" spans="1:6" ht="25.5" x14ac:dyDescent="0.2">
      <c r="A32" s="1080" t="s">
        <v>875</v>
      </c>
      <c r="B32" s="1059"/>
      <c r="C32" s="1060">
        <v>0</v>
      </c>
      <c r="D32" s="1063">
        <f>D39+D42</f>
        <v>12910609</v>
      </c>
      <c r="E32" s="1062">
        <f t="shared" si="2"/>
        <v>12910609</v>
      </c>
    </row>
    <row r="33" spans="1:7" x14ac:dyDescent="0.2">
      <c r="A33" s="1064" t="s">
        <v>83</v>
      </c>
      <c r="B33" s="1065">
        <f>SUM(B29:B31)</f>
        <v>0</v>
      </c>
      <c r="C33" s="1065">
        <v>0</v>
      </c>
      <c r="D33" s="1065">
        <f>SUM(D29:D32)</f>
        <v>643439609</v>
      </c>
      <c r="E33" s="1065">
        <f>SUM(E29:E32)</f>
        <v>643439609</v>
      </c>
    </row>
    <row r="34" spans="1:7" x14ac:dyDescent="0.2">
      <c r="A34" s="1068"/>
      <c r="B34" s="1069"/>
      <c r="C34" s="1070"/>
      <c r="D34" s="1071"/>
      <c r="E34" s="1072"/>
    </row>
    <row r="35" spans="1:7" ht="38.25" x14ac:dyDescent="0.2">
      <c r="A35" s="1053" t="s">
        <v>865</v>
      </c>
      <c r="B35" s="1073" t="s">
        <v>866</v>
      </c>
      <c r="C35" s="1074" t="s">
        <v>931</v>
      </c>
      <c r="D35" s="1057" t="s">
        <v>861</v>
      </c>
      <c r="E35" s="1075" t="s">
        <v>83</v>
      </c>
    </row>
    <row r="36" spans="1:7" x14ac:dyDescent="0.2">
      <c r="A36" s="1080" t="s">
        <v>876</v>
      </c>
      <c r="B36" s="1059"/>
      <c r="C36" s="1076"/>
      <c r="D36" s="1077">
        <f>'5.tábla (2)'!D61</f>
        <v>6100000</v>
      </c>
      <c r="E36" s="1062">
        <f t="shared" ref="E36:E37" si="3">B36+C36</f>
        <v>0</v>
      </c>
      <c r="F36" s="638">
        <f>'5.tábla (2)'!D61</f>
        <v>6100000</v>
      </c>
    </row>
    <row r="37" spans="1:7" ht="25.5" x14ac:dyDescent="0.2">
      <c r="A37" s="1058" t="s">
        <v>868</v>
      </c>
      <c r="B37" s="1059"/>
      <c r="C37" s="1076"/>
      <c r="D37" s="1077">
        <f>'5.tábla (2)'!D74</f>
        <v>861930</v>
      </c>
      <c r="E37" s="1062">
        <f t="shared" si="3"/>
        <v>0</v>
      </c>
      <c r="F37" s="638">
        <f>'5.tábla (2)'!D74</f>
        <v>861930</v>
      </c>
    </row>
    <row r="38" spans="1:7" x14ac:dyDescent="0.2">
      <c r="A38" s="1058" t="s">
        <v>869</v>
      </c>
      <c r="B38" s="1059"/>
      <c r="C38" s="1076">
        <v>0</v>
      </c>
      <c r="D38" s="1077">
        <f>21800000-D36-D37</f>
        <v>14838070</v>
      </c>
      <c r="E38" s="1062">
        <f>SUM(B38:D38)</f>
        <v>14838070</v>
      </c>
      <c r="F38" s="638">
        <f>'5.tábla (2)'!D103</f>
        <v>18844349</v>
      </c>
    </row>
    <row r="39" spans="1:7" ht="25.5" x14ac:dyDescent="0.2">
      <c r="A39" s="1080" t="s">
        <v>875</v>
      </c>
      <c r="B39" s="1059"/>
      <c r="C39" s="1076"/>
      <c r="D39" s="1077">
        <f>5886000-1879721</f>
        <v>4006279</v>
      </c>
      <c r="E39" s="1062">
        <f>SUM(B39:D39)</f>
        <v>4006279</v>
      </c>
      <c r="F39" s="638">
        <f>SUM(D38:D39)</f>
        <v>18844349</v>
      </c>
      <c r="G39" s="638"/>
    </row>
    <row r="40" spans="1:7" x14ac:dyDescent="0.2">
      <c r="A40" s="1058" t="s">
        <v>870</v>
      </c>
      <c r="B40" s="1059"/>
      <c r="C40" s="1076"/>
      <c r="D40" s="1077"/>
      <c r="E40" s="1062">
        <f t="shared" ref="E40:E42" si="4">SUM(B40:D40)</f>
        <v>0</v>
      </c>
    </row>
    <row r="41" spans="1:7" x14ac:dyDescent="0.2">
      <c r="A41" s="1058" t="s">
        <v>871</v>
      </c>
      <c r="B41" s="1059"/>
      <c r="C41" s="1076">
        <v>0</v>
      </c>
      <c r="D41" s="1077">
        <f>596250000+12479000</f>
        <v>608729000</v>
      </c>
      <c r="E41" s="1062">
        <f t="shared" si="4"/>
        <v>608729000</v>
      </c>
      <c r="F41" s="638">
        <f>'7. sz. tábla 1'!D125</f>
        <v>617633330</v>
      </c>
    </row>
    <row r="42" spans="1:7" ht="25.5" x14ac:dyDescent="0.2">
      <c r="A42" s="1080" t="s">
        <v>875</v>
      </c>
      <c r="B42" s="1059"/>
      <c r="C42" s="1076">
        <v>0</v>
      </c>
      <c r="D42" s="1077">
        <f>5535000+3369330</f>
        <v>8904330</v>
      </c>
      <c r="E42" s="1062">
        <f t="shared" si="4"/>
        <v>8904330</v>
      </c>
      <c r="F42" s="638">
        <f>SUM(D41:D42)</f>
        <v>617633330</v>
      </c>
    </row>
    <row r="43" spans="1:7" s="1158" customFormat="1" x14ac:dyDescent="0.2">
      <c r="A43" s="1064" t="s">
        <v>83</v>
      </c>
      <c r="B43" s="1065">
        <f>SUM(B36:B42)</f>
        <v>0</v>
      </c>
      <c r="C43" s="1066">
        <f>SUM(C36:C42)</f>
        <v>0</v>
      </c>
      <c r="D43" s="1078">
        <f>SUM(D36:D42)</f>
        <v>643439609</v>
      </c>
      <c r="E43" s="1157">
        <f>SUM(B43:D43)</f>
        <v>643439609</v>
      </c>
      <c r="F43" s="1529">
        <f>E33-E43</f>
        <v>0</v>
      </c>
    </row>
    <row r="44" spans="1:7" x14ac:dyDescent="0.2">
      <c r="A44" s="1081"/>
      <c r="B44" s="1045"/>
      <c r="C44" s="1082"/>
      <c r="D44" s="1082"/>
    </row>
    <row r="46" spans="1:7" ht="18.75" customHeight="1" x14ac:dyDescent="0.2">
      <c r="A46" s="1041"/>
      <c r="B46" s="1043"/>
      <c r="C46" s="1044"/>
      <c r="D46" s="1045"/>
    </row>
    <row r="47" spans="1:7" ht="18.75" customHeight="1" x14ac:dyDescent="0.2">
      <c r="A47" s="1041"/>
      <c r="B47" s="1043" t="s">
        <v>877</v>
      </c>
      <c r="C47" s="1044"/>
      <c r="D47" s="1045"/>
    </row>
    <row r="48" spans="1:7" ht="25.5" x14ac:dyDescent="0.2">
      <c r="A48" s="1046" t="s">
        <v>856</v>
      </c>
      <c r="B48" s="1727" t="s">
        <v>878</v>
      </c>
      <c r="C48" s="1727"/>
      <c r="D48" s="1727"/>
    </row>
    <row r="49" spans="1:6" x14ac:dyDescent="0.2">
      <c r="A49" s="1047"/>
      <c r="B49" s="1048"/>
      <c r="C49" s="1049"/>
      <c r="D49" s="1050"/>
    </row>
    <row r="50" spans="1:6" x14ac:dyDescent="0.2">
      <c r="A50" s="1047"/>
      <c r="B50" s="1048"/>
      <c r="C50" s="1051"/>
      <c r="D50" s="1052"/>
    </row>
    <row r="51" spans="1:6" x14ac:dyDescent="0.2">
      <c r="A51" s="1053" t="s">
        <v>858</v>
      </c>
      <c r="B51" s="1054" t="s">
        <v>859</v>
      </c>
      <c r="C51" s="1055" t="s">
        <v>860</v>
      </c>
      <c r="D51" s="1056" t="s">
        <v>861</v>
      </c>
      <c r="E51" s="1057" t="s">
        <v>83</v>
      </c>
    </row>
    <row r="52" spans="1:6" x14ac:dyDescent="0.2">
      <c r="A52" s="1058" t="s">
        <v>862</v>
      </c>
      <c r="B52" s="1059">
        <v>16476045</v>
      </c>
      <c r="C52" s="1060">
        <v>0</v>
      </c>
      <c r="D52" s="1061">
        <v>23323900</v>
      </c>
      <c r="E52" s="1062">
        <f>SUM(B52:D52)</f>
        <v>39799945</v>
      </c>
    </row>
    <row r="53" spans="1:6" x14ac:dyDescent="0.2">
      <c r="A53" s="1058" t="s">
        <v>863</v>
      </c>
      <c r="B53" s="1059"/>
      <c r="C53" s="1060"/>
      <c r="D53" s="1063"/>
      <c r="E53" s="1062">
        <f t="shared" ref="E53:E55" si="5">SUM(B53:D53)</f>
        <v>0</v>
      </c>
    </row>
    <row r="54" spans="1:6" x14ac:dyDescent="0.2">
      <c r="A54" s="1058" t="s">
        <v>864</v>
      </c>
      <c r="B54" s="1059"/>
      <c r="C54" s="1060">
        <f>B64+C64-B52</f>
        <v>128513408</v>
      </c>
      <c r="D54" s="1063">
        <f>E64-E52-C54</f>
        <v>20314340</v>
      </c>
      <c r="E54" s="1062">
        <f t="shared" si="5"/>
        <v>148827748</v>
      </c>
    </row>
    <row r="55" spans="1:6" s="1158" customFormat="1" x14ac:dyDescent="0.2">
      <c r="A55" s="1064" t="s">
        <v>83</v>
      </c>
      <c r="B55" s="1065">
        <f>SUM(B52:B54)</f>
        <v>16476045</v>
      </c>
      <c r="C55" s="1065">
        <f>SUM(C52:C54)</f>
        <v>128513408</v>
      </c>
      <c r="D55" s="1066">
        <f>SUM(D52:D54)</f>
        <v>43638240</v>
      </c>
      <c r="E55" s="1157">
        <f t="shared" si="5"/>
        <v>188627693</v>
      </c>
    </row>
    <row r="56" spans="1:6" x14ac:dyDescent="0.2">
      <c r="A56" s="1068"/>
      <c r="B56" s="1069"/>
      <c r="C56" s="1070"/>
      <c r="D56" s="1071"/>
      <c r="E56" s="1072"/>
    </row>
    <row r="57" spans="1:6" ht="38.25" x14ac:dyDescent="0.2">
      <c r="A57" s="1053" t="s">
        <v>865</v>
      </c>
      <c r="B57" s="1073" t="s">
        <v>866</v>
      </c>
      <c r="C57" s="1074" t="s">
        <v>931</v>
      </c>
      <c r="D57" s="1057" t="s">
        <v>861</v>
      </c>
      <c r="E57" s="1075" t="s">
        <v>83</v>
      </c>
    </row>
    <row r="58" spans="1:6" x14ac:dyDescent="0.2">
      <c r="A58" s="1080" t="s">
        <v>876</v>
      </c>
      <c r="B58" s="1059">
        <v>1027780</v>
      </c>
      <c r="C58" s="1076">
        <v>822780</v>
      </c>
      <c r="D58" s="1077">
        <v>762000</v>
      </c>
      <c r="E58" s="1062">
        <f t="shared" ref="E58:E63" si="6">SUM(B58:D58)</f>
        <v>2612560</v>
      </c>
      <c r="F58" s="638">
        <f>'5.tábla (2)'!D58</f>
        <v>762000</v>
      </c>
    </row>
    <row r="59" spans="1:6" ht="25.5" x14ac:dyDescent="0.2">
      <c r="A59" s="1058" t="s">
        <v>868</v>
      </c>
      <c r="B59" s="1059">
        <v>205534</v>
      </c>
      <c r="C59" s="1076">
        <v>249214</v>
      </c>
      <c r="D59" s="1077">
        <v>120016</v>
      </c>
      <c r="E59" s="1062">
        <f t="shared" si="6"/>
        <v>574764</v>
      </c>
      <c r="F59" s="638">
        <f>'5.tábla (2)'!D71</f>
        <v>120016</v>
      </c>
    </row>
    <row r="60" spans="1:6" x14ac:dyDescent="0.2">
      <c r="A60" s="1058" t="s">
        <v>869</v>
      </c>
      <c r="B60" s="1059">
        <v>0</v>
      </c>
      <c r="C60" s="1076">
        <v>127000</v>
      </c>
      <c r="D60" s="1077">
        <v>298450</v>
      </c>
      <c r="E60" s="1062">
        <f t="shared" si="6"/>
        <v>425450</v>
      </c>
      <c r="F60" s="638">
        <f>'5.tábla (2)'!D104</f>
        <v>298450</v>
      </c>
    </row>
    <row r="61" spans="1:6" x14ac:dyDescent="0.2">
      <c r="A61" s="1058" t="s">
        <v>870</v>
      </c>
      <c r="B61" s="1059"/>
      <c r="C61" s="1076"/>
      <c r="D61" s="1077"/>
      <c r="E61" s="1062">
        <f t="shared" si="6"/>
        <v>0</v>
      </c>
    </row>
    <row r="62" spans="1:6" x14ac:dyDescent="0.2">
      <c r="A62" s="1058" t="s">
        <v>871</v>
      </c>
      <c r="B62" s="1059">
        <v>13168209</v>
      </c>
      <c r="C62" s="1076">
        <v>102298006</v>
      </c>
      <c r="D62" s="1077">
        <v>33427464</v>
      </c>
      <c r="E62" s="1062">
        <f t="shared" si="6"/>
        <v>148893679</v>
      </c>
      <c r="F62" s="638">
        <f>'7. sz. tábla 1'!D27</f>
        <v>33427464</v>
      </c>
    </row>
    <row r="63" spans="1:6" ht="25.5" x14ac:dyDescent="0.2">
      <c r="A63" s="1080" t="s">
        <v>879</v>
      </c>
      <c r="B63" s="1059"/>
      <c r="C63" s="1076">
        <v>27090930</v>
      </c>
      <c r="D63" s="1083">
        <v>9030310</v>
      </c>
      <c r="E63" s="1062">
        <f t="shared" si="6"/>
        <v>36121240</v>
      </c>
    </row>
    <row r="64" spans="1:6" x14ac:dyDescent="0.2">
      <c r="A64" s="1064" t="s">
        <v>83</v>
      </c>
      <c r="B64" s="1065">
        <f>SUM(B58:B62)</f>
        <v>14401523</v>
      </c>
      <c r="C64" s="1066">
        <f>SUM(C58:C63)</f>
        <v>130587930</v>
      </c>
      <c r="D64" s="1066">
        <f>SUM(D58:D63)</f>
        <v>43638240</v>
      </c>
      <c r="E64" s="1078">
        <f>SUM(E58:E63)</f>
        <v>188627693</v>
      </c>
    </row>
    <row r="65" spans="1:6" x14ac:dyDescent="0.2">
      <c r="A65" s="1169"/>
      <c r="B65" s="1167"/>
      <c r="C65" s="1167"/>
      <c r="D65" s="1167"/>
      <c r="E65" s="1167"/>
    </row>
    <row r="67" spans="1:6" x14ac:dyDescent="0.2">
      <c r="A67" s="1041"/>
      <c r="B67" s="1043" t="s">
        <v>880</v>
      </c>
      <c r="C67" s="1044"/>
      <c r="D67" s="1045"/>
    </row>
    <row r="68" spans="1:6" ht="25.5" x14ac:dyDescent="0.2">
      <c r="A68" s="1046" t="s">
        <v>856</v>
      </c>
      <c r="B68" s="1727" t="s">
        <v>881</v>
      </c>
      <c r="C68" s="1727"/>
      <c r="D68" s="1727"/>
    </row>
    <row r="69" spans="1:6" x14ac:dyDescent="0.2">
      <c r="A69" s="1047"/>
      <c r="B69" s="1048"/>
      <c r="C69" s="1049"/>
      <c r="D69" s="1050"/>
    </row>
    <row r="70" spans="1:6" x14ac:dyDescent="0.2">
      <c r="A70" s="1047"/>
      <c r="B70" s="1048"/>
      <c r="C70" s="1051"/>
      <c r="D70" s="1052"/>
    </row>
    <row r="71" spans="1:6" x14ac:dyDescent="0.2">
      <c r="A71" s="1053" t="s">
        <v>858</v>
      </c>
      <c r="B71" s="1054" t="s">
        <v>859</v>
      </c>
      <c r="C71" s="1055" t="s">
        <v>860</v>
      </c>
      <c r="D71" s="1056" t="s">
        <v>861</v>
      </c>
      <c r="E71" s="1057" t="s">
        <v>83</v>
      </c>
    </row>
    <row r="72" spans="1:6" x14ac:dyDescent="0.2">
      <c r="A72" s="1058" t="s">
        <v>862</v>
      </c>
      <c r="B72" s="1059">
        <v>127508000</v>
      </c>
      <c r="C72" s="1060"/>
      <c r="D72" s="1061"/>
      <c r="E72" s="1062">
        <f>SUM(B72:D73)</f>
        <v>127508000</v>
      </c>
    </row>
    <row r="73" spans="1:6" x14ac:dyDescent="0.2">
      <c r="A73" s="1058" t="s">
        <v>863</v>
      </c>
      <c r="B73" s="1059"/>
      <c r="C73" s="1060"/>
      <c r="D73" s="1063"/>
      <c r="E73" s="1062"/>
    </row>
    <row r="74" spans="1:6" x14ac:dyDescent="0.2">
      <c r="A74" s="1058" t="s">
        <v>864</v>
      </c>
      <c r="B74" s="1059"/>
      <c r="C74" s="1060">
        <f>C84+B84-B72</f>
        <v>25012850</v>
      </c>
      <c r="D74" s="1063">
        <f>E84-E72-C74</f>
        <v>5954123</v>
      </c>
      <c r="E74" s="1062">
        <f>SUM(B74:D74)</f>
        <v>30966973</v>
      </c>
    </row>
    <row r="75" spans="1:6" x14ac:dyDescent="0.2">
      <c r="A75" s="1064" t="s">
        <v>83</v>
      </c>
      <c r="B75" s="1065">
        <f>SUM(B72:B74)</f>
        <v>127508000</v>
      </c>
      <c r="C75" s="1065">
        <f>SUM(C72:C74)</f>
        <v>25012850</v>
      </c>
      <c r="D75" s="1066">
        <f>SUM(D72:D74)</f>
        <v>5954123</v>
      </c>
      <c r="E75" s="1157">
        <f>B75+C75+D75</f>
        <v>158474973</v>
      </c>
    </row>
    <row r="76" spans="1:6" x14ac:dyDescent="0.2">
      <c r="A76" s="1068"/>
      <c r="B76" s="1069"/>
      <c r="C76" s="1070"/>
      <c r="D76" s="1071"/>
      <c r="E76" s="1072"/>
    </row>
    <row r="77" spans="1:6" ht="38.25" x14ac:dyDescent="0.2">
      <c r="A77" s="1053" t="s">
        <v>865</v>
      </c>
      <c r="B77" s="1073" t="s">
        <v>866</v>
      </c>
      <c r="C77" s="1074" t="s">
        <v>931</v>
      </c>
      <c r="D77" s="1057" t="s">
        <v>861</v>
      </c>
      <c r="E77" s="1075" t="s">
        <v>83</v>
      </c>
    </row>
    <row r="78" spans="1:6" x14ac:dyDescent="0.2">
      <c r="A78" s="1080" t="s">
        <v>876</v>
      </c>
      <c r="B78" s="1059"/>
      <c r="C78" s="1076"/>
      <c r="D78" s="1077"/>
      <c r="E78" s="1062"/>
    </row>
    <row r="79" spans="1:6" ht="25.5" x14ac:dyDescent="0.2">
      <c r="A79" s="1058" t="s">
        <v>868</v>
      </c>
      <c r="B79" s="1059"/>
      <c r="C79" s="1087"/>
      <c r="D79" s="1077"/>
      <c r="E79" s="1062"/>
    </row>
    <row r="80" spans="1:6" x14ac:dyDescent="0.2">
      <c r="A80" s="1058" t="s">
        <v>869</v>
      </c>
      <c r="B80" s="1063">
        <v>635000</v>
      </c>
      <c r="C80" s="1159">
        <v>1418200</v>
      </c>
      <c r="D80" s="1160">
        <v>1418200</v>
      </c>
      <c r="E80" s="1062">
        <f>SUM(B80:D80)</f>
        <v>3471400</v>
      </c>
      <c r="F80" s="638">
        <f>'5.tábla (2)'!D105</f>
        <v>1418200</v>
      </c>
    </row>
    <row r="81" spans="1:5" x14ac:dyDescent="0.2">
      <c r="A81" s="1058" t="s">
        <v>870</v>
      </c>
      <c r="B81" s="1063"/>
      <c r="C81" s="1159"/>
      <c r="D81" s="1160"/>
      <c r="E81" s="1062">
        <f t="shared" ref="E81:E83" si="7">SUM(B81:D81)</f>
        <v>0</v>
      </c>
    </row>
    <row r="82" spans="1:5" x14ac:dyDescent="0.2">
      <c r="A82" s="1058" t="s">
        <v>871</v>
      </c>
      <c r="B82" s="1063">
        <v>29035603</v>
      </c>
      <c r="C82" s="1159">
        <v>103288356</v>
      </c>
      <c r="D82" s="1160"/>
      <c r="E82" s="1062">
        <f t="shared" si="7"/>
        <v>132323959</v>
      </c>
    </row>
    <row r="83" spans="1:5" ht="25.5" x14ac:dyDescent="0.2">
      <c r="A83" s="1080" t="s">
        <v>879</v>
      </c>
      <c r="B83" s="1063"/>
      <c r="C83" s="1159">
        <v>18143691</v>
      </c>
      <c r="D83" s="1161">
        <v>4535923</v>
      </c>
      <c r="E83" s="1062">
        <f t="shared" si="7"/>
        <v>22679614</v>
      </c>
    </row>
    <row r="84" spans="1:5" x14ac:dyDescent="0.2">
      <c r="A84" s="1064" t="s">
        <v>83</v>
      </c>
      <c r="B84" s="1066">
        <f>SUM(B78:B83)</f>
        <v>29670603</v>
      </c>
      <c r="C84" s="1066">
        <f t="shared" ref="C84:E84" si="8">SUM(C78:C83)</f>
        <v>122850247</v>
      </c>
      <c r="D84" s="1066">
        <f t="shared" si="8"/>
        <v>5954123</v>
      </c>
      <c r="E84" s="1533">
        <f t="shared" si="8"/>
        <v>158474973</v>
      </c>
    </row>
    <row r="85" spans="1:5" x14ac:dyDescent="0.2">
      <c r="C85" s="1162"/>
    </row>
    <row r="86" spans="1:5" x14ac:dyDescent="0.2">
      <c r="C86" s="1162"/>
      <c r="E86" s="1162"/>
    </row>
    <row r="87" spans="1:5" x14ac:dyDescent="0.2">
      <c r="C87" s="1162"/>
    </row>
    <row r="88" spans="1:5" ht="17.25" customHeight="1" x14ac:dyDescent="0.2">
      <c r="A88" s="1041"/>
      <c r="B88" s="1043"/>
      <c r="C88" s="1044"/>
      <c r="D88" s="1045"/>
    </row>
    <row r="89" spans="1:5" ht="17.25" customHeight="1" x14ac:dyDescent="0.2">
      <c r="A89" s="1041"/>
      <c r="B89" s="1043"/>
      <c r="C89" s="1044"/>
      <c r="D89" s="1045"/>
    </row>
    <row r="90" spans="1:5" ht="17.25" customHeight="1" x14ac:dyDescent="0.2">
      <c r="A90" s="1041"/>
      <c r="B90" s="1043" t="s">
        <v>882</v>
      </c>
      <c r="C90" s="1044"/>
      <c r="D90" s="1045"/>
    </row>
    <row r="91" spans="1:5" ht="25.5" x14ac:dyDescent="0.2">
      <c r="A91" s="1046" t="s">
        <v>856</v>
      </c>
      <c r="B91" s="1727" t="s">
        <v>883</v>
      </c>
      <c r="C91" s="1727"/>
      <c r="D91" s="1727"/>
    </row>
    <row r="92" spans="1:5" x14ac:dyDescent="0.2">
      <c r="A92" s="1047"/>
      <c r="B92" s="1048"/>
      <c r="C92" s="1049"/>
      <c r="D92" s="1050"/>
    </row>
    <row r="93" spans="1:5" x14ac:dyDescent="0.2">
      <c r="A93" s="1047"/>
      <c r="B93" s="1048"/>
      <c r="C93" s="1051"/>
      <c r="D93" s="1052"/>
    </row>
    <row r="94" spans="1:5" x14ac:dyDescent="0.2">
      <c r="A94" s="1053" t="s">
        <v>858</v>
      </c>
      <c r="B94" s="1054" t="s">
        <v>859</v>
      </c>
      <c r="C94" s="1055" t="s">
        <v>860</v>
      </c>
      <c r="D94" s="1056" t="s">
        <v>861</v>
      </c>
      <c r="E94" s="1057" t="s">
        <v>83</v>
      </c>
    </row>
    <row r="95" spans="1:5" x14ac:dyDescent="0.2">
      <c r="A95" s="1058" t="s">
        <v>862</v>
      </c>
      <c r="B95" s="1059">
        <v>987794940</v>
      </c>
      <c r="C95" s="1060"/>
      <c r="D95" s="1061">
        <v>2385001</v>
      </c>
      <c r="E95" s="1062">
        <f>SUM(B95:D95)</f>
        <v>990179941</v>
      </c>
    </row>
    <row r="96" spans="1:5" x14ac:dyDescent="0.2">
      <c r="A96" s="1058" t="s">
        <v>863</v>
      </c>
      <c r="B96" s="1059"/>
      <c r="C96" s="1060"/>
      <c r="D96" s="1063"/>
      <c r="E96" s="1062">
        <f t="shared" ref="E96:E98" si="9">SUM(B96:D96)</f>
        <v>0</v>
      </c>
    </row>
    <row r="97" spans="1:8" x14ac:dyDescent="0.2">
      <c r="A97" s="1058" t="s">
        <v>864</v>
      </c>
      <c r="B97" s="1059">
        <v>56522236</v>
      </c>
      <c r="C97" s="1060">
        <f>B110+C110-B99-C98</f>
        <v>569363575</v>
      </c>
      <c r="D97" s="1063">
        <f>32336780+38500+4500000</f>
        <v>36875280</v>
      </c>
      <c r="E97" s="1062">
        <f t="shared" si="9"/>
        <v>662761091</v>
      </c>
    </row>
    <row r="98" spans="1:8" ht="25.5" x14ac:dyDescent="0.2">
      <c r="A98" s="1080" t="s">
        <v>875</v>
      </c>
      <c r="B98" s="1059">
        <v>1696799</v>
      </c>
      <c r="C98" s="1060">
        <v>1085400</v>
      </c>
      <c r="D98" s="1063">
        <f>D105+D109</f>
        <v>7911000</v>
      </c>
      <c r="E98" s="1062">
        <f t="shared" si="9"/>
        <v>10693199</v>
      </c>
    </row>
    <row r="99" spans="1:8" x14ac:dyDescent="0.2">
      <c r="A99" s="1064" t="s">
        <v>83</v>
      </c>
      <c r="B99" s="1065">
        <f>SUM(B95:B98)</f>
        <v>1046013975</v>
      </c>
      <c r="C99" s="1065">
        <f t="shared" ref="C99:E99" si="10">SUM(C95:C98)</f>
        <v>570448975</v>
      </c>
      <c r="D99" s="1065">
        <f t="shared" si="10"/>
        <v>47171281</v>
      </c>
      <c r="E99" s="1065">
        <f t="shared" si="10"/>
        <v>1663634231</v>
      </c>
    </row>
    <row r="100" spans="1:8" x14ac:dyDescent="0.2">
      <c r="A100" s="1068"/>
      <c r="B100" s="1069"/>
      <c r="C100" s="1070"/>
      <c r="D100" s="1071"/>
      <c r="E100" s="1072"/>
    </row>
    <row r="101" spans="1:8" ht="38.25" x14ac:dyDescent="0.2">
      <c r="A101" s="1053" t="s">
        <v>865</v>
      </c>
      <c r="B101" s="1073" t="s">
        <v>866</v>
      </c>
      <c r="C101" s="1074" t="s">
        <v>931</v>
      </c>
      <c r="D101" s="1057" t="s">
        <v>861</v>
      </c>
      <c r="E101" s="1075" t="s">
        <v>83</v>
      </c>
    </row>
    <row r="102" spans="1:8" x14ac:dyDescent="0.2">
      <c r="A102" s="1080" t="s">
        <v>876</v>
      </c>
      <c r="B102" s="1059">
        <v>2205189</v>
      </c>
      <c r="C102" s="1076">
        <v>1033686</v>
      </c>
      <c r="D102" s="1077">
        <f>'5.tábla (2)'!D14</f>
        <v>1112573</v>
      </c>
      <c r="E102" s="1062">
        <f>SUM(B102:D102)</f>
        <v>4351448</v>
      </c>
      <c r="F102" s="638">
        <f>'5.tábla (2)'!D14</f>
        <v>1112573</v>
      </c>
    </row>
    <row r="103" spans="1:8" ht="25.5" x14ac:dyDescent="0.2">
      <c r="A103" s="1058" t="s">
        <v>868</v>
      </c>
      <c r="B103" s="1059">
        <v>430012</v>
      </c>
      <c r="C103" s="1076">
        <v>191232</v>
      </c>
      <c r="D103" s="1077">
        <f>'5.tábla (2)'!D24</f>
        <v>297708</v>
      </c>
      <c r="E103" s="1062">
        <f t="shared" ref="E103:E109" si="11">SUM(B103:D103)</f>
        <v>918952</v>
      </c>
      <c r="F103" s="638">
        <f>'5.tábla (2)'!D24</f>
        <v>297708</v>
      </c>
      <c r="G103" s="638"/>
      <c r="H103" s="638"/>
    </row>
    <row r="104" spans="1:8" x14ac:dyDescent="0.2">
      <c r="A104" s="1058" t="s">
        <v>869</v>
      </c>
      <c r="B104" s="1059">
        <v>2038500</v>
      </c>
      <c r="C104" s="1076">
        <v>0</v>
      </c>
      <c r="D104" s="1077">
        <f>22000000+4500000</f>
        <v>26500000</v>
      </c>
      <c r="E104" s="1062">
        <f t="shared" si="11"/>
        <v>28538500</v>
      </c>
      <c r="F104" s="638">
        <f>'5.tábla (2)'!D107</f>
        <v>33655000</v>
      </c>
    </row>
    <row r="105" spans="1:8" ht="25.5" x14ac:dyDescent="0.2">
      <c r="A105" s="1080" t="s">
        <v>875</v>
      </c>
      <c r="B105" s="1059"/>
      <c r="C105" s="1076"/>
      <c r="D105" s="1077">
        <f>5940000+1215000</f>
        <v>7155000</v>
      </c>
      <c r="E105" s="1062">
        <f t="shared" si="11"/>
        <v>7155000</v>
      </c>
      <c r="G105" s="638"/>
    </row>
    <row r="106" spans="1:8" x14ac:dyDescent="0.2">
      <c r="A106" s="1058" t="s">
        <v>870</v>
      </c>
      <c r="B106" s="1059"/>
      <c r="C106" s="1076"/>
      <c r="D106" s="1077"/>
      <c r="E106" s="1062">
        <f t="shared" si="11"/>
        <v>0</v>
      </c>
      <c r="F106" s="638"/>
    </row>
    <row r="107" spans="1:8" x14ac:dyDescent="0.2">
      <c r="A107" s="1058" t="s">
        <v>871</v>
      </c>
      <c r="B107" s="1059">
        <v>403925434</v>
      </c>
      <c r="C107" s="1076">
        <v>1158587245</v>
      </c>
      <c r="D107" s="1077">
        <v>11350000</v>
      </c>
      <c r="E107" s="1062">
        <f t="shared" si="11"/>
        <v>1573862679</v>
      </c>
      <c r="F107" s="638">
        <f>'7. sz. tábla 1'!D50</f>
        <v>12106000</v>
      </c>
    </row>
    <row r="108" spans="1:8" x14ac:dyDescent="0.2">
      <c r="A108" s="1080" t="s">
        <v>884</v>
      </c>
      <c r="B108" s="1059">
        <v>7822586</v>
      </c>
      <c r="C108" s="1076">
        <v>37446867</v>
      </c>
      <c r="D108" s="1077"/>
      <c r="E108" s="1062">
        <f t="shared" si="11"/>
        <v>45269453</v>
      </c>
    </row>
    <row r="109" spans="1:8" ht="25.5" x14ac:dyDescent="0.2">
      <c r="A109" s="1080" t="s">
        <v>875</v>
      </c>
      <c r="B109" s="1059">
        <v>1696799</v>
      </c>
      <c r="C109" s="1076">
        <v>1085400</v>
      </c>
      <c r="D109" s="1077">
        <f>756000</f>
        <v>756000</v>
      </c>
      <c r="E109" s="1062">
        <f t="shared" si="11"/>
        <v>3538199</v>
      </c>
    </row>
    <row r="110" spans="1:8" s="1013" customFormat="1" x14ac:dyDescent="0.2">
      <c r="A110" s="1064" t="s">
        <v>83</v>
      </c>
      <c r="B110" s="1065">
        <f>SUM(B102:B109)</f>
        <v>418118520</v>
      </c>
      <c r="C110" s="1065">
        <f>SUM(C102:C109)</f>
        <v>1198344430</v>
      </c>
      <c r="D110" s="1078">
        <f>SUM(D102:D109)</f>
        <v>47171281</v>
      </c>
      <c r="E110" s="1157">
        <f>SUM(E102:E109)</f>
        <v>1663634231</v>
      </c>
      <c r="G110" s="1012">
        <f>E99-E110</f>
        <v>0</v>
      </c>
    </row>
    <row r="113" spans="1:7" x14ac:dyDescent="0.2">
      <c r="A113" s="1041"/>
      <c r="B113" s="1043" t="s">
        <v>885</v>
      </c>
      <c r="C113" s="1044"/>
      <c r="D113" s="1045"/>
    </row>
    <row r="114" spans="1:7" ht="25.5" x14ac:dyDescent="0.2">
      <c r="A114" s="1046" t="s">
        <v>856</v>
      </c>
      <c r="B114" s="1727" t="s">
        <v>886</v>
      </c>
      <c r="C114" s="1727"/>
      <c r="D114" s="1727"/>
    </row>
    <row r="115" spans="1:7" x14ac:dyDescent="0.2">
      <c r="A115" s="1047"/>
      <c r="B115" s="1048"/>
      <c r="C115" s="1049"/>
      <c r="D115" s="1050"/>
    </row>
    <row r="116" spans="1:7" x14ac:dyDescent="0.2">
      <c r="A116" s="1047"/>
      <c r="B116" s="1048"/>
      <c r="C116" s="1051"/>
      <c r="D116" s="1052"/>
    </row>
    <row r="117" spans="1:7" x14ac:dyDescent="0.2">
      <c r="A117" s="1053" t="s">
        <v>858</v>
      </c>
      <c r="B117" s="1054" t="s">
        <v>859</v>
      </c>
      <c r="C117" s="1055" t="s">
        <v>860</v>
      </c>
      <c r="D117" s="1056" t="s">
        <v>861</v>
      </c>
      <c r="E117" s="1057" t="s">
        <v>83</v>
      </c>
    </row>
    <row r="118" spans="1:7" x14ac:dyDescent="0.2">
      <c r="A118" s="1058" t="s">
        <v>862</v>
      </c>
      <c r="B118" s="1059">
        <v>735733678</v>
      </c>
      <c r="C118" s="1060"/>
      <c r="D118" s="1063">
        <f>34529178+248823878</f>
        <v>283353056</v>
      </c>
      <c r="E118" s="1163">
        <f>B118:B121+D118:D121</f>
        <v>1019086734</v>
      </c>
    </row>
    <row r="119" spans="1:7" x14ac:dyDescent="0.2">
      <c r="A119" s="1058" t="s">
        <v>863</v>
      </c>
      <c r="B119" s="1059"/>
      <c r="C119" s="1060"/>
      <c r="D119" s="1063"/>
      <c r="E119" s="1163">
        <f t="shared" ref="E119:E120" si="12">B119:B122+D119:D122</f>
        <v>0</v>
      </c>
    </row>
    <row r="120" spans="1:7" x14ac:dyDescent="0.2">
      <c r="A120" s="1058" t="s">
        <v>864</v>
      </c>
      <c r="B120" s="1059"/>
      <c r="C120" s="1060"/>
      <c r="D120" s="1063"/>
      <c r="E120" s="1163">
        <f t="shared" si="12"/>
        <v>0</v>
      </c>
    </row>
    <row r="121" spans="1:7" ht="25.5" x14ac:dyDescent="0.2">
      <c r="A121" s="1080" t="s">
        <v>875</v>
      </c>
      <c r="B121" s="1063">
        <f t="shared" ref="B121:C121" si="13">B128+B131</f>
        <v>1803488</v>
      </c>
      <c r="C121" s="1063">
        <f t="shared" si="13"/>
        <v>3684778</v>
      </c>
      <c r="D121" s="1063">
        <f>D128+D131</f>
        <v>31112991</v>
      </c>
      <c r="E121" s="1163">
        <f>SUM(B121:D121)</f>
        <v>36601257</v>
      </c>
    </row>
    <row r="122" spans="1:7" x14ac:dyDescent="0.2">
      <c r="A122" s="1064" t="s">
        <v>83</v>
      </c>
      <c r="B122" s="1065">
        <f>SUM(B118:B121)</f>
        <v>737537166</v>
      </c>
      <c r="C122" s="1065">
        <f>SUM(C118:C121)</f>
        <v>3684778</v>
      </c>
      <c r="D122" s="1065">
        <f>SUM(D118:D121)</f>
        <v>314466047</v>
      </c>
      <c r="E122" s="1065">
        <f>SUM(E118:E121)</f>
        <v>1055687991</v>
      </c>
    </row>
    <row r="123" spans="1:7" x14ac:dyDescent="0.2">
      <c r="A123" s="1068"/>
      <c r="B123" s="1069"/>
      <c r="C123" s="1070"/>
      <c r="D123" s="1071"/>
      <c r="E123" s="1072"/>
    </row>
    <row r="124" spans="1:7" ht="38.25" x14ac:dyDescent="0.2">
      <c r="A124" s="1053" t="s">
        <v>865</v>
      </c>
      <c r="B124" s="1073" t="s">
        <v>866</v>
      </c>
      <c r="C124" s="1074" t="s">
        <v>931</v>
      </c>
      <c r="D124" s="1057" t="s">
        <v>861</v>
      </c>
      <c r="E124" s="1075" t="s">
        <v>83</v>
      </c>
    </row>
    <row r="125" spans="1:7" x14ac:dyDescent="0.2">
      <c r="A125" s="1080" t="s">
        <v>876</v>
      </c>
      <c r="B125" s="1059"/>
      <c r="C125" s="1076"/>
      <c r="D125" s="1077"/>
      <c r="E125" s="1062">
        <f>B125+C125</f>
        <v>0</v>
      </c>
    </row>
    <row r="126" spans="1:7" ht="25.5" x14ac:dyDescent="0.2">
      <c r="A126" s="1058" t="s">
        <v>868</v>
      </c>
      <c r="B126" s="1059"/>
      <c r="C126" s="1076"/>
      <c r="D126" s="1077"/>
      <c r="E126" s="1062">
        <f>B126+C126</f>
        <v>0</v>
      </c>
    </row>
    <row r="127" spans="1:7" x14ac:dyDescent="0.2">
      <c r="A127" s="1058" t="s">
        <v>869</v>
      </c>
      <c r="B127" s="1059"/>
      <c r="C127" s="1076">
        <v>2540050</v>
      </c>
      <c r="D127" s="1077">
        <f>6359950-1351450</f>
        <v>5008500</v>
      </c>
      <c r="E127" s="1062">
        <f>SUM(B127:D127)</f>
        <v>7548550</v>
      </c>
      <c r="F127" s="638">
        <f>'5.tábla (2)'!D108</f>
        <v>6236595</v>
      </c>
      <c r="G127" s="638">
        <f>SUM(D127:D128)</f>
        <v>6236595</v>
      </c>
    </row>
    <row r="128" spans="1:7" ht="25.5" x14ac:dyDescent="0.2">
      <c r="A128" s="1080" t="s">
        <v>875</v>
      </c>
      <c r="B128" s="1059"/>
      <c r="C128" s="1076">
        <v>675014</v>
      </c>
      <c r="D128" s="1077">
        <f>2268000-675014-364891</f>
        <v>1228095</v>
      </c>
      <c r="E128" s="1062">
        <f>SUM(B128:D128)</f>
        <v>1903109</v>
      </c>
    </row>
    <row r="129" spans="1:7" x14ac:dyDescent="0.2">
      <c r="A129" s="1058" t="s">
        <v>870</v>
      </c>
      <c r="B129" s="1059"/>
      <c r="C129" s="1076"/>
      <c r="D129" s="1077"/>
      <c r="E129" s="1062">
        <f>SUM(B129:D129)</f>
        <v>0</v>
      </c>
    </row>
    <row r="130" spans="1:7" x14ac:dyDescent="0.2">
      <c r="A130" s="1058" t="s">
        <v>871</v>
      </c>
      <c r="B130" s="1059">
        <v>6679584</v>
      </c>
      <c r="C130" s="1076">
        <v>11147274</v>
      </c>
      <c r="D130" s="1077">
        <f>743535998+248823878+1351450</f>
        <v>993711326</v>
      </c>
      <c r="E130" s="1062">
        <f>SUM(B130:D130)</f>
        <v>1011538184</v>
      </c>
      <c r="F130" s="638">
        <f>'7. sz. tábla 1'!D53</f>
        <v>1023596222</v>
      </c>
      <c r="G130" s="638">
        <f>SUM(D130:D131)</f>
        <v>1023596222</v>
      </c>
    </row>
    <row r="131" spans="1:7" ht="25.5" x14ac:dyDescent="0.2">
      <c r="A131" s="1080" t="s">
        <v>875</v>
      </c>
      <c r="B131" s="1059">
        <v>1803488</v>
      </c>
      <c r="C131" s="1076">
        <f>3684778-C128</f>
        <v>3009764</v>
      </c>
      <c r="D131" s="1077">
        <f>29660796+224100</f>
        <v>29884896</v>
      </c>
      <c r="E131" s="1062">
        <f>SUM(B131:D131)</f>
        <v>34698148</v>
      </c>
    </row>
    <row r="132" spans="1:7" x14ac:dyDescent="0.2">
      <c r="A132" s="1064" t="s">
        <v>83</v>
      </c>
      <c r="B132" s="1065">
        <f>SUM(B125:B131)</f>
        <v>8483072</v>
      </c>
      <c r="C132" s="1065">
        <f>SUM(C125:C131)</f>
        <v>17372102</v>
      </c>
      <c r="D132" s="1065">
        <f>SUM(D125:D131)</f>
        <v>1029832817</v>
      </c>
      <c r="E132" s="1065">
        <f>SUM(E125:E131)</f>
        <v>1055687991</v>
      </c>
    </row>
    <row r="135" spans="1:7" ht="25.5" customHeight="1" x14ac:dyDescent="0.2"/>
    <row r="136" spans="1:7" x14ac:dyDescent="0.2">
      <c r="D136" s="1009"/>
    </row>
    <row r="137" spans="1:7" ht="25.5" customHeight="1" x14ac:dyDescent="0.2">
      <c r="A137" s="1041"/>
      <c r="B137" s="1043" t="s">
        <v>890</v>
      </c>
      <c r="C137" s="1084"/>
      <c r="D137" s="1045"/>
      <c r="E137" s="1044"/>
    </row>
    <row r="138" spans="1:7" ht="25.5" x14ac:dyDescent="0.2">
      <c r="A138" s="1046" t="s">
        <v>856</v>
      </c>
      <c r="B138" s="1727" t="s">
        <v>891</v>
      </c>
      <c r="C138" s="1727"/>
      <c r="D138" s="1727"/>
      <c r="E138" s="1727"/>
    </row>
    <row r="139" spans="1:7" x14ac:dyDescent="0.2">
      <c r="A139" s="1047"/>
      <c r="B139" s="1048"/>
      <c r="C139" s="1050"/>
      <c r="D139" s="1050"/>
      <c r="E139" s="1049"/>
    </row>
    <row r="140" spans="1:7" x14ac:dyDescent="0.2">
      <c r="A140" s="1047"/>
      <c r="B140" s="1048"/>
      <c r="C140" s="1052"/>
      <c r="D140" s="1052"/>
      <c r="E140" s="1051"/>
    </row>
    <row r="141" spans="1:7" x14ac:dyDescent="0.2">
      <c r="A141" s="1053" t="s">
        <v>858</v>
      </c>
      <c r="B141" s="1054" t="s">
        <v>887</v>
      </c>
      <c r="C141" s="1055" t="s">
        <v>888</v>
      </c>
      <c r="D141" s="1056" t="s">
        <v>860</v>
      </c>
      <c r="E141" s="1057" t="s">
        <v>913</v>
      </c>
      <c r="F141" s="1057" t="s">
        <v>83</v>
      </c>
    </row>
    <row r="142" spans="1:7" x14ac:dyDescent="0.2">
      <c r="A142" s="1058" t="s">
        <v>862</v>
      </c>
      <c r="B142" s="1059">
        <v>59937000</v>
      </c>
      <c r="C142" s="1060"/>
      <c r="D142" s="1063"/>
      <c r="E142" s="1062"/>
      <c r="F142" s="1062">
        <f>SUM(B142:E142)</f>
        <v>59937000</v>
      </c>
    </row>
    <row r="143" spans="1:7" x14ac:dyDescent="0.2">
      <c r="A143" s="1058" t="s">
        <v>863</v>
      </c>
      <c r="B143" s="1059"/>
      <c r="C143" s="1060"/>
      <c r="D143" s="1063"/>
      <c r="E143" s="1062">
        <f>SUM(B143:D143)</f>
        <v>0</v>
      </c>
      <c r="F143" s="1062">
        <f>SUM(C143:E143)</f>
        <v>0</v>
      </c>
    </row>
    <row r="144" spans="1:7" x14ac:dyDescent="0.2">
      <c r="A144" s="1058" t="s">
        <v>864</v>
      </c>
      <c r="B144" s="1059"/>
      <c r="C144" s="1060"/>
      <c r="D144" s="1063">
        <f>F154-B145</f>
        <v>54468484</v>
      </c>
      <c r="E144" s="1062"/>
      <c r="F144" s="1062">
        <f>SUM(C144:E144)</f>
        <v>54468484</v>
      </c>
    </row>
    <row r="145" spans="1:7" x14ac:dyDescent="0.2">
      <c r="A145" s="1064" t="s">
        <v>83</v>
      </c>
      <c r="B145" s="1065">
        <f>SUM(B142:B144)</f>
        <v>59937000</v>
      </c>
      <c r="C145" s="1065">
        <f>SUM(C142:C144)</f>
        <v>0</v>
      </c>
      <c r="D145" s="1065">
        <f>SUM(D142:D144)</f>
        <v>54468484</v>
      </c>
      <c r="E145" s="1065">
        <f>SUM(E142:E144)</f>
        <v>0</v>
      </c>
      <c r="F145" s="1065">
        <f>SUM(F142:F144)</f>
        <v>114405484</v>
      </c>
    </row>
    <row r="146" spans="1:7" x14ac:dyDescent="0.2">
      <c r="A146" s="1068"/>
      <c r="B146" s="1069"/>
      <c r="C146" s="1070"/>
      <c r="D146" s="1071"/>
      <c r="E146" s="1072"/>
      <c r="F146" s="1072"/>
    </row>
    <row r="147" spans="1:7" ht="38.25" x14ac:dyDescent="0.2">
      <c r="A147" s="1053" t="s">
        <v>865</v>
      </c>
      <c r="B147" s="1073" t="s">
        <v>889</v>
      </c>
      <c r="C147" s="1073" t="s">
        <v>866</v>
      </c>
      <c r="D147" s="1074" t="s">
        <v>931</v>
      </c>
      <c r="E147" s="1057" t="s">
        <v>861</v>
      </c>
      <c r="F147" s="1075" t="s">
        <v>83</v>
      </c>
    </row>
    <row r="148" spans="1:7" x14ac:dyDescent="0.2">
      <c r="A148" s="1080" t="s">
        <v>876</v>
      </c>
      <c r="B148" s="1059"/>
      <c r="C148" s="1076">
        <v>362510</v>
      </c>
      <c r="D148" s="1077">
        <v>406051</v>
      </c>
      <c r="E148" s="1062">
        <v>497244</v>
      </c>
      <c r="F148" s="1062">
        <f>SUM(C148:E148)</f>
        <v>1265805</v>
      </c>
      <c r="G148" s="638">
        <f>'5.tábla (2)'!D16</f>
        <v>497244</v>
      </c>
    </row>
    <row r="149" spans="1:7" ht="25.5" x14ac:dyDescent="0.2">
      <c r="A149" s="1058" t="s">
        <v>868</v>
      </c>
      <c r="B149" s="1059"/>
      <c r="C149" s="1076">
        <v>70689</v>
      </c>
      <c r="D149" s="1077">
        <v>161053</v>
      </c>
      <c r="E149" s="1062">
        <v>85556</v>
      </c>
      <c r="F149" s="1062">
        <f t="shared" ref="F149:F153" si="14">SUM(C149:E149)</f>
        <v>317298</v>
      </c>
      <c r="G149" s="638">
        <f>'5.tábla (2)'!D26</f>
        <v>85556</v>
      </c>
    </row>
    <row r="150" spans="1:7" x14ac:dyDescent="0.2">
      <c r="A150" s="1058" t="s">
        <v>869</v>
      </c>
      <c r="B150" s="1059"/>
      <c r="C150" s="1076">
        <v>208000</v>
      </c>
      <c r="D150" s="1077">
        <v>482600</v>
      </c>
      <c r="E150" s="1062">
        <v>1453297</v>
      </c>
      <c r="F150" s="1062">
        <f t="shared" si="14"/>
        <v>2143897</v>
      </c>
      <c r="G150" s="638">
        <f>'5.tábla (2)'!D100</f>
        <v>1453297</v>
      </c>
    </row>
    <row r="151" spans="1:7" x14ac:dyDescent="0.2">
      <c r="A151" s="1058" t="s">
        <v>870</v>
      </c>
      <c r="B151" s="1059"/>
      <c r="C151" s="1076">
        <v>0</v>
      </c>
      <c r="D151" s="1077"/>
      <c r="E151" s="1062">
        <f t="shared" ref="E151" si="15">SUM(C151:D151)</f>
        <v>0</v>
      </c>
      <c r="F151" s="1062">
        <f t="shared" si="14"/>
        <v>0</v>
      </c>
    </row>
    <row r="152" spans="1:7" x14ac:dyDescent="0.2">
      <c r="A152" s="1058" t="s">
        <v>871</v>
      </c>
      <c r="B152" s="1086"/>
      <c r="C152" s="1087">
        <v>5193270</v>
      </c>
      <c r="D152" s="1088">
        <v>83180724</v>
      </c>
      <c r="E152" s="1062"/>
      <c r="F152" s="1062">
        <f t="shared" si="14"/>
        <v>88373994</v>
      </c>
    </row>
    <row r="153" spans="1:7" ht="25.5" x14ac:dyDescent="0.2">
      <c r="A153" s="1093" t="s">
        <v>879</v>
      </c>
      <c r="B153" s="1077"/>
      <c r="C153" s="1089"/>
      <c r="D153" s="1077">
        <v>22304490</v>
      </c>
      <c r="E153" s="1062"/>
      <c r="F153" s="1062">
        <f t="shared" si="14"/>
        <v>22304490</v>
      </c>
    </row>
    <row r="154" spans="1:7" x14ac:dyDescent="0.2">
      <c r="A154" s="1064" t="s">
        <v>83</v>
      </c>
      <c r="B154" s="1091">
        <f>SUM(B148:B152)</f>
        <v>0</v>
      </c>
      <c r="C154" s="1091">
        <f>SUM(C148:C152)</f>
        <v>5834469</v>
      </c>
      <c r="D154" s="1091">
        <f>SUM(D148:D153)</f>
        <v>106534918</v>
      </c>
      <c r="E154" s="1091">
        <f>SUM(E148:E153)</f>
        <v>2036097</v>
      </c>
      <c r="F154" s="1091">
        <f>SUM(F148:F153)</f>
        <v>114405484</v>
      </c>
    </row>
    <row r="155" spans="1:7" x14ac:dyDescent="0.2">
      <c r="D155" s="1092"/>
    </row>
    <row r="156" spans="1:7" x14ac:dyDescent="0.2">
      <c r="D156" s="1092"/>
    </row>
    <row r="157" spans="1:7" x14ac:dyDescent="0.2">
      <c r="B157" s="152" t="s">
        <v>892</v>
      </c>
      <c r="C157" s="152"/>
    </row>
    <row r="158" spans="1:7" ht="25.5" customHeight="1" x14ac:dyDescent="0.2">
      <c r="A158" s="1046" t="s">
        <v>856</v>
      </c>
      <c r="B158" s="1726" t="s">
        <v>893</v>
      </c>
      <c r="C158" s="1726"/>
      <c r="D158" s="1726"/>
      <c r="E158" s="1726"/>
    </row>
    <row r="159" spans="1:7" x14ac:dyDescent="0.2">
      <c r="A159" s="1047"/>
      <c r="B159" s="1085"/>
      <c r="C159" s="1050"/>
      <c r="D159" s="1050"/>
      <c r="E159" s="1049"/>
    </row>
    <row r="160" spans="1:7" x14ac:dyDescent="0.2">
      <c r="A160" s="1047"/>
      <c r="B160" s="1048"/>
      <c r="C160" s="1052"/>
      <c r="D160" s="1052"/>
      <c r="E160" s="1051"/>
    </row>
    <row r="161" spans="1:8" ht="38.25" x14ac:dyDescent="0.2">
      <c r="A161" s="1053" t="s">
        <v>858</v>
      </c>
      <c r="B161" s="1054" t="s">
        <v>859</v>
      </c>
      <c r="C161" s="1074" t="s">
        <v>931</v>
      </c>
      <c r="D161" s="1056" t="s">
        <v>861</v>
      </c>
      <c r="E161" s="1057" t="s">
        <v>83</v>
      </c>
    </row>
    <row r="162" spans="1:8" x14ac:dyDescent="0.2">
      <c r="A162" s="1058" t="s">
        <v>862</v>
      </c>
      <c r="B162" s="1059">
        <v>247456250</v>
      </c>
      <c r="C162" s="1060"/>
      <c r="D162" s="1063"/>
      <c r="E162" s="1062">
        <f>SUM(B162:D162)</f>
        <v>247456250</v>
      </c>
    </row>
    <row r="163" spans="1:8" x14ac:dyDescent="0.2">
      <c r="A163" s="1058" t="s">
        <v>863</v>
      </c>
      <c r="B163" s="1059"/>
      <c r="C163" s="1060"/>
      <c r="D163" s="1063"/>
      <c r="E163" s="1062">
        <f t="shared" ref="E163:E165" si="16">SUM(B163:D163)</f>
        <v>0</v>
      </c>
    </row>
    <row r="164" spans="1:8" x14ac:dyDescent="0.2">
      <c r="A164" s="1058" t="s">
        <v>864</v>
      </c>
      <c r="B164" s="1059"/>
      <c r="C164" s="1060">
        <f>C171+C173</f>
        <v>0</v>
      </c>
      <c r="D164" s="1063"/>
      <c r="E164" s="1062">
        <f t="shared" si="16"/>
        <v>0</v>
      </c>
    </row>
    <row r="165" spans="1:8" ht="25.5" x14ac:dyDescent="0.2">
      <c r="A165" s="1080" t="s">
        <v>875</v>
      </c>
      <c r="B165" s="1059"/>
      <c r="C165" s="1060"/>
      <c r="D165" s="1063"/>
      <c r="E165" s="1062">
        <f t="shared" si="16"/>
        <v>0</v>
      </c>
    </row>
    <row r="166" spans="1:8" x14ac:dyDescent="0.2">
      <c r="A166" s="1064" t="s">
        <v>83</v>
      </c>
      <c r="B166" s="1065">
        <f>SUM(B162:B165)</f>
        <v>247456250</v>
      </c>
      <c r="C166" s="1065">
        <f>SUM(C162:C165)</f>
        <v>0</v>
      </c>
      <c r="D166" s="1065">
        <f t="shared" ref="D166" si="17">SUM(D162:D165)</f>
        <v>0</v>
      </c>
      <c r="E166" s="1065">
        <f>SUM(E162:E165)</f>
        <v>247456250</v>
      </c>
      <c r="H166" s="1164"/>
    </row>
    <row r="167" spans="1:8" x14ac:dyDescent="0.2">
      <c r="A167" s="1068"/>
      <c r="B167" s="1069"/>
      <c r="C167" s="1070"/>
      <c r="D167" s="1071"/>
      <c r="E167" s="1072"/>
      <c r="H167" s="1164"/>
    </row>
    <row r="168" spans="1:8" ht="38.25" x14ac:dyDescent="0.2">
      <c r="A168" s="1053" t="s">
        <v>865</v>
      </c>
      <c r="B168" s="1073" t="s">
        <v>895</v>
      </c>
      <c r="C168" s="1055" t="s">
        <v>894</v>
      </c>
      <c r="D168" s="1056" t="s">
        <v>861</v>
      </c>
      <c r="E168" s="1075" t="s">
        <v>83</v>
      </c>
      <c r="H168" s="1165"/>
    </row>
    <row r="169" spans="1:8" x14ac:dyDescent="0.2">
      <c r="A169" s="1080" t="s">
        <v>876</v>
      </c>
      <c r="B169" s="1059">
        <v>0</v>
      </c>
      <c r="C169" s="1076"/>
      <c r="D169" s="1077"/>
      <c r="E169" s="1062">
        <f t="shared" ref="E169:E176" si="18">SUM(B169:D169)</f>
        <v>0</v>
      </c>
      <c r="H169" s="1166"/>
    </row>
    <row r="170" spans="1:8" ht="25.5" x14ac:dyDescent="0.2">
      <c r="A170" s="1058" t="s">
        <v>868</v>
      </c>
      <c r="B170" s="1059">
        <v>0</v>
      </c>
      <c r="C170" s="1076"/>
      <c r="D170" s="1077"/>
      <c r="E170" s="1062">
        <f t="shared" si="18"/>
        <v>0</v>
      </c>
      <c r="H170" s="1166"/>
    </row>
    <row r="171" spans="1:8" x14ac:dyDescent="0.2">
      <c r="A171" s="1058" t="s">
        <v>869</v>
      </c>
      <c r="B171" s="1059">
        <v>0</v>
      </c>
      <c r="C171" s="1076"/>
      <c r="D171" s="1077"/>
      <c r="E171" s="1062">
        <f t="shared" si="18"/>
        <v>0</v>
      </c>
      <c r="H171" s="1166"/>
    </row>
    <row r="172" spans="1:8" x14ac:dyDescent="0.2">
      <c r="A172" s="1058" t="s">
        <v>870</v>
      </c>
      <c r="B172" s="1059">
        <v>0</v>
      </c>
      <c r="C172" s="1076"/>
      <c r="D172" s="1077"/>
      <c r="E172" s="1062">
        <f t="shared" si="18"/>
        <v>0</v>
      </c>
      <c r="H172" s="1167"/>
    </row>
    <row r="173" spans="1:8" x14ac:dyDescent="0.2">
      <c r="A173" s="1058" t="s">
        <v>871</v>
      </c>
      <c r="B173" s="1059">
        <v>0</v>
      </c>
      <c r="C173" s="1076"/>
      <c r="D173" s="1077"/>
      <c r="E173" s="1062">
        <f t="shared" si="18"/>
        <v>0</v>
      </c>
      <c r="F173" s="638">
        <f>D173+D175</f>
        <v>0</v>
      </c>
      <c r="H173" s="1072"/>
    </row>
    <row r="174" spans="1:8" ht="25.5" x14ac:dyDescent="0.2">
      <c r="A174" s="1080" t="s">
        <v>896</v>
      </c>
      <c r="B174" s="1059">
        <v>0</v>
      </c>
      <c r="C174" s="1076"/>
      <c r="D174" s="1077"/>
      <c r="E174" s="1062">
        <f t="shared" si="18"/>
        <v>0</v>
      </c>
      <c r="H174" s="1168"/>
    </row>
    <row r="175" spans="1:8" ht="25.5" x14ac:dyDescent="0.2">
      <c r="A175" s="1080" t="s">
        <v>875</v>
      </c>
      <c r="B175" s="1059">
        <v>0</v>
      </c>
      <c r="C175" s="1087"/>
      <c r="D175" s="1088"/>
      <c r="E175" s="1587">
        <f t="shared" si="18"/>
        <v>0</v>
      </c>
      <c r="H175" s="1166"/>
    </row>
    <row r="176" spans="1:8" ht="50.25" customHeight="1" x14ac:dyDescent="0.2">
      <c r="A176" s="1080" t="s">
        <v>1051</v>
      </c>
      <c r="B176" s="1063"/>
      <c r="C176" s="1089"/>
      <c r="D176" s="1077">
        <v>247456250</v>
      </c>
      <c r="E176" s="1062">
        <f t="shared" si="18"/>
        <v>247456250</v>
      </c>
      <c r="H176" s="1166"/>
    </row>
    <row r="177" spans="1:8" x14ac:dyDescent="0.2">
      <c r="A177" s="1064" t="s">
        <v>83</v>
      </c>
      <c r="B177" s="1065">
        <f>SUM(B169:B175)</f>
        <v>0</v>
      </c>
      <c r="C177" s="1091">
        <f>SUM(C169:C175)</f>
        <v>0</v>
      </c>
      <c r="D177" s="1091">
        <f>SUM(D169:D176)</f>
        <v>247456250</v>
      </c>
      <c r="E177" s="1091">
        <f>SUM(E169:E176)</f>
        <v>247456250</v>
      </c>
      <c r="H177" s="1166"/>
    </row>
    <row r="178" spans="1:8" x14ac:dyDescent="0.2">
      <c r="A178" s="1169"/>
      <c r="B178" s="1167"/>
      <c r="C178" s="1186"/>
      <c r="D178" s="1167"/>
      <c r="E178" s="1167"/>
      <c r="H178" s="1166"/>
    </row>
    <row r="179" spans="1:8" x14ac:dyDescent="0.2">
      <c r="C179" s="1094"/>
      <c r="H179" s="1166"/>
    </row>
    <row r="180" spans="1:8" x14ac:dyDescent="0.2">
      <c r="C180" s="1185"/>
      <c r="H180" s="1166"/>
    </row>
    <row r="181" spans="1:8" x14ac:dyDescent="0.2">
      <c r="B181" s="152" t="s">
        <v>1052</v>
      </c>
      <c r="C181" s="152"/>
      <c r="H181" s="1166"/>
    </row>
    <row r="182" spans="1:8" ht="42.75" customHeight="1" x14ac:dyDescent="0.2">
      <c r="A182" s="1046" t="s">
        <v>856</v>
      </c>
      <c r="B182" s="1726" t="s">
        <v>893</v>
      </c>
      <c r="C182" s="1726"/>
      <c r="D182" s="1726"/>
      <c r="E182" s="1726"/>
      <c r="H182" s="1166"/>
    </row>
    <row r="183" spans="1:8" x14ac:dyDescent="0.2">
      <c r="A183" s="1047"/>
      <c r="B183" s="1085"/>
      <c r="C183" s="1050"/>
      <c r="D183" s="1050"/>
      <c r="E183" s="1049"/>
      <c r="H183" s="1166"/>
    </row>
    <row r="184" spans="1:8" x14ac:dyDescent="0.2">
      <c r="A184" s="1047"/>
      <c r="B184" s="1048"/>
      <c r="C184" s="1052"/>
      <c r="D184" s="1052"/>
      <c r="E184" s="1051"/>
      <c r="H184" s="1166"/>
    </row>
    <row r="185" spans="1:8" ht="38.25" x14ac:dyDescent="0.2">
      <c r="A185" s="1053" t="s">
        <v>858</v>
      </c>
      <c r="B185" s="1073" t="s">
        <v>1053</v>
      </c>
      <c r="C185" s="1074" t="s">
        <v>861</v>
      </c>
      <c r="D185" s="1074" t="s">
        <v>1054</v>
      </c>
      <c r="E185" s="1057" t="s">
        <v>83</v>
      </c>
      <c r="H185" s="1166"/>
    </row>
    <row r="186" spans="1:8" x14ac:dyDescent="0.2">
      <c r="A186" s="1058" t="s">
        <v>862</v>
      </c>
      <c r="B186" s="1059"/>
      <c r="C186" s="1060">
        <v>7063771</v>
      </c>
      <c r="D186" s="1063">
        <f>1277000000-C186</f>
        <v>1269936229</v>
      </c>
      <c r="E186" s="1062">
        <f>SUM(B186:D186)</f>
        <v>1277000000</v>
      </c>
      <c r="H186" s="1166"/>
    </row>
    <row r="187" spans="1:8" x14ac:dyDescent="0.2">
      <c r="A187" s="1058" t="s">
        <v>863</v>
      </c>
      <c r="B187" s="1059"/>
      <c r="C187" s="1060"/>
      <c r="D187" s="1063"/>
      <c r="E187" s="1062">
        <f t="shared" ref="E187:E189" si="19">SUM(B187:D187)</f>
        <v>0</v>
      </c>
      <c r="H187" s="1166"/>
    </row>
    <row r="188" spans="1:8" x14ac:dyDescent="0.2">
      <c r="A188" s="1058" t="s">
        <v>864</v>
      </c>
      <c r="B188" s="1059"/>
      <c r="C188" s="1060"/>
      <c r="D188" s="1063">
        <v>302104708</v>
      </c>
      <c r="E188" s="1062">
        <f t="shared" si="19"/>
        <v>302104708</v>
      </c>
      <c r="H188" s="1166"/>
    </row>
    <row r="189" spans="1:8" ht="25.5" x14ac:dyDescent="0.2">
      <c r="A189" s="1080" t="s">
        <v>875</v>
      </c>
      <c r="B189" s="1059"/>
      <c r="C189" s="1060">
        <f>C196+C200</f>
        <v>215181</v>
      </c>
      <c r="D189" s="1060">
        <f>D196+D200</f>
        <v>6668594</v>
      </c>
      <c r="E189" s="1062">
        <f t="shared" si="19"/>
        <v>6883775</v>
      </c>
      <c r="H189" s="1166"/>
    </row>
    <row r="190" spans="1:8" x14ac:dyDescent="0.2">
      <c r="A190" s="1064" t="s">
        <v>83</v>
      </c>
      <c r="B190" s="1065">
        <f>SUM(B186:B189)</f>
        <v>0</v>
      </c>
      <c r="C190" s="1065">
        <f>SUM(C186:C189)</f>
        <v>7278952</v>
      </c>
      <c r="D190" s="1065">
        <f t="shared" ref="D190" si="20">SUM(D186:D189)</f>
        <v>1578709531</v>
      </c>
      <c r="E190" s="1065">
        <f>SUM(E186:E189)</f>
        <v>1585988483</v>
      </c>
      <c r="F190" s="638">
        <f>E190-E189</f>
        <v>1579104708</v>
      </c>
      <c r="H190" s="1166"/>
    </row>
    <row r="191" spans="1:8" x14ac:dyDescent="0.2">
      <c r="A191" s="1068"/>
      <c r="B191" s="1069"/>
      <c r="C191" s="1070"/>
      <c r="D191" s="1071"/>
      <c r="E191" s="1072"/>
      <c r="H191" s="1166"/>
    </row>
    <row r="192" spans="1:8" ht="38.25" x14ac:dyDescent="0.2">
      <c r="A192" s="1053" t="s">
        <v>865</v>
      </c>
      <c r="B192" s="1073" t="s">
        <v>1053</v>
      </c>
      <c r="C192" s="1055" t="s">
        <v>861</v>
      </c>
      <c r="D192" s="1074" t="s">
        <v>1054</v>
      </c>
      <c r="E192" s="1075" t="s">
        <v>83</v>
      </c>
      <c r="H192" s="1166"/>
    </row>
    <row r="193" spans="1:8" x14ac:dyDescent="0.2">
      <c r="A193" s="1080" t="s">
        <v>876</v>
      </c>
      <c r="B193" s="1059">
        <v>0</v>
      </c>
      <c r="C193" s="1076">
        <f>152381+232633</f>
        <v>385014</v>
      </c>
      <c r="D193" s="1077">
        <f>21630000-C193</f>
        <v>21244986</v>
      </c>
      <c r="E193" s="1062">
        <f t="shared" ref="E193:E200" si="21">SUM(B193:D193)</f>
        <v>21630000</v>
      </c>
      <c r="F193" s="638">
        <f>'5.tábla (2)'!D11+'5.tábla (2)'!D62</f>
        <v>385014</v>
      </c>
      <c r="H193" s="1166"/>
    </row>
    <row r="194" spans="1:8" ht="25.5" x14ac:dyDescent="0.2">
      <c r="A194" s="1058" t="s">
        <v>868</v>
      </c>
      <c r="B194" s="1059">
        <v>0</v>
      </c>
      <c r="C194" s="1076">
        <f>23619+36058</f>
        <v>59677</v>
      </c>
      <c r="D194" s="1077">
        <f>3352650-C194</f>
        <v>3292973</v>
      </c>
      <c r="E194" s="1062">
        <f t="shared" si="21"/>
        <v>3352650</v>
      </c>
      <c r="F194" s="638">
        <f>'5.tábla (2)'!D21+'5.tábla (2)'!D75</f>
        <v>59677</v>
      </c>
      <c r="H194" s="1166"/>
    </row>
    <row r="195" spans="1:8" x14ac:dyDescent="0.2">
      <c r="A195" s="1058" t="s">
        <v>869</v>
      </c>
      <c r="B195" s="1059">
        <v>0</v>
      </c>
      <c r="C195" s="1076">
        <f>6887771-232633-36058</f>
        <v>6619080</v>
      </c>
      <c r="D195" s="1077">
        <f>17363366-C195</f>
        <v>10744286</v>
      </c>
      <c r="E195" s="1062">
        <f t="shared" si="21"/>
        <v>17363366</v>
      </c>
      <c r="F195" s="638">
        <f>'5.tábla (2)'!D98</f>
        <v>6834261</v>
      </c>
      <c r="H195" s="1166"/>
    </row>
    <row r="196" spans="1:8" ht="25.5" x14ac:dyDescent="0.2">
      <c r="A196" s="1080" t="s">
        <v>875</v>
      </c>
      <c r="B196" s="1059"/>
      <c r="C196" s="1076">
        <f>287728-72547</f>
        <v>215181</v>
      </c>
      <c r="D196" s="1077"/>
      <c r="E196" s="1062">
        <f t="shared" si="21"/>
        <v>215181</v>
      </c>
      <c r="F196" s="638"/>
      <c r="H196" s="1166"/>
    </row>
    <row r="197" spans="1:8" x14ac:dyDescent="0.2">
      <c r="A197" s="1058" t="s">
        <v>870</v>
      </c>
      <c r="B197" s="1059">
        <v>0</v>
      </c>
      <c r="C197" s="1076"/>
      <c r="D197" s="1077">
        <v>148679404</v>
      </c>
      <c r="E197" s="1062">
        <f t="shared" si="21"/>
        <v>148679404</v>
      </c>
      <c r="H197" s="1166"/>
    </row>
    <row r="198" spans="1:8" x14ac:dyDescent="0.2">
      <c r="A198" s="1058" t="s">
        <v>871</v>
      </c>
      <c r="B198" s="1059">
        <v>0</v>
      </c>
      <c r="C198" s="1076"/>
      <c r="D198" s="1077">
        <f>1536758692-D197</f>
        <v>1388079288</v>
      </c>
      <c r="E198" s="1062">
        <f t="shared" si="21"/>
        <v>1388079288</v>
      </c>
      <c r="H198" s="1166"/>
    </row>
    <row r="199" spans="1:8" ht="25.5" x14ac:dyDescent="0.2">
      <c r="A199" s="1080" t="s">
        <v>896</v>
      </c>
      <c r="B199" s="1059">
        <v>0</v>
      </c>
      <c r="C199" s="1076"/>
      <c r="D199" s="1077"/>
      <c r="E199" s="1062">
        <f t="shared" si="21"/>
        <v>0</v>
      </c>
      <c r="H199" s="1166"/>
    </row>
    <row r="200" spans="1:8" ht="25.5" x14ac:dyDescent="0.2">
      <c r="A200" s="1080" t="s">
        <v>875</v>
      </c>
      <c r="B200" s="1059">
        <v>0</v>
      </c>
      <c r="C200" s="1076"/>
      <c r="D200" s="1077">
        <v>6668594</v>
      </c>
      <c r="E200" s="1062">
        <f t="shared" si="21"/>
        <v>6668594</v>
      </c>
      <c r="H200" s="1166"/>
    </row>
    <row r="201" spans="1:8" x14ac:dyDescent="0.2">
      <c r="A201" s="1064" t="s">
        <v>83</v>
      </c>
      <c r="B201" s="1065">
        <f>SUM(B193:B200)</f>
        <v>0</v>
      </c>
      <c r="C201" s="1065">
        <f>SUM(C193:C200)</f>
        <v>7278952</v>
      </c>
      <c r="D201" s="1065">
        <f>SUM(D193:D200)</f>
        <v>1578709531</v>
      </c>
      <c r="E201" s="1065">
        <f>SUM(E193:E200)</f>
        <v>1585988483</v>
      </c>
      <c r="F201" s="638">
        <f>E201-C196-D200</f>
        <v>1579104708</v>
      </c>
      <c r="H201" s="1166"/>
    </row>
    <row r="202" spans="1:8" x14ac:dyDescent="0.2">
      <c r="C202" s="1185"/>
      <c r="H202" s="1166"/>
    </row>
    <row r="203" spans="1:8" x14ac:dyDescent="0.2">
      <c r="C203" s="1185"/>
      <c r="H203" s="1166"/>
    </row>
    <row r="204" spans="1:8" ht="38.25" customHeight="1" x14ac:dyDescent="0.2">
      <c r="B204" s="152" t="s">
        <v>899</v>
      </c>
      <c r="C204" s="1185"/>
      <c r="H204" s="1166"/>
    </row>
    <row r="205" spans="1:8" ht="25.5" customHeight="1" x14ac:dyDescent="0.2">
      <c r="A205" s="1046" t="s">
        <v>856</v>
      </c>
      <c r="B205" s="1727" t="s">
        <v>900</v>
      </c>
      <c r="C205" s="1727"/>
      <c r="D205" s="1727"/>
      <c r="E205" s="1727"/>
      <c r="H205" s="1166"/>
    </row>
    <row r="206" spans="1:8" x14ac:dyDescent="0.2">
      <c r="A206" s="1047"/>
      <c r="B206" s="1048"/>
      <c r="C206" s="1050"/>
      <c r="D206" s="1050"/>
      <c r="E206" s="1049"/>
      <c r="H206" s="1167"/>
    </row>
    <row r="207" spans="1:8" x14ac:dyDescent="0.2">
      <c r="A207" s="1047"/>
      <c r="B207" s="1048"/>
      <c r="C207" s="1052"/>
      <c r="D207" s="1052"/>
      <c r="E207" s="1051"/>
      <c r="H207" s="1164"/>
    </row>
    <row r="208" spans="1:8" x14ac:dyDescent="0.2">
      <c r="A208" s="1053" t="s">
        <v>858</v>
      </c>
      <c r="B208" s="1073" t="s">
        <v>897</v>
      </c>
      <c r="C208" s="1055" t="s">
        <v>859</v>
      </c>
      <c r="D208" s="1095" t="s">
        <v>860</v>
      </c>
      <c r="E208" s="1075" t="s">
        <v>861</v>
      </c>
      <c r="F208" s="1075" t="s">
        <v>83</v>
      </c>
      <c r="H208" s="1164"/>
    </row>
    <row r="209" spans="1:8" x14ac:dyDescent="0.2">
      <c r="A209" s="1058" t="s">
        <v>862</v>
      </c>
      <c r="B209" s="1059">
        <v>76775000</v>
      </c>
      <c r="C209" s="1059"/>
      <c r="D209" s="1059"/>
      <c r="E209" s="1060"/>
      <c r="F209" s="1060">
        <f>SUM(B209:E209)</f>
        <v>76775000</v>
      </c>
      <c r="H209" s="1164"/>
    </row>
    <row r="210" spans="1:8" x14ac:dyDescent="0.2">
      <c r="A210" s="1058" t="s">
        <v>863</v>
      </c>
      <c r="B210" s="1059"/>
      <c r="C210" s="1059"/>
      <c r="D210" s="1059"/>
      <c r="E210" s="1060">
        <f t="shared" ref="E210:F211" si="22">SUM(B210:D210)</f>
        <v>0</v>
      </c>
      <c r="F210" s="1060">
        <f t="shared" si="22"/>
        <v>0</v>
      </c>
      <c r="H210" s="1164"/>
    </row>
    <row r="211" spans="1:8" x14ac:dyDescent="0.2">
      <c r="A211" s="1058" t="s">
        <v>864</v>
      </c>
      <c r="B211" s="1059">
        <v>0</v>
      </c>
      <c r="C211" s="1059"/>
      <c r="D211" s="1059"/>
      <c r="E211" s="1060">
        <f t="shared" si="22"/>
        <v>0</v>
      </c>
      <c r="F211" s="1060">
        <f t="shared" si="22"/>
        <v>0</v>
      </c>
      <c r="H211" s="1164"/>
    </row>
    <row r="212" spans="1:8" x14ac:dyDescent="0.2">
      <c r="A212" s="1064" t="s">
        <v>83</v>
      </c>
      <c r="B212" s="1065">
        <f>SUM(B209:B211)</f>
        <v>76775000</v>
      </c>
      <c r="C212" s="1065">
        <f>SUM(C209:C211)</f>
        <v>0</v>
      </c>
      <c r="D212" s="1065">
        <f>SUM(D209:D211)</f>
        <v>0</v>
      </c>
      <c r="E212" s="1065">
        <f>SUM(E209:E211)</f>
        <v>0</v>
      </c>
      <c r="F212" s="1065">
        <f>SUM(F209:F211)</f>
        <v>76775000</v>
      </c>
    </row>
    <row r="213" spans="1:8" x14ac:dyDescent="0.2">
      <c r="A213" s="1068"/>
      <c r="B213" s="1069"/>
      <c r="C213" s="1069"/>
      <c r="D213" s="1069"/>
      <c r="E213" s="1070"/>
      <c r="F213" s="1070"/>
    </row>
    <row r="214" spans="1:8" ht="38.25" x14ac:dyDescent="0.2">
      <c r="A214" s="1053" t="s">
        <v>865</v>
      </c>
      <c r="B214" s="1073" t="s">
        <v>889</v>
      </c>
      <c r="C214" s="1073" t="s">
        <v>866</v>
      </c>
      <c r="D214" s="1074" t="s">
        <v>931</v>
      </c>
      <c r="E214" s="1075" t="s">
        <v>861</v>
      </c>
      <c r="F214" s="1075" t="s">
        <v>83</v>
      </c>
    </row>
    <row r="215" spans="1:8" x14ac:dyDescent="0.2">
      <c r="A215" s="1058" t="s">
        <v>898</v>
      </c>
      <c r="B215" s="1059">
        <v>1652672</v>
      </c>
      <c r="C215" s="1059">
        <v>6524784</v>
      </c>
      <c r="D215" s="1059">
        <v>7683015</v>
      </c>
      <c r="E215" s="1060">
        <f>'5.tábla (2)'!D13+'5.tábla (2)'!D56</f>
        <v>6376992</v>
      </c>
      <c r="F215" s="1060">
        <f>SUM(B215:E215)</f>
        <v>22237463</v>
      </c>
      <c r="G215" s="638">
        <f>'5.tábla (2)'!D13+'5.tábla (2)'!D56</f>
        <v>6376992</v>
      </c>
    </row>
    <row r="216" spans="1:8" ht="25.5" x14ac:dyDescent="0.2">
      <c r="A216" s="1058" t="s">
        <v>868</v>
      </c>
      <c r="B216" s="1059">
        <v>363388</v>
      </c>
      <c r="C216" s="1059">
        <v>1218459</v>
      </c>
      <c r="D216" s="1059">
        <v>1358402</v>
      </c>
      <c r="E216" s="1060">
        <f>'5.tábla (2)'!D23+'5.tábla (2)'!D69</f>
        <v>1307815</v>
      </c>
      <c r="F216" s="1060">
        <f t="shared" ref="F216:F219" si="23">SUM(B216:E216)</f>
        <v>4248064</v>
      </c>
      <c r="G216" s="638">
        <f>'5.tábla (2)'!D23+'5.tábla (2)'!D69</f>
        <v>1307815</v>
      </c>
    </row>
    <row r="217" spans="1:8" x14ac:dyDescent="0.2">
      <c r="A217" s="1058" t="s">
        <v>869</v>
      </c>
      <c r="B217" s="1059">
        <v>22595500</v>
      </c>
      <c r="C217" s="1059">
        <v>293634</v>
      </c>
      <c r="D217" s="1059">
        <v>6428094</v>
      </c>
      <c r="E217" s="1060">
        <f>'5.tábla (2)'!D101</f>
        <v>20127245</v>
      </c>
      <c r="F217" s="1060">
        <f t="shared" si="23"/>
        <v>49444473</v>
      </c>
      <c r="G217" s="638">
        <f>'5.tábla (2)'!D101</f>
        <v>20127245</v>
      </c>
      <c r="H217" s="638"/>
    </row>
    <row r="218" spans="1:8" x14ac:dyDescent="0.2">
      <c r="A218" s="1058" t="s">
        <v>870</v>
      </c>
      <c r="B218" s="1059"/>
      <c r="C218" s="1059"/>
      <c r="D218" s="1059"/>
      <c r="E218" s="1060">
        <f>SUM(B218:D218)</f>
        <v>0</v>
      </c>
      <c r="F218" s="1060">
        <f t="shared" si="23"/>
        <v>0</v>
      </c>
    </row>
    <row r="219" spans="1:8" x14ac:dyDescent="0.2">
      <c r="A219" s="1058" t="s">
        <v>871</v>
      </c>
      <c r="B219" s="1059"/>
      <c r="C219" s="1059"/>
      <c r="D219" s="1059">
        <v>845000</v>
      </c>
      <c r="E219" s="1060"/>
      <c r="F219" s="1060">
        <f t="shared" si="23"/>
        <v>845000</v>
      </c>
    </row>
    <row r="220" spans="1:8" x14ac:dyDescent="0.2">
      <c r="A220" s="1064" t="s">
        <v>83</v>
      </c>
      <c r="B220" s="1065">
        <f>SUM(B215:B219)</f>
        <v>24611560</v>
      </c>
      <c r="C220" s="1065">
        <f>SUM(C215:C219)</f>
        <v>8036877</v>
      </c>
      <c r="D220" s="1065">
        <f>SUM(D215:D219)</f>
        <v>16314511</v>
      </c>
      <c r="E220" s="1065">
        <f>SUM(E215:E219)</f>
        <v>27812052</v>
      </c>
      <c r="F220" s="1065">
        <f>SUM(F215:F219)</f>
        <v>76775000</v>
      </c>
    </row>
    <row r="221" spans="1:8" x14ac:dyDescent="0.2">
      <c r="A221" s="1169"/>
      <c r="B221" s="1167"/>
      <c r="C221" s="1167"/>
      <c r="D221" s="1167"/>
      <c r="E221" s="1167"/>
    </row>
    <row r="222" spans="1:8" x14ac:dyDescent="0.2">
      <c r="A222" s="1169"/>
      <c r="B222" s="1167"/>
      <c r="C222" s="1167"/>
      <c r="D222" s="1167"/>
      <c r="E222" s="1167"/>
    </row>
    <row r="227" spans="1:5" x14ac:dyDescent="0.2">
      <c r="A227" s="1041"/>
      <c r="B227" s="1043" t="s">
        <v>901</v>
      </c>
      <c r="C227" s="1044"/>
      <c r="D227" s="1045"/>
    </row>
    <row r="228" spans="1:5" ht="25.5" x14ac:dyDescent="0.2">
      <c r="A228" s="1046" t="s">
        <v>856</v>
      </c>
      <c r="B228" s="1727" t="s">
        <v>902</v>
      </c>
      <c r="C228" s="1727"/>
      <c r="D228" s="1727"/>
      <c r="E228" s="1727"/>
    </row>
    <row r="229" spans="1:5" x14ac:dyDescent="0.2">
      <c r="A229" s="1047"/>
      <c r="B229" s="1727"/>
      <c r="C229" s="1727"/>
      <c r="D229" s="1727"/>
      <c r="E229" s="1727"/>
    </row>
    <row r="230" spans="1:5" x14ac:dyDescent="0.2">
      <c r="A230" s="1047"/>
      <c r="B230" s="1048"/>
      <c r="C230" s="1051"/>
      <c r="D230" s="1052"/>
    </row>
    <row r="231" spans="1:5" x14ac:dyDescent="0.2">
      <c r="A231" s="1053" t="s">
        <v>858</v>
      </c>
      <c r="B231" s="1054" t="s">
        <v>859</v>
      </c>
      <c r="C231" s="1055" t="s">
        <v>860</v>
      </c>
      <c r="D231" s="1056" t="s">
        <v>861</v>
      </c>
      <c r="E231" s="1057" t="s">
        <v>83</v>
      </c>
    </row>
    <row r="232" spans="1:5" x14ac:dyDescent="0.2">
      <c r="A232" s="1058" t="s">
        <v>862</v>
      </c>
      <c r="B232" s="1059">
        <v>1135929178</v>
      </c>
      <c r="C232" s="1060">
        <v>0</v>
      </c>
      <c r="D232" s="1063">
        <v>1703893767</v>
      </c>
      <c r="E232" s="1062">
        <f>SUM(B232:D232)</f>
        <v>2839822945</v>
      </c>
    </row>
    <row r="233" spans="1:5" x14ac:dyDescent="0.2">
      <c r="A233" s="1058" t="s">
        <v>863</v>
      </c>
      <c r="B233" s="1059"/>
      <c r="C233" s="1060"/>
      <c r="D233" s="1063"/>
      <c r="E233" s="1062">
        <f t="shared" ref="E233:E234" si="24">SUM(B233:D233)</f>
        <v>0</v>
      </c>
    </row>
    <row r="234" spans="1:5" x14ac:dyDescent="0.2">
      <c r="A234" s="1058" t="s">
        <v>864</v>
      </c>
      <c r="B234" s="1059"/>
      <c r="C234" s="1060"/>
      <c r="D234" s="1063">
        <v>71846667</v>
      </c>
      <c r="E234" s="1062">
        <f t="shared" si="24"/>
        <v>71846667</v>
      </c>
    </row>
    <row r="235" spans="1:5" ht="25.5" x14ac:dyDescent="0.2">
      <c r="A235" s="1080" t="s">
        <v>875</v>
      </c>
      <c r="B235" s="1059"/>
      <c r="C235" s="1060">
        <v>0</v>
      </c>
      <c r="D235" s="1063">
        <f>D242+D245</f>
        <v>58557703</v>
      </c>
      <c r="E235" s="1062">
        <f>SUM(B235:D235)</f>
        <v>58557703</v>
      </c>
    </row>
    <row r="236" spans="1:5" x14ac:dyDescent="0.2">
      <c r="A236" s="1064" t="s">
        <v>83</v>
      </c>
      <c r="B236" s="1065">
        <f>SUM(B232:B235)</f>
        <v>1135929178</v>
      </c>
      <c r="C236" s="1065">
        <f>SUM(C232:C235)</f>
        <v>0</v>
      </c>
      <c r="D236" s="1065">
        <f>SUM(D232:D235)</f>
        <v>1834298137</v>
      </c>
      <c r="E236" s="1065">
        <f>SUM(E232:E235)</f>
        <v>2970227315</v>
      </c>
    </row>
    <row r="237" spans="1:5" x14ac:dyDescent="0.2">
      <c r="A237" s="1068"/>
      <c r="B237" s="1069"/>
      <c r="C237" s="1070"/>
      <c r="D237" s="1071"/>
      <c r="E237" s="1072"/>
    </row>
    <row r="238" spans="1:5" ht="38.25" x14ac:dyDescent="0.2">
      <c r="A238" s="1053" t="s">
        <v>865</v>
      </c>
      <c r="B238" s="1073" t="s">
        <v>866</v>
      </c>
      <c r="C238" s="1074" t="s">
        <v>931</v>
      </c>
      <c r="D238" s="1057" t="s">
        <v>861</v>
      </c>
      <c r="E238" s="1075" t="s">
        <v>83</v>
      </c>
    </row>
    <row r="239" spans="1:5" x14ac:dyDescent="0.2">
      <c r="A239" s="1080" t="s">
        <v>876</v>
      </c>
      <c r="B239" s="1059"/>
      <c r="C239" s="1076"/>
      <c r="D239" s="1077"/>
      <c r="E239" s="1062">
        <f>B239+C239</f>
        <v>0</v>
      </c>
    </row>
    <row r="240" spans="1:5" ht="25.5" x14ac:dyDescent="0.2">
      <c r="A240" s="1058" t="s">
        <v>868</v>
      </c>
      <c r="B240" s="1059"/>
      <c r="C240" s="1076"/>
      <c r="D240" s="1077"/>
      <c r="E240" s="1062">
        <f>B240+C240</f>
        <v>0</v>
      </c>
    </row>
    <row r="241" spans="1:6" x14ac:dyDescent="0.2">
      <c r="A241" s="1058" t="s">
        <v>869</v>
      </c>
      <c r="B241" s="1059"/>
      <c r="C241" s="1076"/>
      <c r="D241" s="1077">
        <v>11610380</v>
      </c>
      <c r="E241" s="1062">
        <f>SUM(B241:D241)</f>
        <v>11610380</v>
      </c>
      <c r="F241" s="638">
        <f>'5.tábla (2)'!D112</f>
        <v>14661483</v>
      </c>
    </row>
    <row r="242" spans="1:6" x14ac:dyDescent="0.2">
      <c r="A242" s="1058"/>
      <c r="B242" s="1059"/>
      <c r="C242" s="1076"/>
      <c r="D242" s="1077">
        <f>3051103</f>
        <v>3051103</v>
      </c>
      <c r="E242" s="1062">
        <f>SUM(B242:D242)</f>
        <v>3051103</v>
      </c>
    </row>
    <row r="243" spans="1:6" x14ac:dyDescent="0.2">
      <c r="A243" s="1058" t="s">
        <v>870</v>
      </c>
      <c r="B243" s="1059"/>
      <c r="C243" s="1076"/>
      <c r="D243" s="1077"/>
      <c r="E243" s="1062">
        <f>SUM(B243:D243)</f>
        <v>0</v>
      </c>
    </row>
    <row r="244" spans="1:6" x14ac:dyDescent="0.2">
      <c r="A244" s="1058" t="s">
        <v>871</v>
      </c>
      <c r="B244" s="1059"/>
      <c r="C244" s="1076"/>
      <c r="D244" s="1077">
        <f>2828212565+71846667</f>
        <v>2900059232</v>
      </c>
      <c r="E244" s="1062">
        <f>SUM(B244:D244)</f>
        <v>2900059232</v>
      </c>
      <c r="F244" s="638">
        <f>'7. sz. tábla 1'!D140</f>
        <v>2955565832</v>
      </c>
    </row>
    <row r="245" spans="1:6" ht="25.5" x14ac:dyDescent="0.2">
      <c r="A245" s="1080" t="s">
        <v>875</v>
      </c>
      <c r="B245" s="1059"/>
      <c r="C245" s="1076"/>
      <c r="D245" s="1077">
        <f>36108000+19398600</f>
        <v>55506600</v>
      </c>
      <c r="E245" s="1062">
        <f>SUM(B245:D245)</f>
        <v>55506600</v>
      </c>
      <c r="F245" s="638">
        <f>SUM(D244:D245)</f>
        <v>2955565832</v>
      </c>
    </row>
    <row r="246" spans="1:6" x14ac:dyDescent="0.2">
      <c r="A246" s="1064" t="s">
        <v>83</v>
      </c>
      <c r="B246" s="1065">
        <f>SUM(B239:B245)</f>
        <v>0</v>
      </c>
      <c r="C246" s="1065">
        <f>SUM(C239:C245)</f>
        <v>0</v>
      </c>
      <c r="D246" s="1065">
        <f>SUM(D239:D245)</f>
        <v>2970227315</v>
      </c>
      <c r="E246" s="1065">
        <f>SUM(E239:E245)</f>
        <v>2970227315</v>
      </c>
    </row>
    <row r="249" spans="1:6" x14ac:dyDescent="0.2">
      <c r="A249" s="1041"/>
      <c r="B249" s="1043"/>
      <c r="C249" s="1044"/>
      <c r="D249" s="1045"/>
    </row>
    <row r="250" spans="1:6" ht="25.5" customHeight="1" x14ac:dyDescent="0.2">
      <c r="A250" s="1046"/>
      <c r="B250" s="1727"/>
      <c r="C250" s="1727"/>
      <c r="D250" s="1727"/>
      <c r="E250" s="1727"/>
    </row>
    <row r="251" spans="1:6" x14ac:dyDescent="0.2">
      <c r="A251" s="1047"/>
      <c r="B251" s="1221"/>
      <c r="C251" s="1221"/>
      <c r="D251" s="1221"/>
      <c r="E251" s="1221"/>
    </row>
    <row r="252" spans="1:6" x14ac:dyDescent="0.2">
      <c r="A252" s="1047"/>
      <c r="B252" s="1043" t="s">
        <v>903</v>
      </c>
      <c r="C252" s="1524"/>
      <c r="D252" s="1524"/>
      <c r="E252" s="1524"/>
    </row>
    <row r="253" spans="1:6" ht="25.5" x14ac:dyDescent="0.2">
      <c r="A253" s="1046" t="s">
        <v>856</v>
      </c>
      <c r="B253" s="1727" t="s">
        <v>904</v>
      </c>
      <c r="C253" s="1727"/>
      <c r="D253" s="1727"/>
      <c r="E253" s="1727"/>
    </row>
    <row r="254" spans="1:6" x14ac:dyDescent="0.2">
      <c r="A254" s="1047"/>
      <c r="B254" s="1048"/>
      <c r="C254" s="1051"/>
      <c r="D254" s="1052"/>
    </row>
    <row r="255" spans="1:6" x14ac:dyDescent="0.2">
      <c r="A255" s="1053" t="s">
        <v>858</v>
      </c>
      <c r="B255" s="1054" t="s">
        <v>859</v>
      </c>
      <c r="C255" s="1055" t="s">
        <v>860</v>
      </c>
      <c r="D255" s="1056" t="s">
        <v>861</v>
      </c>
      <c r="E255" s="1057" t="s">
        <v>83</v>
      </c>
      <c r="F255" s="638"/>
    </row>
    <row r="256" spans="1:6" x14ac:dyDescent="0.2">
      <c r="A256" s="1058" t="s">
        <v>862</v>
      </c>
      <c r="B256" s="1059">
        <v>143306680</v>
      </c>
      <c r="C256" s="1060">
        <v>0</v>
      </c>
      <c r="D256" s="1063">
        <v>214959990</v>
      </c>
      <c r="E256" s="1062">
        <f>SUM(B256:D256)</f>
        <v>358266670</v>
      </c>
      <c r="F256" s="638"/>
    </row>
    <row r="257" spans="1:7" x14ac:dyDescent="0.2">
      <c r="A257" s="1058" t="s">
        <v>863</v>
      </c>
      <c r="B257" s="1059"/>
      <c r="C257" s="1060"/>
      <c r="D257" s="1063"/>
      <c r="E257" s="1062">
        <f>B257+C257</f>
        <v>0</v>
      </c>
      <c r="F257" s="638"/>
    </row>
    <row r="258" spans="1:7" x14ac:dyDescent="0.2">
      <c r="A258" s="1058" t="s">
        <v>864</v>
      </c>
      <c r="B258" s="1059"/>
      <c r="C258" s="1060"/>
      <c r="D258" s="1063"/>
      <c r="E258" s="1062">
        <f>B258+C258</f>
        <v>0</v>
      </c>
      <c r="F258" s="638"/>
    </row>
    <row r="259" spans="1:7" ht="25.5" x14ac:dyDescent="0.2">
      <c r="A259" s="1080" t="s">
        <v>875</v>
      </c>
      <c r="B259" s="1059"/>
      <c r="C259" s="1060"/>
      <c r="D259" s="1063">
        <f>D266+D270</f>
        <v>3060000</v>
      </c>
      <c r="E259" s="1062">
        <f>SUM(B259:D259)</f>
        <v>3060000</v>
      </c>
      <c r="F259" s="638"/>
    </row>
    <row r="260" spans="1:7" x14ac:dyDescent="0.2">
      <c r="A260" s="1064" t="s">
        <v>83</v>
      </c>
      <c r="B260" s="1065">
        <f>SUM(B256:B259)</f>
        <v>143306680</v>
      </c>
      <c r="C260" s="1065">
        <f>SUM(C256:C259)</f>
        <v>0</v>
      </c>
      <c r="D260" s="1065">
        <f>SUM(D256:D259)</f>
        <v>218019990</v>
      </c>
      <c r="E260" s="1065">
        <f>SUM(E256:E259)</f>
        <v>361326670</v>
      </c>
      <c r="F260" s="638"/>
    </row>
    <row r="261" spans="1:7" x14ac:dyDescent="0.2">
      <c r="A261" s="1068"/>
      <c r="B261" s="1069"/>
      <c r="C261" s="1070"/>
      <c r="D261" s="1071"/>
      <c r="E261" s="1072"/>
      <c r="F261" s="638"/>
    </row>
    <row r="262" spans="1:7" ht="38.25" x14ac:dyDescent="0.2">
      <c r="A262" s="1053" t="s">
        <v>865</v>
      </c>
      <c r="B262" s="1073" t="s">
        <v>866</v>
      </c>
      <c r="C262" s="1074" t="s">
        <v>931</v>
      </c>
      <c r="D262" s="1057" t="s">
        <v>861</v>
      </c>
      <c r="E262" s="1075" t="s">
        <v>83</v>
      </c>
      <c r="F262" s="638"/>
    </row>
    <row r="263" spans="1:7" x14ac:dyDescent="0.2">
      <c r="A263" s="1080" t="s">
        <v>876</v>
      </c>
      <c r="B263" s="1059"/>
      <c r="C263" s="1076"/>
      <c r="D263" s="1077"/>
      <c r="E263" s="1062">
        <f>B263+C263</f>
        <v>0</v>
      </c>
      <c r="F263" s="638"/>
    </row>
    <row r="264" spans="1:7" ht="25.5" x14ac:dyDescent="0.2">
      <c r="A264" s="1058" t="s">
        <v>868</v>
      </c>
      <c r="B264" s="1059"/>
      <c r="C264" s="1076"/>
      <c r="D264" s="1077"/>
      <c r="E264" s="1062">
        <f>B264+C264</f>
        <v>0</v>
      </c>
      <c r="F264" s="638"/>
    </row>
    <row r="265" spans="1:7" x14ac:dyDescent="0.2">
      <c r="A265" s="1058" t="s">
        <v>869</v>
      </c>
      <c r="B265" s="1059"/>
      <c r="C265" s="1076">
        <v>0</v>
      </c>
      <c r="D265" s="1170">
        <v>4177670</v>
      </c>
      <c r="E265" s="1062">
        <f>SUM(B265:D265)</f>
        <v>4177670</v>
      </c>
      <c r="F265" s="686">
        <f>'5.tábla (2)'!D111</f>
        <v>4636670</v>
      </c>
      <c r="G265" s="638">
        <f>SUM(D265:D266)</f>
        <v>4636670</v>
      </c>
    </row>
    <row r="266" spans="1:7" ht="25.5" x14ac:dyDescent="0.2">
      <c r="A266" s="1080" t="s">
        <v>875</v>
      </c>
      <c r="B266" s="1059"/>
      <c r="C266" s="1076"/>
      <c r="D266" s="1170">
        <f>3060000-D270</f>
        <v>459000</v>
      </c>
      <c r="E266" s="1062">
        <f>SUM(B266:D266)</f>
        <v>459000</v>
      </c>
      <c r="F266" s="686"/>
    </row>
    <row r="267" spans="1:7" x14ac:dyDescent="0.2">
      <c r="A267" s="1058" t="s">
        <v>870</v>
      </c>
      <c r="B267" s="1059"/>
      <c r="C267" s="1076"/>
      <c r="D267" s="1170"/>
      <c r="E267" s="1062">
        <f t="shared" ref="E267:E270" si="25">SUM(B267:D267)</f>
        <v>0</v>
      </c>
      <c r="F267" s="686"/>
    </row>
    <row r="268" spans="1:7" x14ac:dyDescent="0.2">
      <c r="A268" s="1058" t="s">
        <v>871</v>
      </c>
      <c r="B268" s="1059"/>
      <c r="C268" s="1076">
        <v>0</v>
      </c>
      <c r="D268" s="1170">
        <v>318989000</v>
      </c>
      <c r="E268" s="1062">
        <f t="shared" si="25"/>
        <v>318989000</v>
      </c>
      <c r="F268" s="686">
        <f>'7. sz. tábla 1'!D77</f>
        <v>321590000</v>
      </c>
      <c r="G268" s="638">
        <f>D268+D270</f>
        <v>321590000</v>
      </c>
    </row>
    <row r="269" spans="1:7" ht="25.5" x14ac:dyDescent="0.2">
      <c r="A269" s="1080" t="s">
        <v>896</v>
      </c>
      <c r="B269" s="1059"/>
      <c r="C269" s="1076"/>
      <c r="D269" s="1170">
        <v>35100000</v>
      </c>
      <c r="E269" s="1062">
        <f t="shared" si="25"/>
        <v>35100000</v>
      </c>
      <c r="F269" s="686"/>
    </row>
    <row r="270" spans="1:7" ht="25.5" x14ac:dyDescent="0.2">
      <c r="A270" s="1080" t="s">
        <v>875</v>
      </c>
      <c r="B270" s="1059"/>
      <c r="C270" s="1076">
        <v>0</v>
      </c>
      <c r="D270" s="1170">
        <v>2601000</v>
      </c>
      <c r="E270" s="1062">
        <f t="shared" si="25"/>
        <v>2601000</v>
      </c>
      <c r="F270" s="686"/>
    </row>
    <row r="271" spans="1:7" x14ac:dyDescent="0.2">
      <c r="A271" s="1064" t="s">
        <v>83</v>
      </c>
      <c r="B271" s="1065">
        <f>SUM(B263:B270)</f>
        <v>0</v>
      </c>
      <c r="C271" s="1065">
        <f>SUM(C263:C270)</f>
        <v>0</v>
      </c>
      <c r="D271" s="1066">
        <f>SUM(D263:D270)</f>
        <v>361326670</v>
      </c>
      <c r="E271" s="1078">
        <f>SUM(E263:E270)</f>
        <v>361326670</v>
      </c>
      <c r="F271" s="1167"/>
    </row>
    <row r="274" spans="1:7" ht="25.5" customHeight="1" x14ac:dyDescent="0.2">
      <c r="A274" s="1041"/>
      <c r="B274" s="1043" t="s">
        <v>905</v>
      </c>
      <c r="C274" s="1044"/>
      <c r="D274" s="1045"/>
    </row>
    <row r="275" spans="1:7" ht="25.5" x14ac:dyDescent="0.2">
      <c r="A275" s="1046" t="s">
        <v>856</v>
      </c>
      <c r="B275" s="1728" t="s">
        <v>906</v>
      </c>
      <c r="C275" s="1728"/>
      <c r="D275" s="1728"/>
      <c r="E275" s="1728"/>
    </row>
    <row r="276" spans="1:7" x14ac:dyDescent="0.2">
      <c r="A276" s="1047"/>
      <c r="B276" s="1728"/>
      <c r="C276" s="1728"/>
      <c r="D276" s="1728"/>
      <c r="E276" s="1728"/>
    </row>
    <row r="277" spans="1:7" x14ac:dyDescent="0.2">
      <c r="A277" s="1047"/>
      <c r="B277" s="1048"/>
      <c r="C277" s="1051"/>
      <c r="D277" s="1052"/>
    </row>
    <row r="278" spans="1:7" x14ac:dyDescent="0.2">
      <c r="A278" s="1053" t="s">
        <v>858</v>
      </c>
      <c r="B278" s="1054" t="s">
        <v>859</v>
      </c>
      <c r="C278" s="1055" t="s">
        <v>860</v>
      </c>
      <c r="D278" s="1056" t="s">
        <v>861</v>
      </c>
      <c r="E278" s="1057" t="s">
        <v>83</v>
      </c>
    </row>
    <row r="279" spans="1:7" x14ac:dyDescent="0.2">
      <c r="A279" s="1058" t="s">
        <v>862</v>
      </c>
      <c r="B279" s="1059">
        <v>17731712</v>
      </c>
      <c r="C279" s="1060">
        <v>0</v>
      </c>
      <c r="D279" s="1063">
        <v>265941826</v>
      </c>
      <c r="E279" s="1062">
        <f>SUM(B279:D279)</f>
        <v>283673538</v>
      </c>
    </row>
    <row r="280" spans="1:7" x14ac:dyDescent="0.2">
      <c r="A280" s="1058" t="s">
        <v>863</v>
      </c>
      <c r="B280" s="1059"/>
      <c r="C280" s="1060"/>
      <c r="D280" s="1063"/>
      <c r="E280" s="1062">
        <f>SUM(B280:D280)</f>
        <v>0</v>
      </c>
    </row>
    <row r="281" spans="1:7" x14ac:dyDescent="0.2">
      <c r="A281" s="1058" t="s">
        <v>864</v>
      </c>
      <c r="B281" s="1059"/>
      <c r="C281" s="1060">
        <f>C293-B283-C282</f>
        <v>2805504</v>
      </c>
      <c r="D281" s="1063">
        <v>16451854</v>
      </c>
      <c r="E281" s="1062">
        <f>SUM(B281:D281)</f>
        <v>19257358</v>
      </c>
    </row>
    <row r="282" spans="1:7" ht="25.5" x14ac:dyDescent="0.2">
      <c r="A282" s="1080" t="s">
        <v>875</v>
      </c>
      <c r="B282" s="1059"/>
      <c r="C282" s="1060">
        <v>5545048</v>
      </c>
      <c r="D282" s="1063">
        <f>D289+D292</f>
        <v>1834294</v>
      </c>
      <c r="E282" s="1062">
        <f>SUM(B282:D282)</f>
        <v>7379342</v>
      </c>
    </row>
    <row r="283" spans="1:7" x14ac:dyDescent="0.2">
      <c r="A283" s="1064" t="s">
        <v>83</v>
      </c>
      <c r="B283" s="1065">
        <f>SUM(B279:B282)</f>
        <v>17731712</v>
      </c>
      <c r="C283" s="1065">
        <f>SUM(C279:C282)</f>
        <v>8350552</v>
      </c>
      <c r="D283" s="1065">
        <f>SUM(D279:D282)</f>
        <v>284227974</v>
      </c>
      <c r="E283" s="1065">
        <f>SUM(E279:E282)</f>
        <v>310310238</v>
      </c>
    </row>
    <row r="284" spans="1:7" x14ac:dyDescent="0.2">
      <c r="A284" s="1068"/>
      <c r="B284" s="1069"/>
      <c r="C284" s="1070"/>
      <c r="D284" s="1071"/>
      <c r="E284" s="1072"/>
    </row>
    <row r="285" spans="1:7" ht="38.25" x14ac:dyDescent="0.2">
      <c r="A285" s="1053" t="s">
        <v>865</v>
      </c>
      <c r="B285" s="1073" t="s">
        <v>866</v>
      </c>
      <c r="C285" s="1074" t="s">
        <v>931</v>
      </c>
      <c r="D285" s="1057" t="s">
        <v>861</v>
      </c>
      <c r="E285" s="1075" t="s">
        <v>83</v>
      </c>
    </row>
    <row r="286" spans="1:7" x14ac:dyDescent="0.2">
      <c r="A286" s="1080" t="s">
        <v>876</v>
      </c>
      <c r="B286" s="1059"/>
      <c r="C286" s="1076"/>
      <c r="D286" s="1077"/>
      <c r="E286" s="1062">
        <f>B286+C286</f>
        <v>0</v>
      </c>
    </row>
    <row r="287" spans="1:7" ht="25.5" x14ac:dyDescent="0.2">
      <c r="A287" s="1058" t="s">
        <v>868</v>
      </c>
      <c r="B287" s="1059"/>
      <c r="C287" s="1076"/>
      <c r="D287" s="1077"/>
      <c r="E287" s="1062">
        <f>B287+C287</f>
        <v>0</v>
      </c>
    </row>
    <row r="288" spans="1:7" x14ac:dyDescent="0.2">
      <c r="A288" s="1058" t="s">
        <v>869</v>
      </c>
      <c r="B288" s="1059"/>
      <c r="C288" s="1076">
        <v>2750000</v>
      </c>
      <c r="D288" s="1077">
        <v>3660000</v>
      </c>
      <c r="E288" s="1062">
        <f>SUM(B288:D288)</f>
        <v>6410000</v>
      </c>
      <c r="F288" s="638">
        <f>'5.tábla (2)'!D110</f>
        <v>4648200</v>
      </c>
      <c r="G288" s="638">
        <f>SUM(D288:D289)</f>
        <v>4648200</v>
      </c>
    </row>
    <row r="289" spans="1:7" ht="25.5" x14ac:dyDescent="0.2">
      <c r="A289" s="1080" t="s">
        <v>875</v>
      </c>
      <c r="B289" s="1059"/>
      <c r="C289" s="1076"/>
      <c r="D289" s="1077">
        <f>1834294-D292</f>
        <v>988200</v>
      </c>
      <c r="E289" s="1062">
        <f>SUM(B289:D289)</f>
        <v>988200</v>
      </c>
    </row>
    <row r="290" spans="1:7" x14ac:dyDescent="0.2">
      <c r="A290" s="1058" t="s">
        <v>870</v>
      </c>
      <c r="B290" s="1059"/>
      <c r="C290" s="1076"/>
      <c r="D290" s="1077"/>
      <c r="E290" s="1062">
        <f>SUM(B290:D290)</f>
        <v>0</v>
      </c>
    </row>
    <row r="291" spans="1:7" x14ac:dyDescent="0.2">
      <c r="A291" s="1058" t="s">
        <v>871</v>
      </c>
      <c r="B291" s="1059"/>
      <c r="C291" s="1076">
        <v>17787216</v>
      </c>
      <c r="D291" s="1077">
        <v>278733680</v>
      </c>
      <c r="E291" s="1062">
        <f>SUM(B291:D291)</f>
        <v>296520896</v>
      </c>
      <c r="F291" s="638">
        <f>'7. sz. tábla 1'!D54</f>
        <v>279579774</v>
      </c>
      <c r="G291" s="638">
        <f>SUM(D291:D292)</f>
        <v>279579774</v>
      </c>
    </row>
    <row r="292" spans="1:7" ht="25.5" x14ac:dyDescent="0.2">
      <c r="A292" s="1080" t="s">
        <v>875</v>
      </c>
      <c r="B292" s="1059"/>
      <c r="C292" s="1076">
        <v>5545048</v>
      </c>
      <c r="D292" s="1077">
        <v>846094</v>
      </c>
      <c r="E292" s="1062">
        <f>SUM(B292:D292)</f>
        <v>6391142</v>
      </c>
    </row>
    <row r="293" spans="1:7" x14ac:dyDescent="0.2">
      <c r="A293" s="1064" t="s">
        <v>83</v>
      </c>
      <c r="B293" s="1065">
        <f>SUM(B286:B292)</f>
        <v>0</v>
      </c>
      <c r="C293" s="1065">
        <f>SUM(C286:C292)</f>
        <v>26082264</v>
      </c>
      <c r="D293" s="1065">
        <f>SUM(D286:D292)</f>
        <v>284227974</v>
      </c>
      <c r="E293" s="1065">
        <f>SUM(E286:E292)</f>
        <v>310310238</v>
      </c>
    </row>
    <row r="296" spans="1:7" x14ac:dyDescent="0.2">
      <c r="A296" s="1041"/>
      <c r="B296" s="1043" t="s">
        <v>907</v>
      </c>
      <c r="C296" s="1044"/>
      <c r="D296" s="1045"/>
    </row>
    <row r="297" spans="1:7" ht="25.5" x14ac:dyDescent="0.2">
      <c r="A297" s="1046" t="s">
        <v>856</v>
      </c>
      <c r="B297" s="1728" t="s">
        <v>908</v>
      </c>
      <c r="C297" s="1728"/>
      <c r="D297" s="1728"/>
      <c r="E297" s="1728"/>
    </row>
    <row r="298" spans="1:7" x14ac:dyDescent="0.2">
      <c r="A298" s="1047"/>
      <c r="B298" s="1728"/>
      <c r="C298" s="1728"/>
      <c r="D298" s="1728"/>
      <c r="E298" s="1728"/>
    </row>
    <row r="299" spans="1:7" x14ac:dyDescent="0.2">
      <c r="A299" s="1047"/>
      <c r="B299" s="1048"/>
      <c r="C299" s="1051"/>
      <c r="D299" s="1050"/>
    </row>
    <row r="300" spans="1:7" x14ac:dyDescent="0.2">
      <c r="A300" s="1053" t="s">
        <v>858</v>
      </c>
      <c r="B300" s="1054" t="s">
        <v>860</v>
      </c>
      <c r="C300" s="1074" t="s">
        <v>913</v>
      </c>
      <c r="D300" s="1057" t="s">
        <v>83</v>
      </c>
      <c r="E300" s="1165"/>
    </row>
    <row r="301" spans="1:7" x14ac:dyDescent="0.2">
      <c r="A301" s="1058" t="s">
        <v>862</v>
      </c>
      <c r="B301" s="1059">
        <v>45952151</v>
      </c>
      <c r="C301" s="1076"/>
      <c r="D301" s="1171">
        <f>SUM(B301:C301)</f>
        <v>45952151</v>
      </c>
      <c r="E301" s="1166"/>
    </row>
    <row r="302" spans="1:7" x14ac:dyDescent="0.2">
      <c r="A302" s="1058" t="s">
        <v>863</v>
      </c>
      <c r="B302" s="1059"/>
      <c r="C302" s="1076"/>
      <c r="D302" s="1171">
        <f t="shared" ref="D302:D304" si="26">SUM(B302:C302)</f>
        <v>0</v>
      </c>
      <c r="E302" s="1166"/>
    </row>
    <row r="303" spans="1:7" x14ac:dyDescent="0.2">
      <c r="A303" s="1058" t="s">
        <v>864</v>
      </c>
      <c r="B303" s="1059"/>
      <c r="C303" s="1076"/>
      <c r="D303" s="1171">
        <f t="shared" si="26"/>
        <v>0</v>
      </c>
      <c r="E303" s="1166"/>
    </row>
    <row r="304" spans="1:7" ht="25.5" x14ac:dyDescent="0.2">
      <c r="A304" s="1080" t="s">
        <v>875</v>
      </c>
      <c r="B304" s="1059"/>
      <c r="C304" s="1076">
        <f>C311+C314</f>
        <v>5228575</v>
      </c>
      <c r="D304" s="1171">
        <f t="shared" si="26"/>
        <v>5228575</v>
      </c>
      <c r="E304" s="1166"/>
    </row>
    <row r="305" spans="1:6" x14ac:dyDescent="0.2">
      <c r="A305" s="1064" t="s">
        <v>83</v>
      </c>
      <c r="B305" s="1065">
        <f>SUM(B301:B304)</f>
        <v>45952151</v>
      </c>
      <c r="C305" s="1066">
        <f>SUM(C301:C304)</f>
        <v>5228575</v>
      </c>
      <c r="D305" s="1078">
        <f>SUM(D301:D304)</f>
        <v>51180726</v>
      </c>
      <c r="E305" s="1167"/>
    </row>
    <row r="306" spans="1:6" x14ac:dyDescent="0.2">
      <c r="A306" s="1068"/>
      <c r="B306" s="1069"/>
      <c r="C306" s="1070"/>
      <c r="D306" s="1172"/>
      <c r="E306" s="1072"/>
    </row>
    <row r="307" spans="1:6" ht="38.25" x14ac:dyDescent="0.2">
      <c r="A307" s="1053" t="s">
        <v>865</v>
      </c>
      <c r="B307" s="1074" t="s">
        <v>931</v>
      </c>
      <c r="C307" s="1074" t="s">
        <v>913</v>
      </c>
      <c r="D307" s="1057" t="s">
        <v>83</v>
      </c>
      <c r="E307" s="1168"/>
    </row>
    <row r="308" spans="1:6" x14ac:dyDescent="0.2">
      <c r="A308" s="1080" t="s">
        <v>876</v>
      </c>
      <c r="B308" s="1059"/>
      <c r="C308" s="1076"/>
      <c r="D308" s="1077"/>
      <c r="E308" s="1166"/>
    </row>
    <row r="309" spans="1:6" ht="25.5" x14ac:dyDescent="0.2">
      <c r="A309" s="1058" t="s">
        <v>868</v>
      </c>
      <c r="B309" s="1059"/>
      <c r="C309" s="1076"/>
      <c r="D309" s="1077"/>
      <c r="E309" s="1166"/>
    </row>
    <row r="310" spans="1:6" x14ac:dyDescent="0.2">
      <c r="A310" s="1058" t="s">
        <v>869</v>
      </c>
      <c r="B310" s="1059"/>
      <c r="C310" s="1076">
        <v>1161600</v>
      </c>
      <c r="D310" s="1077">
        <f>SUM(C310)</f>
        <v>1161600</v>
      </c>
      <c r="E310" s="1166">
        <f>'5.tábla (2)'!D97</f>
        <v>1475232</v>
      </c>
      <c r="F310" s="638">
        <f>SUM(C310:C311)</f>
        <v>1475232</v>
      </c>
    </row>
    <row r="311" spans="1:6" ht="25.5" x14ac:dyDescent="0.2">
      <c r="A311" s="1080" t="s">
        <v>875</v>
      </c>
      <c r="B311" s="1059"/>
      <c r="C311" s="1076">
        <f>5228575-C314</f>
        <v>313632</v>
      </c>
      <c r="D311" s="1077">
        <f>SUM(C311)</f>
        <v>313632</v>
      </c>
      <c r="E311" s="1166"/>
    </row>
    <row r="312" spans="1:6" x14ac:dyDescent="0.2">
      <c r="A312" s="1058" t="s">
        <v>870</v>
      </c>
      <c r="B312" s="1059"/>
      <c r="C312" s="1076"/>
      <c r="D312" s="1077">
        <f t="shared" ref="D312:D314" si="27">SUM(C312)</f>
        <v>0</v>
      </c>
      <c r="E312" s="1166"/>
    </row>
    <row r="313" spans="1:6" x14ac:dyDescent="0.2">
      <c r="A313" s="1058" t="s">
        <v>871</v>
      </c>
      <c r="B313" s="1059"/>
      <c r="C313" s="1076">
        <v>44790551</v>
      </c>
      <c r="D313" s="1077">
        <f t="shared" si="27"/>
        <v>44790551</v>
      </c>
      <c r="E313" s="1166">
        <f>'7. sz. tábla 1'!D139</f>
        <v>49705494</v>
      </c>
      <c r="F313" s="638">
        <f>SUM(C313:C314)</f>
        <v>49705494</v>
      </c>
    </row>
    <row r="314" spans="1:6" ht="25.5" x14ac:dyDescent="0.2">
      <c r="A314" s="1080" t="s">
        <v>875</v>
      </c>
      <c r="B314" s="1059"/>
      <c r="C314" s="1076">
        <v>4914943</v>
      </c>
      <c r="D314" s="1077">
        <f t="shared" si="27"/>
        <v>4914943</v>
      </c>
      <c r="E314" s="1166"/>
    </row>
    <row r="315" spans="1:6" x14ac:dyDescent="0.2">
      <c r="A315" s="1064" t="s">
        <v>83</v>
      </c>
      <c r="B315" s="1065">
        <f>SUM(B308:B314)</f>
        <v>0</v>
      </c>
      <c r="C315" s="1066">
        <f>SUM(C308:C314)</f>
        <v>51180726</v>
      </c>
      <c r="D315" s="1078">
        <f>SUM(D308:D314)</f>
        <v>51180726</v>
      </c>
      <c r="E315" s="1167"/>
    </row>
    <row r="320" spans="1:6" x14ac:dyDescent="0.2">
      <c r="A320" s="1041"/>
      <c r="B320" s="1043" t="s">
        <v>909</v>
      </c>
      <c r="C320" s="1044"/>
      <c r="D320" s="1045"/>
    </row>
    <row r="321" spans="1:5" ht="25.5" x14ac:dyDescent="0.2">
      <c r="A321" s="1046" t="s">
        <v>856</v>
      </c>
      <c r="B321" s="1727" t="s">
        <v>910</v>
      </c>
      <c r="C321" s="1727"/>
      <c r="D321" s="1727"/>
      <c r="E321" s="1727"/>
    </row>
    <row r="322" spans="1:5" x14ac:dyDescent="0.2">
      <c r="A322" s="1047"/>
      <c r="B322" s="1048"/>
      <c r="C322" s="1049"/>
      <c r="D322" s="1050"/>
    </row>
    <row r="323" spans="1:5" x14ac:dyDescent="0.2">
      <c r="A323" s="1047"/>
      <c r="B323" s="1048"/>
      <c r="C323" s="1051"/>
      <c r="D323" s="1052"/>
    </row>
    <row r="324" spans="1:5" x14ac:dyDescent="0.2">
      <c r="A324" s="1053" t="s">
        <v>858</v>
      </c>
      <c r="B324" s="1055" t="s">
        <v>860</v>
      </c>
      <c r="C324" s="1056" t="s">
        <v>861</v>
      </c>
      <c r="D324" s="1056" t="s">
        <v>911</v>
      </c>
      <c r="E324" s="1057" t="s">
        <v>83</v>
      </c>
    </row>
    <row r="325" spans="1:5" x14ac:dyDescent="0.2">
      <c r="A325" s="1058" t="s">
        <v>862</v>
      </c>
      <c r="B325" s="1060">
        <v>81935000</v>
      </c>
      <c r="C325" s="1061"/>
      <c r="D325" s="1061"/>
      <c r="E325" s="1062">
        <f>B325+C325</f>
        <v>81935000</v>
      </c>
    </row>
    <row r="326" spans="1:5" x14ac:dyDescent="0.2">
      <c r="A326" s="1058" t="s">
        <v>863</v>
      </c>
      <c r="B326" s="1060"/>
      <c r="C326" s="1063"/>
      <c r="D326" s="1063"/>
      <c r="E326" s="1062">
        <f>B326+C326</f>
        <v>0</v>
      </c>
    </row>
    <row r="327" spans="1:5" x14ac:dyDescent="0.2">
      <c r="A327" s="1058" t="s">
        <v>864</v>
      </c>
      <c r="B327" s="1060">
        <f>94542171-56412712+589788-773200</f>
        <v>37946047</v>
      </c>
      <c r="C327" s="1063"/>
      <c r="D327" s="1063"/>
      <c r="E327" s="1062">
        <f>B327+C327</f>
        <v>37946047</v>
      </c>
    </row>
    <row r="328" spans="1:5" x14ac:dyDescent="0.2">
      <c r="A328" s="1064" t="s">
        <v>83</v>
      </c>
      <c r="B328" s="1065">
        <f>SUM(B325:B327)</f>
        <v>119881047</v>
      </c>
      <c r="C328" s="1066">
        <f>SUM(C325:C327)</f>
        <v>0</v>
      </c>
      <c r="D328" s="1066">
        <f>SUM(D325:D327)</f>
        <v>0</v>
      </c>
      <c r="E328" s="1067">
        <f>B328+C328</f>
        <v>119881047</v>
      </c>
    </row>
    <row r="329" spans="1:5" x14ac:dyDescent="0.2">
      <c r="A329" s="1068"/>
      <c r="B329" s="1070"/>
      <c r="C329" s="1071"/>
      <c r="D329" s="1071"/>
      <c r="E329" s="1072"/>
    </row>
    <row r="330" spans="1:5" ht="38.25" x14ac:dyDescent="0.2">
      <c r="A330" s="1053" t="s">
        <v>865</v>
      </c>
      <c r="B330" s="1074" t="s">
        <v>931</v>
      </c>
      <c r="C330" s="1057" t="s">
        <v>861</v>
      </c>
      <c r="D330" s="1057" t="s">
        <v>911</v>
      </c>
      <c r="E330" s="1075" t="s">
        <v>83</v>
      </c>
    </row>
    <row r="331" spans="1:5" ht="25.5" x14ac:dyDescent="0.2">
      <c r="A331" s="1058" t="s">
        <v>867</v>
      </c>
      <c r="B331" s="1076">
        <v>0</v>
      </c>
      <c r="C331" s="1077">
        <v>1434728</v>
      </c>
      <c r="D331" s="1077"/>
      <c r="E331" s="1062">
        <f t="shared" ref="E331:E335" si="28">B331+C331</f>
        <v>1434728</v>
      </c>
    </row>
    <row r="332" spans="1:5" ht="25.5" x14ac:dyDescent="0.2">
      <c r="A332" s="1058" t="s">
        <v>868</v>
      </c>
      <c r="B332" s="1076">
        <v>0</v>
      </c>
      <c r="C332" s="1077">
        <v>279772</v>
      </c>
      <c r="D332" s="1077"/>
      <c r="E332" s="1062">
        <f t="shared" si="28"/>
        <v>279772</v>
      </c>
    </row>
    <row r="333" spans="1:5" x14ac:dyDescent="0.2">
      <c r="A333" s="1058" t="s">
        <v>869</v>
      </c>
      <c r="B333" s="1076">
        <v>3385000</v>
      </c>
      <c r="C333" s="1077">
        <v>142061</v>
      </c>
      <c r="D333" s="1077"/>
      <c r="E333" s="1062">
        <f t="shared" si="28"/>
        <v>3527061</v>
      </c>
    </row>
    <row r="334" spans="1:5" x14ac:dyDescent="0.2">
      <c r="A334" s="1080" t="s">
        <v>871</v>
      </c>
      <c r="B334" s="1076">
        <v>87104397</v>
      </c>
      <c r="C334" s="1077">
        <v>27535089</v>
      </c>
      <c r="D334" s="1077"/>
      <c r="E334" s="1062">
        <f t="shared" si="28"/>
        <v>114639486</v>
      </c>
    </row>
    <row r="335" spans="1:5" x14ac:dyDescent="0.2">
      <c r="A335" s="1080" t="s">
        <v>870</v>
      </c>
      <c r="B335" s="1076">
        <v>0</v>
      </c>
      <c r="C335" s="1077"/>
      <c r="D335" s="1077"/>
      <c r="E335" s="1062">
        <f t="shared" si="28"/>
        <v>0</v>
      </c>
    </row>
    <row r="336" spans="1:5" x14ac:dyDescent="0.2">
      <c r="A336" s="1064" t="s">
        <v>83</v>
      </c>
      <c r="B336" s="1066">
        <f>SUM(B331:B335)</f>
        <v>90489397</v>
      </c>
      <c r="C336" s="1066">
        <f>SUM(C331:C335)</f>
        <v>29391650</v>
      </c>
      <c r="D336" s="1078">
        <f>SUM(D331:D335)</f>
        <v>0</v>
      </c>
      <c r="E336" s="1067">
        <f>SUM(E331:E335)</f>
        <v>119881047</v>
      </c>
    </row>
    <row r="340" spans="1:6" x14ac:dyDescent="0.2">
      <c r="A340" s="1041"/>
      <c r="B340" s="1173"/>
      <c r="C340" s="1174"/>
      <c r="D340" s="1175"/>
    </row>
    <row r="341" spans="1:6" x14ac:dyDescent="0.2">
      <c r="A341" s="1046"/>
      <c r="B341" s="1727"/>
      <c r="C341" s="1727"/>
      <c r="D341" s="1727"/>
      <c r="E341" s="1727"/>
    </row>
    <row r="342" spans="1:6" x14ac:dyDescent="0.2">
      <c r="A342" s="1047"/>
      <c r="B342" s="1173" t="s">
        <v>932</v>
      </c>
      <c r="C342" s="1174"/>
      <c r="D342" s="1050"/>
    </row>
    <row r="343" spans="1:6" ht="25.5" x14ac:dyDescent="0.2">
      <c r="A343" s="1046" t="s">
        <v>856</v>
      </c>
      <c r="B343" s="1727" t="s">
        <v>933</v>
      </c>
      <c r="C343" s="1727"/>
      <c r="D343" s="1727"/>
      <c r="E343" s="1727"/>
    </row>
    <row r="344" spans="1:6" x14ac:dyDescent="0.2">
      <c r="A344" s="1047"/>
      <c r="B344" s="1048"/>
      <c r="C344" s="1051"/>
      <c r="D344" s="1052"/>
    </row>
    <row r="345" spans="1:6" ht="25.5" customHeight="1" x14ac:dyDescent="0.2">
      <c r="A345" s="1053" t="s">
        <v>858</v>
      </c>
      <c r="B345" s="1055" t="s">
        <v>860</v>
      </c>
      <c r="C345" s="1056" t="s">
        <v>861</v>
      </c>
      <c r="D345" s="1056" t="s">
        <v>911</v>
      </c>
      <c r="E345" s="1057" t="s">
        <v>83</v>
      </c>
    </row>
    <row r="346" spans="1:6" x14ac:dyDescent="0.2">
      <c r="A346" s="1058" t="s">
        <v>862</v>
      </c>
      <c r="B346" s="1060">
        <v>0</v>
      </c>
      <c r="C346" s="1061">
        <v>85000000</v>
      </c>
      <c r="D346" s="1061"/>
      <c r="E346" s="1062">
        <f>B346+C346</f>
        <v>85000000</v>
      </c>
    </row>
    <row r="347" spans="1:6" x14ac:dyDescent="0.2">
      <c r="A347" s="1058" t="s">
        <v>863</v>
      </c>
      <c r="B347" s="1060"/>
      <c r="C347" s="1063"/>
      <c r="D347" s="1063"/>
      <c r="E347" s="1062">
        <f>B347+C347</f>
        <v>0</v>
      </c>
    </row>
    <row r="348" spans="1:6" x14ac:dyDescent="0.2">
      <c r="A348" s="1058" t="s">
        <v>864</v>
      </c>
      <c r="B348" s="1060">
        <v>94746808</v>
      </c>
      <c r="C348" s="1063">
        <v>-57547243</v>
      </c>
      <c r="D348" s="1063"/>
      <c r="E348" s="1062">
        <f>B348+C348</f>
        <v>37199565</v>
      </c>
    </row>
    <row r="349" spans="1:6" x14ac:dyDescent="0.2">
      <c r="A349" s="1064" t="s">
        <v>83</v>
      </c>
      <c r="B349" s="1065">
        <f>SUM(B346:B348)</f>
        <v>94746808</v>
      </c>
      <c r="C349" s="1066">
        <f>SUM(C346:C348)</f>
        <v>27452757</v>
      </c>
      <c r="D349" s="1066">
        <f>SUM(D346:D348)</f>
        <v>0</v>
      </c>
      <c r="E349" s="1067">
        <f>B349+C349</f>
        <v>122199565</v>
      </c>
      <c r="F349" s="638">
        <f>E349-E357</f>
        <v>0</v>
      </c>
    </row>
    <row r="350" spans="1:6" x14ac:dyDescent="0.2">
      <c r="A350" s="1068"/>
      <c r="B350" s="1070"/>
      <c r="C350" s="1071"/>
      <c r="D350" s="1071"/>
      <c r="E350" s="1072"/>
    </row>
    <row r="351" spans="1:6" ht="38.25" x14ac:dyDescent="0.2">
      <c r="A351" s="1053" t="s">
        <v>865</v>
      </c>
      <c r="B351" s="1074" t="s">
        <v>931</v>
      </c>
      <c r="C351" s="1057" t="s">
        <v>861</v>
      </c>
      <c r="D351" s="1057" t="s">
        <v>911</v>
      </c>
      <c r="E351" s="1075" t="s">
        <v>83</v>
      </c>
    </row>
    <row r="352" spans="1:6" ht="25.5" x14ac:dyDescent="0.2">
      <c r="A352" s="1058" t="s">
        <v>867</v>
      </c>
      <c r="B352" s="1076">
        <v>0</v>
      </c>
      <c r="C352" s="1077"/>
      <c r="D352" s="1077"/>
      <c r="E352" s="1062">
        <f t="shared" ref="E352:E356" si="29">B352+C352</f>
        <v>0</v>
      </c>
    </row>
    <row r="353" spans="1:6" ht="25.5" x14ac:dyDescent="0.2">
      <c r="A353" s="1058" t="s">
        <v>868</v>
      </c>
      <c r="B353" s="1076">
        <v>0</v>
      </c>
      <c r="C353" s="1077"/>
      <c r="D353" s="1077"/>
      <c r="E353" s="1062">
        <f t="shared" si="29"/>
        <v>0</v>
      </c>
    </row>
    <row r="354" spans="1:6" x14ac:dyDescent="0.2">
      <c r="A354" s="1058" t="s">
        <v>869</v>
      </c>
      <c r="B354" s="1076"/>
      <c r="C354" s="1077"/>
      <c r="D354" s="1077"/>
      <c r="E354" s="1062">
        <f t="shared" si="29"/>
        <v>0</v>
      </c>
    </row>
    <row r="355" spans="1:6" x14ac:dyDescent="0.2">
      <c r="A355" s="1080" t="s">
        <v>871</v>
      </c>
      <c r="B355" s="1076">
        <v>94746808</v>
      </c>
      <c r="C355" s="1077">
        <v>27452757</v>
      </c>
      <c r="D355" s="1077"/>
      <c r="E355" s="1062">
        <f t="shared" si="29"/>
        <v>122199565</v>
      </c>
      <c r="F355" s="638">
        <f>'7. sz. tábla 1'!D66</f>
        <v>27452757</v>
      </c>
    </row>
    <row r="356" spans="1:6" x14ac:dyDescent="0.2">
      <c r="A356" s="1080" t="s">
        <v>870</v>
      </c>
      <c r="B356" s="1076">
        <v>0</v>
      </c>
      <c r="C356" s="1077"/>
      <c r="D356" s="1077"/>
      <c r="E356" s="1062">
        <f t="shared" si="29"/>
        <v>0</v>
      </c>
    </row>
    <row r="357" spans="1:6" x14ac:dyDescent="0.2">
      <c r="A357" s="1064" t="s">
        <v>83</v>
      </c>
      <c r="B357" s="1066">
        <f>SUM(B352:B356)</f>
        <v>94746808</v>
      </c>
      <c r="C357" s="1066">
        <f>SUM(C352:C356)</f>
        <v>27452757</v>
      </c>
      <c r="D357" s="1078">
        <f>SUM(D352:D356)</f>
        <v>0</v>
      </c>
      <c r="E357" s="1157">
        <f>SUM(E352:E356)</f>
        <v>122199565</v>
      </c>
      <c r="F357" s="1013"/>
    </row>
    <row r="360" spans="1:6" x14ac:dyDescent="0.2">
      <c r="A360" s="1041"/>
      <c r="B360" s="1043" t="s">
        <v>934</v>
      </c>
      <c r="C360" s="1084"/>
      <c r="D360" s="1045"/>
      <c r="E360" s="1044"/>
    </row>
    <row r="361" spans="1:6" ht="25.5" x14ac:dyDescent="0.2">
      <c r="A361" s="1046" t="s">
        <v>856</v>
      </c>
      <c r="B361" s="1726" t="s">
        <v>912</v>
      </c>
      <c r="C361" s="1726"/>
      <c r="D361" s="1726"/>
      <c r="E361" s="1726"/>
    </row>
    <row r="362" spans="1:6" x14ac:dyDescent="0.2">
      <c r="A362" s="1047"/>
      <c r="B362" s="1085"/>
      <c r="C362" s="1050"/>
      <c r="D362" s="1050"/>
      <c r="E362" s="1049"/>
    </row>
    <row r="363" spans="1:6" x14ac:dyDescent="0.2">
      <c r="A363" s="1047"/>
      <c r="B363" s="1048"/>
      <c r="C363" s="1052"/>
      <c r="D363" s="1052"/>
      <c r="E363" s="1051"/>
    </row>
    <row r="364" spans="1:6" x14ac:dyDescent="0.2">
      <c r="A364" s="1053" t="s">
        <v>858</v>
      </c>
      <c r="B364" s="1054" t="s">
        <v>894</v>
      </c>
      <c r="C364" s="1055" t="s">
        <v>913</v>
      </c>
      <c r="D364" s="1056" t="s">
        <v>911</v>
      </c>
      <c r="E364" s="1057" t="s">
        <v>83</v>
      </c>
    </row>
    <row r="365" spans="1:6" x14ac:dyDescent="0.2">
      <c r="A365" s="1058" t="s">
        <v>862</v>
      </c>
      <c r="B365" s="1059"/>
      <c r="C365" s="1059">
        <f>1114605492+30000000-9088012</f>
        <v>1135517480</v>
      </c>
      <c r="D365" s="1063"/>
      <c r="E365" s="1062">
        <f>SUM(B365:D365)</f>
        <v>1135517480</v>
      </c>
    </row>
    <row r="366" spans="1:6" x14ac:dyDescent="0.2">
      <c r="A366" s="1058" t="s">
        <v>863</v>
      </c>
      <c r="B366" s="1059"/>
      <c r="C366" s="1059"/>
      <c r="D366" s="1063"/>
      <c r="E366" s="1062">
        <f>SUM(B366:D366)</f>
        <v>0</v>
      </c>
    </row>
    <row r="367" spans="1:6" x14ac:dyDescent="0.2">
      <c r="A367" s="1058" t="s">
        <v>864</v>
      </c>
      <c r="B367" s="1059">
        <v>20975000</v>
      </c>
      <c r="C367" s="1059">
        <f>7896000-20975000+9088012</f>
        <v>-3990988</v>
      </c>
      <c r="D367" s="1063"/>
      <c r="E367" s="1062">
        <f>SUM(B367:D367)</f>
        <v>16984012</v>
      </c>
    </row>
    <row r="368" spans="1:6" ht="25.5" x14ac:dyDescent="0.2">
      <c r="A368" s="1080" t="s">
        <v>875</v>
      </c>
      <c r="B368" s="1059">
        <f>B375+B378</f>
        <v>5663250</v>
      </c>
      <c r="C368" s="1060">
        <f>C375+C378</f>
        <v>25049250</v>
      </c>
      <c r="D368" s="1063"/>
      <c r="E368" s="1062">
        <f>SUM(B368:D368)</f>
        <v>30712500</v>
      </c>
    </row>
    <row r="369" spans="1:7" x14ac:dyDescent="0.2">
      <c r="A369" s="1064" t="s">
        <v>83</v>
      </c>
      <c r="B369" s="1065">
        <f>SUM(B365:B368)</f>
        <v>26638250</v>
      </c>
      <c r="C369" s="1065">
        <f>SUM(C365:C368)</f>
        <v>1156575742</v>
      </c>
      <c r="D369" s="1065">
        <f>SUM(D365:D368)</f>
        <v>0</v>
      </c>
      <c r="E369" s="1065">
        <f>SUM(E365:E368)</f>
        <v>1183213992</v>
      </c>
    </row>
    <row r="370" spans="1:7" x14ac:dyDescent="0.2">
      <c r="A370" s="1068"/>
      <c r="B370" s="1069"/>
      <c r="C370" s="1070"/>
      <c r="D370" s="1071"/>
      <c r="E370" s="1072"/>
    </row>
    <row r="371" spans="1:7" ht="38.25" x14ac:dyDescent="0.2">
      <c r="A371" s="1053" t="s">
        <v>865</v>
      </c>
      <c r="B371" s="1074" t="s">
        <v>931</v>
      </c>
      <c r="C371" s="1055" t="s">
        <v>913</v>
      </c>
      <c r="D371" s="1056" t="s">
        <v>911</v>
      </c>
      <c r="E371" s="1057" t="s">
        <v>83</v>
      </c>
    </row>
    <row r="372" spans="1:7" x14ac:dyDescent="0.2">
      <c r="A372" s="1080" t="s">
        <v>876</v>
      </c>
      <c r="B372" s="1059"/>
      <c r="C372" s="1076"/>
      <c r="D372" s="1077"/>
      <c r="E372" s="1062">
        <f t="shared" ref="E372:E378" si="30">SUM(B372:D372)</f>
        <v>0</v>
      </c>
    </row>
    <row r="373" spans="1:7" ht="25.5" x14ac:dyDescent="0.2">
      <c r="A373" s="1058" t="s">
        <v>868</v>
      </c>
      <c r="B373" s="1059"/>
      <c r="C373" s="1076"/>
      <c r="D373" s="1077"/>
      <c r="E373" s="1062">
        <f t="shared" si="30"/>
        <v>0</v>
      </c>
    </row>
    <row r="374" spans="1:7" x14ac:dyDescent="0.2">
      <c r="A374" s="1058" t="s">
        <v>869</v>
      </c>
      <c r="B374" s="1059">
        <v>6000000</v>
      </c>
      <c r="C374" s="1076">
        <v>32500000</v>
      </c>
      <c r="D374" s="1077">
        <v>0</v>
      </c>
      <c r="E374" s="1062">
        <f t="shared" si="30"/>
        <v>38500000</v>
      </c>
      <c r="F374" s="638">
        <f>'5.tábla (2)'!D96</f>
        <v>41140000</v>
      </c>
      <c r="G374" s="638">
        <f>SUM(C374:C375)</f>
        <v>41140000</v>
      </c>
    </row>
    <row r="375" spans="1:7" ht="25.5" x14ac:dyDescent="0.2">
      <c r="A375" s="1080" t="s">
        <v>875</v>
      </c>
      <c r="B375" s="1059">
        <v>1620000</v>
      </c>
      <c r="C375" s="1076">
        <v>8640000</v>
      </c>
      <c r="D375" s="1077"/>
      <c r="E375" s="1062">
        <f t="shared" si="30"/>
        <v>10260000</v>
      </c>
    </row>
    <row r="376" spans="1:7" x14ac:dyDescent="0.2">
      <c r="A376" s="1058" t="s">
        <v>870</v>
      </c>
      <c r="B376" s="1059"/>
      <c r="C376" s="1076"/>
      <c r="D376" s="1077">
        <v>0</v>
      </c>
      <c r="E376" s="1062">
        <f t="shared" si="30"/>
        <v>0</v>
      </c>
    </row>
    <row r="377" spans="1:7" x14ac:dyDescent="0.2">
      <c r="A377" s="1058" t="s">
        <v>871</v>
      </c>
      <c r="B377" s="1059">
        <v>14975000</v>
      </c>
      <c r="C377" s="1076">
        <f>1061130492+37896000</f>
        <v>1099026492</v>
      </c>
      <c r="D377" s="1077">
        <v>0</v>
      </c>
      <c r="E377" s="1062">
        <f t="shared" si="30"/>
        <v>1114001492</v>
      </c>
      <c r="F377" s="638">
        <f>'7. sz. tábla 1'!D124</f>
        <v>1115435742</v>
      </c>
      <c r="G377" s="638">
        <f>SUM(C377:C378)</f>
        <v>1115435742</v>
      </c>
    </row>
    <row r="378" spans="1:7" s="1013" customFormat="1" ht="25.5" x14ac:dyDescent="0.2">
      <c r="A378" s="1096" t="s">
        <v>875</v>
      </c>
      <c r="B378" s="1097">
        <v>4043250</v>
      </c>
      <c r="C378" s="1098">
        <f>16746750-337500</f>
        <v>16409250</v>
      </c>
      <c r="D378" s="1077">
        <v>0</v>
      </c>
      <c r="E378" s="1062">
        <f t="shared" si="30"/>
        <v>20452500</v>
      </c>
      <c r="F378"/>
    </row>
    <row r="379" spans="1:7" x14ac:dyDescent="0.2">
      <c r="A379" s="1090" t="s">
        <v>83</v>
      </c>
      <c r="B379" s="1091">
        <f>SUM(B372:B378)</f>
        <v>26638250</v>
      </c>
      <c r="C379" s="1091">
        <f>SUM(C372:C378)</f>
        <v>1156575742</v>
      </c>
      <c r="D379" s="1091">
        <f>SUM(D372:D378)</f>
        <v>0</v>
      </c>
      <c r="E379" s="1091">
        <f>SUM(E372:E378)</f>
        <v>1183213992</v>
      </c>
    </row>
    <row r="382" spans="1:7" ht="25.5" customHeight="1" x14ac:dyDescent="0.2">
      <c r="A382" s="1041"/>
      <c r="B382" s="1043" t="s">
        <v>935</v>
      </c>
      <c r="C382" s="1084"/>
      <c r="D382" s="1045"/>
      <c r="E382" s="1044"/>
    </row>
    <row r="383" spans="1:7" ht="25.5" x14ac:dyDescent="0.2">
      <c r="A383" s="1046" t="s">
        <v>856</v>
      </c>
      <c r="B383" s="1726" t="s">
        <v>936</v>
      </c>
      <c r="C383" s="1726"/>
      <c r="D383" s="1726"/>
      <c r="E383" s="1726"/>
    </row>
    <row r="384" spans="1:7" x14ac:dyDescent="0.2">
      <c r="A384" s="1047"/>
      <c r="B384" s="1085"/>
      <c r="C384" s="1050"/>
      <c r="D384" s="1050"/>
      <c r="E384" s="1049"/>
    </row>
    <row r="385" spans="1:6" x14ac:dyDescent="0.2">
      <c r="A385" s="1047"/>
      <c r="B385" s="1048"/>
      <c r="C385" s="1050"/>
      <c r="D385" s="1050"/>
      <c r="E385"/>
    </row>
    <row r="386" spans="1:6" x14ac:dyDescent="0.2">
      <c r="A386" s="1176" t="s">
        <v>858</v>
      </c>
      <c r="B386" s="1177" t="s">
        <v>861</v>
      </c>
      <c r="C386" s="1075" t="s">
        <v>911</v>
      </c>
      <c r="D386" s="1057" t="s">
        <v>83</v>
      </c>
      <c r="E386"/>
    </row>
    <row r="387" spans="1:6" x14ac:dyDescent="0.2">
      <c r="A387" s="1178" t="s">
        <v>862</v>
      </c>
      <c r="B387" s="1077">
        <v>85000000</v>
      </c>
      <c r="C387" s="1089"/>
      <c r="D387" s="1077">
        <f>SUM(B387:C387)</f>
        <v>85000000</v>
      </c>
      <c r="E387"/>
    </row>
    <row r="388" spans="1:6" x14ac:dyDescent="0.2">
      <c r="A388" s="1178" t="s">
        <v>863</v>
      </c>
      <c r="B388" s="1077"/>
      <c r="C388" s="1089"/>
      <c r="D388" s="1077">
        <f t="shared" ref="D388:D390" si="31">SUM(B388:C388)</f>
        <v>0</v>
      </c>
      <c r="E388"/>
    </row>
    <row r="389" spans="1:6" x14ac:dyDescent="0.2">
      <c r="A389" s="1178" t="s">
        <v>864</v>
      </c>
      <c r="B389" s="1077">
        <v>900000</v>
      </c>
      <c r="C389" s="1089"/>
      <c r="D389" s="1077">
        <f t="shared" si="31"/>
        <v>900000</v>
      </c>
      <c r="E389"/>
    </row>
    <row r="390" spans="1:6" ht="25.5" x14ac:dyDescent="0.2">
      <c r="A390" s="1093" t="s">
        <v>875</v>
      </c>
      <c r="B390" s="1077">
        <f>B400</f>
        <v>23193000</v>
      </c>
      <c r="C390" s="1089"/>
      <c r="D390" s="1077">
        <f t="shared" si="31"/>
        <v>23193000</v>
      </c>
      <c r="E390"/>
    </row>
    <row r="391" spans="1:6" x14ac:dyDescent="0.2">
      <c r="A391" s="1179" t="s">
        <v>83</v>
      </c>
      <c r="B391" s="1078">
        <f>SUM(B387:B390)</f>
        <v>109093000</v>
      </c>
      <c r="C391" s="1078">
        <f t="shared" ref="C391:D391" si="32">SUM(C387:C390)</f>
        <v>0</v>
      </c>
      <c r="D391" s="1078">
        <f t="shared" si="32"/>
        <v>109093000</v>
      </c>
      <c r="E391"/>
    </row>
    <row r="392" spans="1:6" x14ac:dyDescent="0.2">
      <c r="A392" s="1068"/>
      <c r="B392" s="1180"/>
      <c r="C392" s="1181"/>
      <c r="D392" s="1180"/>
      <c r="E392"/>
    </row>
    <row r="393" spans="1:6" x14ac:dyDescent="0.2">
      <c r="A393" s="1176" t="s">
        <v>865</v>
      </c>
      <c r="B393" s="1075" t="s">
        <v>913</v>
      </c>
      <c r="C393" s="1075" t="s">
        <v>911</v>
      </c>
      <c r="D393" s="1057" t="s">
        <v>83</v>
      </c>
      <c r="E393"/>
    </row>
    <row r="394" spans="1:6" x14ac:dyDescent="0.2">
      <c r="A394" s="1080" t="s">
        <v>876</v>
      </c>
      <c r="B394" s="1182"/>
      <c r="C394" s="1183"/>
      <c r="D394" s="1184"/>
      <c r="E394"/>
    </row>
    <row r="395" spans="1:6" ht="25.5" x14ac:dyDescent="0.2">
      <c r="A395" s="1058" t="s">
        <v>868</v>
      </c>
      <c r="B395" s="1059"/>
      <c r="C395" s="1076"/>
      <c r="D395" s="1077"/>
      <c r="E395"/>
    </row>
    <row r="396" spans="1:6" x14ac:dyDescent="0.2">
      <c r="A396" s="1058" t="s">
        <v>869</v>
      </c>
      <c r="B396" s="1059"/>
      <c r="C396" s="1076"/>
      <c r="D396" s="1077">
        <f>SUM(B396:C396)</f>
        <v>0</v>
      </c>
      <c r="E396"/>
    </row>
    <row r="397" spans="1:6" ht="25.5" x14ac:dyDescent="0.2">
      <c r="A397" s="1080" t="s">
        <v>875</v>
      </c>
      <c r="B397" s="1059"/>
      <c r="C397" s="1076"/>
      <c r="D397" s="1077">
        <f t="shared" ref="D397:D400" si="33">SUM(B397:C397)</f>
        <v>0</v>
      </c>
      <c r="E397"/>
    </row>
    <row r="398" spans="1:6" x14ac:dyDescent="0.2">
      <c r="A398" s="1058" t="s">
        <v>870</v>
      </c>
      <c r="B398" s="1059"/>
      <c r="C398" s="1076"/>
      <c r="D398" s="1077">
        <f t="shared" si="33"/>
        <v>0</v>
      </c>
      <c r="E398"/>
    </row>
    <row r="399" spans="1:6" x14ac:dyDescent="0.2">
      <c r="A399" s="1058" t="s">
        <v>871</v>
      </c>
      <c r="B399" s="1059">
        <f>85000000+900000</f>
        <v>85900000</v>
      </c>
      <c r="C399" s="1076"/>
      <c r="D399" s="1077">
        <f t="shared" si="33"/>
        <v>85900000</v>
      </c>
      <c r="E399" s="638">
        <f>'7. sz. tábla 1'!D141</f>
        <v>109093000</v>
      </c>
      <c r="F399" s="638">
        <f>SUM(B399:B400)</f>
        <v>109093000</v>
      </c>
    </row>
    <row r="400" spans="1:6" ht="25.5" x14ac:dyDescent="0.2">
      <c r="A400" s="1096" t="s">
        <v>875</v>
      </c>
      <c r="B400" s="1097">
        <f>22950000+243000</f>
        <v>23193000</v>
      </c>
      <c r="C400" s="1098"/>
      <c r="D400" s="1077">
        <f t="shared" si="33"/>
        <v>23193000</v>
      </c>
      <c r="E400"/>
    </row>
    <row r="401" spans="1:5" x14ac:dyDescent="0.2">
      <c r="A401" s="1090" t="s">
        <v>83</v>
      </c>
      <c r="B401" s="1091">
        <f>SUM(B394:B400)</f>
        <v>109093000</v>
      </c>
      <c r="C401" s="1091">
        <f t="shared" ref="C401:D401" si="34">SUM(C394:C400)</f>
        <v>0</v>
      </c>
      <c r="D401" s="1091">
        <f t="shared" si="34"/>
        <v>109093000</v>
      </c>
      <c r="E401"/>
    </row>
    <row r="402" spans="1:5" x14ac:dyDescent="0.2">
      <c r="E402"/>
    </row>
    <row r="405" spans="1:5" x14ac:dyDescent="0.2">
      <c r="A405" s="1041"/>
      <c r="B405" s="1043" t="s">
        <v>970</v>
      </c>
      <c r="C405" s="1084"/>
      <c r="D405" s="1045"/>
      <c r="E405" s="1044"/>
    </row>
    <row r="406" spans="1:5" ht="25.5" customHeight="1" x14ac:dyDescent="0.2">
      <c r="A406" s="1046" t="s">
        <v>856</v>
      </c>
      <c r="B406" s="1726" t="s">
        <v>971</v>
      </c>
      <c r="C406" s="1726"/>
      <c r="D406" s="1726"/>
      <c r="E406" s="1199"/>
    </row>
    <row r="407" spans="1:5" x14ac:dyDescent="0.2">
      <c r="A407" s="1047"/>
      <c r="B407" s="1085"/>
      <c r="C407" s="1050"/>
      <c r="D407" s="1050"/>
      <c r="E407" s="1049"/>
    </row>
    <row r="408" spans="1:5" x14ac:dyDescent="0.2">
      <c r="A408" s="1047"/>
      <c r="B408" s="1048"/>
      <c r="C408" s="1050"/>
      <c r="D408" s="1050"/>
      <c r="E408"/>
    </row>
    <row r="409" spans="1:5" ht="18" customHeight="1" x14ac:dyDescent="0.2">
      <c r="A409" s="1424" t="s">
        <v>858</v>
      </c>
      <c r="B409" s="1425" t="s">
        <v>860</v>
      </c>
      <c r="C409" s="1426" t="s">
        <v>913</v>
      </c>
      <c r="D409" s="1364" t="s">
        <v>83</v>
      </c>
      <c r="E409" s="1436"/>
    </row>
    <row r="410" spans="1:5" x14ac:dyDescent="0.2">
      <c r="A410" s="1416" t="s">
        <v>862</v>
      </c>
      <c r="B410" s="1417">
        <v>3564000</v>
      </c>
      <c r="C410" s="1418">
        <v>8661000</v>
      </c>
      <c r="D410" s="1417">
        <f>SUM(B410:C410)</f>
        <v>12225000</v>
      </c>
      <c r="E410" s="1436"/>
    </row>
    <row r="411" spans="1:5" x14ac:dyDescent="0.2">
      <c r="A411" s="1416" t="s">
        <v>863</v>
      </c>
      <c r="B411" s="1417"/>
      <c r="C411" s="1418"/>
      <c r="D411" s="1417">
        <f t="shared" ref="D411:D413" si="35">SUM(B411:C411)</f>
        <v>0</v>
      </c>
      <c r="E411" s="1436"/>
    </row>
    <row r="412" spans="1:5" x14ac:dyDescent="0.2">
      <c r="A412" s="1416" t="s">
        <v>864</v>
      </c>
      <c r="B412" s="1417"/>
      <c r="C412" s="1418"/>
      <c r="D412" s="1417">
        <f t="shared" si="35"/>
        <v>0</v>
      </c>
      <c r="E412" s="1436"/>
    </row>
    <row r="413" spans="1:5" ht="25.5" x14ac:dyDescent="0.2">
      <c r="A413" s="1419" t="s">
        <v>875</v>
      </c>
      <c r="B413" s="1417"/>
      <c r="C413" s="1418"/>
      <c r="D413" s="1417">
        <f t="shared" si="35"/>
        <v>0</v>
      </c>
      <c r="E413" s="1436"/>
    </row>
    <row r="414" spans="1:5" x14ac:dyDescent="0.2">
      <c r="A414" s="1420" t="s">
        <v>83</v>
      </c>
      <c r="B414" s="1421">
        <f>SUM(B410:B413)</f>
        <v>3564000</v>
      </c>
      <c r="C414" s="1421">
        <f t="shared" ref="C414:D414" si="36">SUM(C410:C413)</f>
        <v>8661000</v>
      </c>
      <c r="D414" s="1421">
        <f t="shared" si="36"/>
        <v>12225000</v>
      </c>
      <c r="E414" s="1436"/>
    </row>
    <row r="415" spans="1:5" x14ac:dyDescent="0.2">
      <c r="A415" s="1359"/>
      <c r="B415" s="1422"/>
      <c r="C415" s="1423"/>
      <c r="D415" s="1422"/>
      <c r="E415" s="1436"/>
    </row>
    <row r="416" spans="1:5" x14ac:dyDescent="0.2">
      <c r="A416" s="1424" t="s">
        <v>865</v>
      </c>
      <c r="B416" s="1425" t="s">
        <v>860</v>
      </c>
      <c r="C416" s="1426" t="s">
        <v>913</v>
      </c>
      <c r="D416" s="1364" t="s">
        <v>83</v>
      </c>
      <c r="E416" s="1436"/>
    </row>
    <row r="417" spans="1:6" x14ac:dyDescent="0.2">
      <c r="A417" s="1357" t="s">
        <v>876</v>
      </c>
      <c r="B417" s="1427"/>
      <c r="C417" s="1428">
        <v>195943</v>
      </c>
      <c r="D417" s="1417">
        <f t="shared" ref="D417:D418" si="37">SUM(B417:C417)</f>
        <v>195943</v>
      </c>
      <c r="E417" s="1437">
        <f>'5.tábla (2)'!D12</f>
        <v>195943</v>
      </c>
    </row>
    <row r="418" spans="1:6" ht="25.5" x14ac:dyDescent="0.2">
      <c r="A418" s="1354" t="s">
        <v>868</v>
      </c>
      <c r="B418" s="1430"/>
      <c r="C418" s="1431">
        <v>34290</v>
      </c>
      <c r="D418" s="1417">
        <f t="shared" si="37"/>
        <v>34290</v>
      </c>
      <c r="E418" s="1437">
        <f>'5.tábla (2)'!D22</f>
        <v>34290</v>
      </c>
    </row>
    <row r="419" spans="1:6" x14ac:dyDescent="0.2">
      <c r="A419" s="1354" t="s">
        <v>869</v>
      </c>
      <c r="B419" s="1430"/>
      <c r="C419" s="1431">
        <v>11994767</v>
      </c>
      <c r="D419" s="1417">
        <f>SUM(B419:C419)</f>
        <v>11994767</v>
      </c>
      <c r="E419" s="1437">
        <f>'5.tábla (2)'!D114</f>
        <v>11994767</v>
      </c>
      <c r="F419" s="638">
        <f>SUM(E417:E419)</f>
        <v>12225000</v>
      </c>
    </row>
    <row r="420" spans="1:6" ht="25.5" x14ac:dyDescent="0.2">
      <c r="A420" s="1357" t="s">
        <v>875</v>
      </c>
      <c r="B420" s="1430"/>
      <c r="C420" s="1431"/>
      <c r="D420" s="1417">
        <f t="shared" ref="D420:D423" si="38">SUM(B420:C420)</f>
        <v>0</v>
      </c>
      <c r="E420" s="1436"/>
    </row>
    <row r="421" spans="1:6" x14ac:dyDescent="0.2">
      <c r="A421" s="1354" t="s">
        <v>870</v>
      </c>
      <c r="B421" s="1430"/>
      <c r="C421" s="1431"/>
      <c r="D421" s="1417">
        <f t="shared" si="38"/>
        <v>0</v>
      </c>
      <c r="E421" s="1436"/>
    </row>
    <row r="422" spans="1:6" x14ac:dyDescent="0.2">
      <c r="A422" s="1354" t="s">
        <v>871</v>
      </c>
      <c r="B422" s="1430"/>
      <c r="C422" s="1431"/>
      <c r="D422" s="1417">
        <f t="shared" si="38"/>
        <v>0</v>
      </c>
      <c r="E422" s="1437">
        <f>SUM(B422:B423)</f>
        <v>0</v>
      </c>
    </row>
    <row r="423" spans="1:6" ht="25.5" x14ac:dyDescent="0.2">
      <c r="A423" s="1360" t="s">
        <v>875</v>
      </c>
      <c r="B423" s="1432"/>
      <c r="C423" s="1433"/>
      <c r="D423" s="1417">
        <f t="shared" si="38"/>
        <v>0</v>
      </c>
      <c r="E423" s="1436"/>
    </row>
    <row r="424" spans="1:6" x14ac:dyDescent="0.2">
      <c r="A424" s="1434" t="s">
        <v>83</v>
      </c>
      <c r="B424" s="1435">
        <f>SUM(B417:B423)</f>
        <v>0</v>
      </c>
      <c r="C424" s="1435">
        <f t="shared" ref="C424:D424" si="39">SUM(C417:C423)</f>
        <v>12225000</v>
      </c>
      <c r="D424" s="1435">
        <f t="shared" si="39"/>
        <v>12225000</v>
      </c>
      <c r="E424" s="1436"/>
    </row>
    <row r="425" spans="1:6" x14ac:dyDescent="0.2">
      <c r="A425"/>
      <c r="B425"/>
      <c r="C425"/>
      <c r="D425"/>
      <c r="E425"/>
    </row>
    <row r="426" spans="1:6" x14ac:dyDescent="0.2">
      <c r="A426"/>
      <c r="B426"/>
      <c r="C426"/>
      <c r="D426"/>
      <c r="E426"/>
    </row>
    <row r="427" spans="1:6" ht="25.5" customHeight="1" x14ac:dyDescent="0.2"/>
    <row r="428" spans="1:6" ht="25.5" customHeight="1" x14ac:dyDescent="0.2"/>
    <row r="430" spans="1:6" x14ac:dyDescent="0.2">
      <c r="A430" s="1041"/>
      <c r="B430" s="1043" t="s">
        <v>989</v>
      </c>
      <c r="C430" s="1084"/>
      <c r="D430" s="1045"/>
      <c r="E430" s="1044"/>
    </row>
    <row r="431" spans="1:6" ht="25.5" customHeight="1" x14ac:dyDescent="0.2">
      <c r="A431" s="1046" t="s">
        <v>856</v>
      </c>
      <c r="B431" s="1731" t="s">
        <v>990</v>
      </c>
      <c r="C431" s="1731"/>
      <c r="D431" s="1731"/>
      <c r="E431" s="1731"/>
    </row>
    <row r="432" spans="1:6" x14ac:dyDescent="0.2">
      <c r="A432" s="1047"/>
      <c r="B432" s="1085"/>
      <c r="C432" s="1050"/>
      <c r="D432" s="1050"/>
      <c r="E432" s="1049"/>
    </row>
    <row r="433" spans="1:7" x14ac:dyDescent="0.2">
      <c r="A433" s="1047"/>
      <c r="B433" s="1048"/>
      <c r="C433" s="1052"/>
      <c r="D433" s="1052"/>
      <c r="E433" s="1051"/>
    </row>
    <row r="434" spans="1:7" ht="25.5" customHeight="1" x14ac:dyDescent="0.2">
      <c r="A434" s="1356" t="s">
        <v>858</v>
      </c>
      <c r="B434" s="1361" t="s">
        <v>894</v>
      </c>
      <c r="C434" s="1362" t="s">
        <v>913</v>
      </c>
      <c r="D434" s="1363" t="s">
        <v>911</v>
      </c>
      <c r="E434" s="1364" t="s">
        <v>83</v>
      </c>
    </row>
    <row r="435" spans="1:7" ht="27.75" customHeight="1" x14ac:dyDescent="0.2">
      <c r="A435" s="1354" t="s">
        <v>862</v>
      </c>
      <c r="B435" s="1366"/>
      <c r="C435" s="1366">
        <f>6243326+252899674</f>
        <v>259143000</v>
      </c>
      <c r="D435" s="1367"/>
      <c r="E435" s="1368">
        <f>SUM(B435:D435)</f>
        <v>259143000</v>
      </c>
    </row>
    <row r="436" spans="1:7" x14ac:dyDescent="0.2">
      <c r="A436" s="1354" t="s">
        <v>863</v>
      </c>
      <c r="B436" s="1366"/>
      <c r="C436" s="1366"/>
      <c r="D436" s="1367"/>
      <c r="E436" s="1368">
        <f>SUM(B436:D436)</f>
        <v>0</v>
      </c>
    </row>
    <row r="437" spans="1:7" x14ac:dyDescent="0.2">
      <c r="A437" s="1354" t="s">
        <v>864</v>
      </c>
      <c r="B437" s="1366"/>
      <c r="C437" s="1366">
        <f>71000000+67111132+2700000+3200000</f>
        <v>144011132</v>
      </c>
      <c r="D437" s="1367"/>
      <c r="E437" s="1368">
        <f>SUM(B437:D437)</f>
        <v>144011132</v>
      </c>
    </row>
    <row r="438" spans="1:7" ht="25.5" x14ac:dyDescent="0.2">
      <c r="A438" s="1357" t="s">
        <v>875</v>
      </c>
      <c r="B438" s="1366"/>
      <c r="C438" s="1369">
        <f>C445+C448</f>
        <v>4156245</v>
      </c>
      <c r="D438" s="1367"/>
      <c r="E438" s="1368">
        <f>SUM(B438:D438)</f>
        <v>4156245</v>
      </c>
    </row>
    <row r="439" spans="1:7" x14ac:dyDescent="0.2">
      <c r="A439" s="1358" t="s">
        <v>83</v>
      </c>
      <c r="B439" s="1361">
        <f>SUM(B435:B438)</f>
        <v>0</v>
      </c>
      <c r="C439" s="1361">
        <f>SUM(C435:C438)</f>
        <v>407310377</v>
      </c>
      <c r="D439" s="1361">
        <f>SUM(D435:D438)</f>
        <v>0</v>
      </c>
      <c r="E439" s="1361">
        <f>SUM(E435:E438)</f>
        <v>407310377</v>
      </c>
    </row>
    <row r="440" spans="1:7" x14ac:dyDescent="0.2">
      <c r="A440" s="1359"/>
      <c r="B440" s="1370"/>
      <c r="C440" s="1371"/>
      <c r="D440" s="1372"/>
      <c r="E440" s="1373"/>
    </row>
    <row r="441" spans="1:7" ht="38.25" x14ac:dyDescent="0.2">
      <c r="A441" s="1356" t="s">
        <v>865</v>
      </c>
      <c r="B441" s="1365" t="s">
        <v>931</v>
      </c>
      <c r="C441" s="1362" t="s">
        <v>913</v>
      </c>
      <c r="D441" s="1363" t="s">
        <v>911</v>
      </c>
      <c r="E441" s="1364" t="s">
        <v>83</v>
      </c>
    </row>
    <row r="442" spans="1:7" x14ac:dyDescent="0.2">
      <c r="A442" s="1357" t="s">
        <v>876</v>
      </c>
      <c r="B442" s="1366"/>
      <c r="C442" s="1374">
        <v>425540</v>
      </c>
      <c r="D442" s="1375"/>
      <c r="E442" s="1368">
        <f t="shared" ref="E442:E448" si="40">SUM(B442:D442)</f>
        <v>425540</v>
      </c>
      <c r="F442" s="638">
        <f>'5.tábla (2)'!D60</f>
        <v>425540</v>
      </c>
    </row>
    <row r="443" spans="1:7" ht="25.5" x14ac:dyDescent="0.2">
      <c r="A443" s="1354" t="s">
        <v>868</v>
      </c>
      <c r="B443" s="1366"/>
      <c r="C443" s="1374">
        <v>74286</v>
      </c>
      <c r="D443" s="1375"/>
      <c r="E443" s="1368">
        <f t="shared" si="40"/>
        <v>74286</v>
      </c>
      <c r="F443" s="638">
        <f>'5.tábla (2)'!D73</f>
        <v>74286</v>
      </c>
    </row>
    <row r="444" spans="1:7" ht="20.25" customHeight="1" x14ac:dyDescent="0.2">
      <c r="A444" s="1354" t="s">
        <v>869</v>
      </c>
      <c r="B444" s="1366"/>
      <c r="C444" s="1374">
        <f>5743500+1500000+1700000</f>
        <v>8943500</v>
      </c>
      <c r="D444" s="1375"/>
      <c r="E444" s="1368">
        <f t="shared" si="40"/>
        <v>8943500</v>
      </c>
      <c r="F444" s="638">
        <f>'5.tábla (2)'!D117</f>
        <v>11331245</v>
      </c>
      <c r="G444" s="638">
        <f>SUM(C444:C445)</f>
        <v>11331245</v>
      </c>
    </row>
    <row r="445" spans="1:7" ht="25.5" x14ac:dyDescent="0.2">
      <c r="A445" s="1357" t="s">
        <v>875</v>
      </c>
      <c r="B445" s="1366"/>
      <c r="C445" s="1374">
        <f>1523745+864000</f>
        <v>2387745</v>
      </c>
      <c r="D445" s="1375"/>
      <c r="E445" s="1368">
        <f t="shared" si="40"/>
        <v>2387745</v>
      </c>
    </row>
    <row r="446" spans="1:7" x14ac:dyDescent="0.2">
      <c r="A446" s="1354" t="s">
        <v>870</v>
      </c>
      <c r="B446" s="1366"/>
      <c r="C446" s="1374"/>
      <c r="D446" s="1375"/>
      <c r="E446" s="1368">
        <f t="shared" si="40"/>
        <v>0</v>
      </c>
    </row>
    <row r="447" spans="1:7" ht="20.25" customHeight="1" x14ac:dyDescent="0.2">
      <c r="A447" s="1354" t="s">
        <v>871</v>
      </c>
      <c r="B447" s="1366"/>
      <c r="C447" s="1374">
        <f>252899674+71000000+67111132+2700000</f>
        <v>393710806</v>
      </c>
      <c r="D447" s="1375"/>
      <c r="E447" s="1368">
        <f t="shared" si="40"/>
        <v>393710806</v>
      </c>
      <c r="F447" s="638">
        <f>'7. sz. tábla 1'!D129</f>
        <v>395479306</v>
      </c>
      <c r="G447" s="638">
        <f>SUM(C447:C448)</f>
        <v>395479306</v>
      </c>
    </row>
    <row r="448" spans="1:7" ht="25.5" x14ac:dyDescent="0.2">
      <c r="A448" s="1360" t="s">
        <v>875</v>
      </c>
      <c r="B448" s="1376"/>
      <c r="C448" s="1377">
        <f>1039500+729000</f>
        <v>1768500</v>
      </c>
      <c r="D448" s="1375"/>
      <c r="E448" s="1368">
        <f t="shared" si="40"/>
        <v>1768500</v>
      </c>
    </row>
    <row r="449" spans="1:5" x14ac:dyDescent="0.2">
      <c r="A449" s="1090" t="s">
        <v>83</v>
      </c>
      <c r="B449" s="1378">
        <f>SUM(B442:B448)</f>
        <v>0</v>
      </c>
      <c r="C449" s="1378">
        <f>SUM(C442:C448)</f>
        <v>407310377</v>
      </c>
      <c r="D449" s="1378">
        <f>SUM(D442:D448)</f>
        <v>0</v>
      </c>
      <c r="E449" s="1378">
        <f>SUM(E442:E448)</f>
        <v>407310377</v>
      </c>
    </row>
    <row r="450" spans="1:5" x14ac:dyDescent="0.2">
      <c r="A450" s="1355"/>
    </row>
    <row r="453" spans="1:5" ht="14.25" x14ac:dyDescent="0.2">
      <c r="A453" s="1041"/>
      <c r="B453" s="1415" t="s">
        <v>1014</v>
      </c>
      <c r="C453" s="1084"/>
      <c r="D453" s="1045"/>
    </row>
    <row r="454" spans="1:5" ht="25.5" x14ac:dyDescent="0.2">
      <c r="A454" s="1046" t="s">
        <v>856</v>
      </c>
      <c r="B454" s="1726" t="s">
        <v>1015</v>
      </c>
      <c r="C454" s="1726"/>
      <c r="D454" s="1726"/>
    </row>
    <row r="455" spans="1:5" x14ac:dyDescent="0.2">
      <c r="A455" s="1047"/>
      <c r="B455" s="1085"/>
      <c r="C455" s="1050"/>
      <c r="D455" s="1050"/>
    </row>
    <row r="456" spans="1:5" x14ac:dyDescent="0.2">
      <c r="A456" s="1047"/>
      <c r="B456" s="1048"/>
      <c r="C456" s="1050"/>
      <c r="D456" s="1050"/>
    </row>
    <row r="457" spans="1:5" ht="22.5" customHeight="1" x14ac:dyDescent="0.2">
      <c r="A457" s="1424" t="s">
        <v>858</v>
      </c>
      <c r="B457" s="1426" t="s">
        <v>913</v>
      </c>
      <c r="C457" s="1363" t="s">
        <v>911</v>
      </c>
      <c r="D457" s="1364" t="s">
        <v>83</v>
      </c>
      <c r="E457" s="1438"/>
    </row>
    <row r="458" spans="1:5" ht="22.5" customHeight="1" x14ac:dyDescent="0.2">
      <c r="A458" s="1416" t="s">
        <v>862</v>
      </c>
      <c r="B458" s="1418">
        <v>2361525</v>
      </c>
      <c r="C458" s="1418"/>
      <c r="D458" s="1417">
        <f>SUM(B458:C458)</f>
        <v>2361525</v>
      </c>
      <c r="E458" s="1438"/>
    </row>
    <row r="459" spans="1:5" x14ac:dyDescent="0.2">
      <c r="A459" s="1416" t="s">
        <v>863</v>
      </c>
      <c r="B459" s="1418"/>
      <c r="C459" s="1418"/>
      <c r="D459" s="1417">
        <f t="shared" ref="D459:D461" si="41">SUM(B459:C459)</f>
        <v>0</v>
      </c>
      <c r="E459" s="1438"/>
    </row>
    <row r="460" spans="1:5" x14ac:dyDescent="0.2">
      <c r="A460" s="1416" t="s">
        <v>864</v>
      </c>
      <c r="B460" s="1418">
        <v>637612</v>
      </c>
      <c r="C460" s="1418"/>
      <c r="D460" s="1417">
        <f t="shared" si="41"/>
        <v>637612</v>
      </c>
      <c r="E460" s="1438"/>
    </row>
    <row r="461" spans="1:5" ht="25.5" x14ac:dyDescent="0.2">
      <c r="A461" s="1419" t="s">
        <v>875</v>
      </c>
      <c r="B461" s="1418"/>
      <c r="C461" s="1418"/>
      <c r="D461" s="1417">
        <f t="shared" si="41"/>
        <v>0</v>
      </c>
      <c r="E461" s="1438"/>
    </row>
    <row r="462" spans="1:5" x14ac:dyDescent="0.2">
      <c r="A462" s="1420" t="s">
        <v>83</v>
      </c>
      <c r="B462" s="1421">
        <f t="shared" ref="B462" si="42">SUM(B458:B461)</f>
        <v>2999137</v>
      </c>
      <c r="C462" s="1421">
        <f t="shared" ref="C462:D462" si="43">SUM(C458:C461)</f>
        <v>0</v>
      </c>
      <c r="D462" s="1421">
        <f t="shared" si="43"/>
        <v>2999137</v>
      </c>
      <c r="E462" s="1438"/>
    </row>
    <row r="463" spans="1:5" x14ac:dyDescent="0.2">
      <c r="A463" s="1359"/>
      <c r="B463" s="1423"/>
      <c r="C463" s="1423"/>
      <c r="D463" s="1422"/>
      <c r="E463" s="1438"/>
    </row>
    <row r="464" spans="1:5" ht="33" customHeight="1" x14ac:dyDescent="0.2">
      <c r="A464" s="1424" t="s">
        <v>865</v>
      </c>
      <c r="B464" s="1426" t="s">
        <v>913</v>
      </c>
      <c r="C464" s="1363" t="s">
        <v>911</v>
      </c>
      <c r="D464" s="1364" t="s">
        <v>83</v>
      </c>
      <c r="E464" s="1438"/>
    </row>
    <row r="465" spans="1:5" x14ac:dyDescent="0.2">
      <c r="A465" s="1357" t="s">
        <v>876</v>
      </c>
      <c r="B465" s="1428"/>
      <c r="C465" s="1428"/>
      <c r="D465" s="1429"/>
      <c r="E465" s="1438"/>
    </row>
    <row r="466" spans="1:5" ht="25.5" x14ac:dyDescent="0.2">
      <c r="A466" s="1354" t="s">
        <v>868</v>
      </c>
      <c r="B466" s="1431"/>
      <c r="C466" s="1431"/>
      <c r="D466" s="1417"/>
      <c r="E466" s="1438"/>
    </row>
    <row r="467" spans="1:5" x14ac:dyDescent="0.2">
      <c r="A467" s="1354" t="s">
        <v>869</v>
      </c>
      <c r="B467" s="1431">
        <v>2999137</v>
      </c>
      <c r="C467" s="1431"/>
      <c r="D467" s="1417">
        <f>SUM(B467:C467)</f>
        <v>2999137</v>
      </c>
      <c r="E467" s="1617">
        <f>'5.tábla (2)'!D116</f>
        <v>2999137</v>
      </c>
    </row>
    <row r="468" spans="1:5" ht="25.5" x14ac:dyDescent="0.2">
      <c r="A468" s="1357" t="s">
        <v>875</v>
      </c>
      <c r="B468" s="1431"/>
      <c r="C468" s="1431"/>
      <c r="D468" s="1417">
        <f t="shared" ref="D468:D471" si="44">SUM(B468:C468)</f>
        <v>0</v>
      </c>
      <c r="E468" s="1438"/>
    </row>
    <row r="469" spans="1:5" x14ac:dyDescent="0.2">
      <c r="A469" s="1354" t="s">
        <v>870</v>
      </c>
      <c r="B469" s="1431"/>
      <c r="C469" s="1431"/>
      <c r="D469" s="1417">
        <f t="shared" si="44"/>
        <v>0</v>
      </c>
      <c r="E469" s="1438"/>
    </row>
    <row r="470" spans="1:5" x14ac:dyDescent="0.2">
      <c r="A470" s="1354" t="s">
        <v>871</v>
      </c>
      <c r="B470" s="1431"/>
      <c r="C470" s="1431"/>
      <c r="D470" s="1417">
        <f t="shared" si="44"/>
        <v>0</v>
      </c>
      <c r="E470" s="1438"/>
    </row>
    <row r="471" spans="1:5" ht="25.5" x14ac:dyDescent="0.2">
      <c r="A471" s="1360" t="s">
        <v>875</v>
      </c>
      <c r="B471" s="1433"/>
      <c r="C471" s="1433"/>
      <c r="D471" s="1417">
        <f t="shared" si="44"/>
        <v>0</v>
      </c>
      <c r="E471" s="1438"/>
    </row>
    <row r="472" spans="1:5" x14ac:dyDescent="0.2">
      <c r="A472" s="1434" t="s">
        <v>83</v>
      </c>
      <c r="B472" s="1435">
        <f t="shared" ref="B472" si="45">SUM(B465:B471)</f>
        <v>2999137</v>
      </c>
      <c r="C472" s="1435">
        <f t="shared" ref="C472:D472" si="46">SUM(C465:C471)</f>
        <v>0</v>
      </c>
      <c r="D472" s="1435">
        <f t="shared" si="46"/>
        <v>2999137</v>
      </c>
      <c r="E472" s="1438"/>
    </row>
  </sheetData>
  <mergeCells count="24">
    <mergeCell ref="B182:E182"/>
    <mergeCell ref="B253:E253"/>
    <mergeCell ref="B454:D454"/>
    <mergeCell ref="B250:E250"/>
    <mergeCell ref="A1:E2"/>
    <mergeCell ref="B5:D5"/>
    <mergeCell ref="B25:D25"/>
    <mergeCell ref="B48:D48"/>
    <mergeCell ref="B68:D68"/>
    <mergeCell ref="B91:D91"/>
    <mergeCell ref="B114:D114"/>
    <mergeCell ref="B138:E138"/>
    <mergeCell ref="B158:E158"/>
    <mergeCell ref="B205:E205"/>
    <mergeCell ref="B228:E229"/>
    <mergeCell ref="B431:E431"/>
    <mergeCell ref="B406:D406"/>
    <mergeCell ref="B383:E383"/>
    <mergeCell ref="B343:E343"/>
    <mergeCell ref="B275:E276"/>
    <mergeCell ref="B297:E298"/>
    <mergeCell ref="B321:E321"/>
    <mergeCell ref="B341:E341"/>
    <mergeCell ref="B361:E361"/>
  </mergeCells>
  <pageMargins left="0" right="0" top="0.85416666666666663" bottom="0.74803149606299213" header="0.31496062992125984" footer="0.31496062992125984"/>
  <pageSetup paperSize="9" scale="87" orientation="portrait" r:id="rId1"/>
  <headerFooter>
    <oddHeader>&amp;C10. melléklet 
a 6/2021. (III.05.) önkormányzati rendelethez
 az önkormányzat 2020. évi költségvetéséről szóló 6/2020. (III.06.) önkormányzati rendelet 
13. mellékletének helyébe a következő 10. melléklet lép:  &amp;R&amp;P. oldal</oddHeader>
  </headerFooter>
  <rowBreaks count="9" manualBreakCount="9">
    <brk id="45" max="16383" man="1"/>
    <brk id="87" max="16383" man="1"/>
    <brk id="178" max="16383" man="1"/>
    <brk id="223" max="6" man="1"/>
    <brk id="273" max="6" man="1"/>
    <brk id="317" max="6" man="1"/>
    <brk id="359" max="6" man="1"/>
    <brk id="403" max="6" man="1"/>
    <brk id="45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Layout" topLeftCell="F28" zoomScale="86" zoomScaleNormal="100" zoomScaleSheetLayoutView="89" zoomScalePageLayoutView="86" workbookViewId="0">
      <selection activeCell="H24" sqref="H24"/>
    </sheetView>
  </sheetViews>
  <sheetFormatPr defaultColWidth="9.140625" defaultRowHeight="12.75" x14ac:dyDescent="0.2"/>
  <cols>
    <col min="1" max="1" width="51" style="1038" customWidth="1"/>
    <col min="2" max="2" width="17.28515625" style="1039" bestFit="1" customWidth="1"/>
    <col min="3" max="5" width="16.7109375" style="1039" bestFit="1" customWidth="1"/>
    <col min="6" max="7" width="16.85546875" style="1039" bestFit="1" customWidth="1"/>
    <col min="8" max="9" width="16.7109375" style="1039" bestFit="1" customWidth="1"/>
    <col min="10" max="10" width="16.85546875" style="1039" bestFit="1" customWidth="1"/>
    <col min="11" max="11" width="17.140625" style="1039" customWidth="1"/>
    <col min="12" max="13" width="17.28515625" style="1039" bestFit="1" customWidth="1"/>
    <col min="14" max="14" width="18.5703125" style="1039" customWidth="1"/>
    <col min="15" max="15" width="17" style="94" customWidth="1"/>
    <col min="16" max="16" width="15.28515625" style="94" customWidth="1"/>
    <col min="17" max="17" width="13.5703125" style="94" bestFit="1" customWidth="1"/>
    <col min="18" max="16384" width="9.140625" style="985"/>
  </cols>
  <sheetData>
    <row r="1" spans="1:18" ht="15" x14ac:dyDescent="0.2">
      <c r="A1" s="983"/>
      <c r="B1" s="984"/>
      <c r="C1" s="984"/>
      <c r="D1" s="984"/>
      <c r="E1" s="984"/>
      <c r="F1" s="984"/>
      <c r="G1" s="984"/>
      <c r="H1" s="984"/>
      <c r="I1" s="984"/>
      <c r="J1" s="984"/>
      <c r="K1" s="984"/>
      <c r="L1" s="984"/>
      <c r="M1" s="984"/>
      <c r="N1" s="984"/>
    </row>
    <row r="2" spans="1:18" ht="15" x14ac:dyDescent="0.2">
      <c r="A2" s="986"/>
      <c r="B2" s="984"/>
      <c r="C2" s="984"/>
      <c r="D2" s="984"/>
      <c r="E2" s="984"/>
      <c r="F2" s="984"/>
      <c r="G2" s="984"/>
      <c r="H2" s="984"/>
      <c r="I2" s="984"/>
      <c r="J2" s="984"/>
      <c r="K2" s="984"/>
      <c r="L2" s="984"/>
      <c r="M2" s="1732"/>
      <c r="N2" s="1732"/>
    </row>
    <row r="3" spans="1:18" ht="15.75" customHeight="1" x14ac:dyDescent="0.25">
      <c r="A3" s="1733" t="s">
        <v>977</v>
      </c>
      <c r="B3" s="1733"/>
      <c r="C3" s="1733"/>
      <c r="D3" s="1733"/>
      <c r="E3" s="1733"/>
      <c r="F3" s="1733"/>
      <c r="G3" s="1733"/>
      <c r="H3" s="1733"/>
      <c r="I3" s="1733"/>
      <c r="J3" s="1733"/>
      <c r="K3" s="1733"/>
      <c r="L3" s="1733"/>
      <c r="M3" s="1733"/>
      <c r="N3" s="1733"/>
      <c r="O3" s="1733"/>
    </row>
    <row r="4" spans="1:18" ht="15" x14ac:dyDescent="0.2">
      <c r="A4" s="983"/>
      <c r="B4" s="984"/>
      <c r="C4" s="984"/>
      <c r="D4" s="984"/>
      <c r="E4" s="984"/>
      <c r="F4" s="984"/>
      <c r="G4" s="984"/>
      <c r="H4" s="984"/>
      <c r="I4" s="984"/>
      <c r="J4" s="984"/>
      <c r="K4" s="984"/>
      <c r="L4" s="984"/>
      <c r="M4" s="984"/>
      <c r="N4" s="987"/>
    </row>
    <row r="5" spans="1:18" ht="15" x14ac:dyDescent="0.2">
      <c r="A5" s="988" t="s">
        <v>86</v>
      </c>
      <c r="B5" s="988" t="s">
        <v>807</v>
      </c>
      <c r="C5" s="988" t="s">
        <v>808</v>
      </c>
      <c r="D5" s="988" t="s">
        <v>809</v>
      </c>
      <c r="E5" s="988" t="s">
        <v>810</v>
      </c>
      <c r="F5" s="988" t="s">
        <v>811</v>
      </c>
      <c r="G5" s="988" t="s">
        <v>812</v>
      </c>
      <c r="H5" s="988" t="s">
        <v>813</v>
      </c>
      <c r="I5" s="988" t="s">
        <v>814</v>
      </c>
      <c r="J5" s="988" t="s">
        <v>815</v>
      </c>
      <c r="K5" s="988" t="s">
        <v>816</v>
      </c>
      <c r="L5" s="988" t="s">
        <v>817</v>
      </c>
      <c r="M5" s="988" t="s">
        <v>818</v>
      </c>
      <c r="N5" s="988" t="s">
        <v>83</v>
      </c>
    </row>
    <row r="6" spans="1:18" ht="15.75" x14ac:dyDescent="0.25">
      <c r="A6" s="989" t="s">
        <v>819</v>
      </c>
      <c r="B6" s="990">
        <v>3387886587</v>
      </c>
      <c r="C6" s="990">
        <f t="shared" ref="C6:M6" si="0">B54</f>
        <v>4315561559</v>
      </c>
      <c r="D6" s="990">
        <f t="shared" si="0"/>
        <v>4030106573</v>
      </c>
      <c r="E6" s="990">
        <f t="shared" si="0"/>
        <v>3214604515</v>
      </c>
      <c r="F6" s="990">
        <f t="shared" si="0"/>
        <v>3145347405</v>
      </c>
      <c r="G6" s="990">
        <f t="shared" si="0"/>
        <v>2913037902</v>
      </c>
      <c r="H6" s="990">
        <f t="shared" si="0"/>
        <v>2912546326</v>
      </c>
      <c r="I6" s="990">
        <f t="shared" si="0"/>
        <v>2350302463</v>
      </c>
      <c r="J6" s="990">
        <f t="shared" si="0"/>
        <v>2872349458</v>
      </c>
      <c r="K6" s="990">
        <f t="shared" si="0"/>
        <v>2702947161</v>
      </c>
      <c r="L6" s="990">
        <f t="shared" si="0"/>
        <v>2273742745</v>
      </c>
      <c r="M6" s="990">
        <f t="shared" si="0"/>
        <v>1471696247</v>
      </c>
      <c r="N6" s="990">
        <f>Q6</f>
        <v>3387886587</v>
      </c>
      <c r="O6" s="991">
        <v>3322840565</v>
      </c>
      <c r="P6" s="992">
        <f>12730744+36399744+4830504+11085416-386</f>
        <v>65046022</v>
      </c>
      <c r="Q6" s="993">
        <f>SUM(O6:P6)</f>
        <v>3387886587</v>
      </c>
      <c r="R6" s="94"/>
    </row>
    <row r="7" spans="1:18" ht="15.75" x14ac:dyDescent="0.25">
      <c r="A7" s="994" t="s">
        <v>386</v>
      </c>
      <c r="B7" s="995"/>
      <c r="C7" s="995"/>
      <c r="D7" s="995"/>
      <c r="E7" s="995"/>
      <c r="F7" s="995"/>
      <c r="G7" s="995"/>
      <c r="H7" s="995"/>
      <c r="I7" s="995"/>
      <c r="J7" s="995"/>
      <c r="K7" s="995"/>
      <c r="L7" s="995"/>
      <c r="M7" s="995"/>
      <c r="N7" s="995"/>
    </row>
    <row r="8" spans="1:18" ht="15" x14ac:dyDescent="0.2">
      <c r="A8" s="996" t="s">
        <v>820</v>
      </c>
      <c r="B8" s="997">
        <v>163453866</v>
      </c>
      <c r="C8" s="997">
        <v>88869540</v>
      </c>
      <c r="D8" s="997">
        <v>107269633</v>
      </c>
      <c r="E8" s="997">
        <v>88663001</v>
      </c>
      <c r="F8" s="997">
        <v>60075504</v>
      </c>
      <c r="G8" s="997">
        <v>62308376</v>
      </c>
      <c r="H8" s="997">
        <v>62798744</v>
      </c>
      <c r="I8" s="997">
        <v>113709508</v>
      </c>
      <c r="J8" s="997">
        <v>59993014</v>
      </c>
      <c r="K8" s="997">
        <v>77373786</v>
      </c>
      <c r="L8" s="997">
        <v>281669839</v>
      </c>
      <c r="M8" s="997">
        <v>284154010</v>
      </c>
      <c r="N8" s="998">
        <f t="shared" ref="N8:N16" si="1">SUM(B8:M8)</f>
        <v>1450338821</v>
      </c>
      <c r="O8" s="993">
        <f>'2.sz.tábla   (2)'!D7</f>
        <v>1450338821</v>
      </c>
      <c r="P8" s="993">
        <f>O8-N8</f>
        <v>0</v>
      </c>
    </row>
    <row r="9" spans="1:18" ht="15" x14ac:dyDescent="0.2">
      <c r="A9" s="999" t="s">
        <v>821</v>
      </c>
      <c r="B9" s="998">
        <v>15537000</v>
      </c>
      <c r="C9" s="998">
        <v>30000000</v>
      </c>
      <c r="D9" s="998">
        <v>500000000</v>
      </c>
      <c r="E9" s="998">
        <v>70000000</v>
      </c>
      <c r="F9" s="998">
        <v>70000000</v>
      </c>
      <c r="G9" s="998">
        <v>25000000</v>
      </c>
      <c r="H9" s="998">
        <v>20000000</v>
      </c>
      <c r="I9" s="998">
        <v>50000000</v>
      </c>
      <c r="J9" s="998">
        <v>610000000</v>
      </c>
      <c r="K9" s="998">
        <v>22000000</v>
      </c>
      <c r="L9" s="998">
        <v>62435000</v>
      </c>
      <c r="M9" s="998">
        <v>152145610</v>
      </c>
      <c r="N9" s="998">
        <f t="shared" si="1"/>
        <v>1627117610</v>
      </c>
      <c r="O9" s="993">
        <f>'2.sz.tábla   (2)'!D30</f>
        <v>1627117610</v>
      </c>
      <c r="P9" s="993">
        <f t="shared" ref="P9:P27" si="2">O9-N9</f>
        <v>0</v>
      </c>
    </row>
    <row r="10" spans="1:18" ht="15" x14ac:dyDescent="0.2">
      <c r="A10" s="999" t="s">
        <v>774</v>
      </c>
      <c r="B10" s="998">
        <v>14348619</v>
      </c>
      <c r="C10" s="998">
        <v>26030491</v>
      </c>
      <c r="D10" s="998">
        <v>24373946</v>
      </c>
      <c r="E10" s="998">
        <v>15463664</v>
      </c>
      <c r="F10" s="998">
        <v>39802549</v>
      </c>
      <c r="G10" s="998">
        <v>20229558</v>
      </c>
      <c r="H10" s="998">
        <v>93691166</v>
      </c>
      <c r="I10" s="998">
        <v>155342976</v>
      </c>
      <c r="J10" s="998">
        <v>63982196</v>
      </c>
      <c r="K10" s="998">
        <v>22197076</v>
      </c>
      <c r="L10" s="998">
        <v>15950576</v>
      </c>
      <c r="M10" s="998">
        <f>323654522-72547</f>
        <v>323581975</v>
      </c>
      <c r="N10" s="998">
        <f>SUM(B10:M10)</f>
        <v>814994792</v>
      </c>
      <c r="O10" s="993">
        <f>'2.sz.tábla   (2)'!D43</f>
        <v>814994792</v>
      </c>
      <c r="P10" s="993">
        <f t="shared" si="2"/>
        <v>0</v>
      </c>
    </row>
    <row r="11" spans="1:18" ht="15" x14ac:dyDescent="0.2">
      <c r="A11" s="1000" t="s">
        <v>822</v>
      </c>
      <c r="B11" s="998">
        <v>0</v>
      </c>
      <c r="C11" s="998">
        <v>0</v>
      </c>
      <c r="D11" s="998">
        <v>0</v>
      </c>
      <c r="E11" s="998">
        <v>500754</v>
      </c>
      <c r="F11" s="998">
        <v>0</v>
      </c>
      <c r="G11" s="998">
        <v>0</v>
      </c>
      <c r="H11" s="998">
        <v>0</v>
      </c>
      <c r="I11" s="998">
        <v>0</v>
      </c>
      <c r="J11" s="998">
        <v>220000</v>
      </c>
      <c r="K11" s="998">
        <v>15000000</v>
      </c>
      <c r="L11" s="998">
        <v>0</v>
      </c>
      <c r="M11" s="998">
        <v>4000000</v>
      </c>
      <c r="N11" s="998">
        <f t="shared" si="1"/>
        <v>19720754</v>
      </c>
      <c r="O11" s="993">
        <f>'2.sz.tábla   (2)'!D66</f>
        <v>19720754</v>
      </c>
      <c r="P11" s="993">
        <f t="shared" si="2"/>
        <v>0</v>
      </c>
    </row>
    <row r="12" spans="1:18" ht="15" customHeight="1" x14ac:dyDescent="0.2">
      <c r="A12" s="1001" t="s">
        <v>823</v>
      </c>
      <c r="B12" s="998"/>
      <c r="C12" s="998"/>
      <c r="D12" s="998"/>
      <c r="E12" s="998"/>
      <c r="F12" s="998"/>
      <c r="G12" s="998"/>
      <c r="H12" s="998"/>
      <c r="I12" s="998"/>
      <c r="J12" s="998"/>
      <c r="K12" s="998"/>
      <c r="L12" s="998"/>
      <c r="M12" s="998"/>
      <c r="N12" s="998">
        <f t="shared" si="1"/>
        <v>0</v>
      </c>
      <c r="P12" s="993">
        <f t="shared" si="2"/>
        <v>0</v>
      </c>
    </row>
    <row r="13" spans="1:18" s="1003" customFormat="1" ht="15" customHeight="1" x14ac:dyDescent="0.2">
      <c r="A13" s="996" t="s">
        <v>820</v>
      </c>
      <c r="B13" s="998">
        <v>0</v>
      </c>
      <c r="C13" s="998">
        <v>0</v>
      </c>
      <c r="D13" s="1002">
        <v>7519702</v>
      </c>
      <c r="E13" s="1002">
        <v>2506567</v>
      </c>
      <c r="F13" s="1002">
        <v>2506567</v>
      </c>
      <c r="G13" s="1002">
        <v>2506567</v>
      </c>
      <c r="H13" s="1002">
        <v>0</v>
      </c>
      <c r="I13" s="1002">
        <v>885020</v>
      </c>
      <c r="J13" s="1002">
        <v>1990554</v>
      </c>
      <c r="K13" s="1002">
        <v>1990552</v>
      </c>
      <c r="L13" s="1002">
        <v>1990552</v>
      </c>
      <c r="M13" s="1002">
        <v>1990554</v>
      </c>
      <c r="N13" s="998">
        <f t="shared" si="1"/>
        <v>23886635</v>
      </c>
      <c r="O13" s="993">
        <f>'2.sz.tábla   (2)'!H7</f>
        <v>23886635</v>
      </c>
      <c r="P13" s="993">
        <f t="shared" si="2"/>
        <v>0</v>
      </c>
      <c r="Q13" s="94"/>
    </row>
    <row r="14" spans="1:18" ht="15" customHeight="1" x14ac:dyDescent="0.2">
      <c r="A14" s="999" t="s">
        <v>821</v>
      </c>
      <c r="B14" s="998"/>
      <c r="C14" s="998"/>
      <c r="D14" s="998"/>
      <c r="E14" s="998"/>
      <c r="F14" s="998"/>
      <c r="G14" s="998"/>
      <c r="H14" s="998"/>
      <c r="I14" s="998"/>
      <c r="J14" s="998"/>
      <c r="K14" s="998"/>
      <c r="L14" s="998"/>
      <c r="M14" s="998"/>
      <c r="N14" s="998">
        <f t="shared" si="1"/>
        <v>0</v>
      </c>
      <c r="O14" s="993">
        <f>'2.sz.tábla   (2)'!H42</f>
        <v>0</v>
      </c>
      <c r="P14" s="993">
        <f t="shared" si="2"/>
        <v>0</v>
      </c>
    </row>
    <row r="15" spans="1:18" ht="15" customHeight="1" x14ac:dyDescent="0.2">
      <c r="A15" s="999" t="s">
        <v>774</v>
      </c>
      <c r="B15" s="998">
        <v>1807515</v>
      </c>
      <c r="C15" s="998">
        <v>2780640</v>
      </c>
      <c r="D15" s="998">
        <v>3134640</v>
      </c>
      <c r="E15" s="998">
        <v>2852015</v>
      </c>
      <c r="F15" s="998">
        <v>4676015</v>
      </c>
      <c r="G15" s="998">
        <v>3405380</v>
      </c>
      <c r="H15" s="998">
        <v>2471015</v>
      </c>
      <c r="I15" s="998">
        <v>2770380</v>
      </c>
      <c r="J15" s="998">
        <v>2706015</v>
      </c>
      <c r="K15" s="998">
        <v>2704745</v>
      </c>
      <c r="L15" s="998">
        <v>1970380</v>
      </c>
      <c r="M15" s="998">
        <v>1931010</v>
      </c>
      <c r="N15" s="998">
        <f t="shared" si="1"/>
        <v>33209750</v>
      </c>
      <c r="O15" s="993">
        <f>'2.sz.tábla   (2)'!H43</f>
        <v>33209750</v>
      </c>
      <c r="P15" s="993">
        <f t="shared" si="2"/>
        <v>0</v>
      </c>
    </row>
    <row r="16" spans="1:18" ht="18.75" x14ac:dyDescent="0.3">
      <c r="A16" s="1004" t="s">
        <v>388</v>
      </c>
      <c r="B16" s="998"/>
      <c r="C16" s="998"/>
      <c r="D16" s="998"/>
      <c r="E16" s="998"/>
      <c r="F16" s="998"/>
      <c r="G16" s="998"/>
      <c r="H16" s="998"/>
      <c r="I16" s="998"/>
      <c r="J16" s="998"/>
      <c r="K16" s="998"/>
      <c r="L16" s="998"/>
      <c r="M16" s="998"/>
      <c r="N16" s="998">
        <f t="shared" si="1"/>
        <v>0</v>
      </c>
      <c r="P16" s="993">
        <f t="shared" si="2"/>
        <v>0</v>
      </c>
    </row>
    <row r="17" spans="1:17" s="1009" customFormat="1" ht="15" x14ac:dyDescent="0.2">
      <c r="A17" s="1005" t="s">
        <v>820</v>
      </c>
      <c r="B17" s="1006">
        <v>11331207</v>
      </c>
      <c r="C17" s="1006">
        <v>11669592</v>
      </c>
      <c r="D17" s="1006">
        <v>21669592</v>
      </c>
      <c r="E17" s="1006">
        <v>11669592</v>
      </c>
      <c r="F17" s="1006">
        <v>11669592</v>
      </c>
      <c r="G17" s="1006">
        <v>11669592</v>
      </c>
      <c r="H17" s="1006">
        <v>29649541</v>
      </c>
      <c r="I17" s="1006">
        <v>11669592</v>
      </c>
      <c r="J17" s="1006">
        <v>11669592</v>
      </c>
      <c r="K17" s="1006">
        <v>11669592</v>
      </c>
      <c r="L17" s="1006">
        <v>11669592</v>
      </c>
      <c r="M17" s="1006">
        <v>13769606</v>
      </c>
      <c r="N17" s="1006">
        <f>SUM(B17:M17)</f>
        <v>169776682</v>
      </c>
      <c r="O17" s="1007">
        <f>'2.sz.tábla   (2)'!L7</f>
        <v>169776682</v>
      </c>
      <c r="P17" s="993">
        <f t="shared" si="2"/>
        <v>0</v>
      </c>
      <c r="Q17" s="1008"/>
    </row>
    <row r="18" spans="1:17" s="1009" customFormat="1" ht="15" x14ac:dyDescent="0.2">
      <c r="A18" s="1010" t="s">
        <v>774</v>
      </c>
      <c r="B18" s="1006">
        <v>10517299</v>
      </c>
      <c r="C18" s="1006">
        <v>614799</v>
      </c>
      <c r="D18" s="1006">
        <v>515799</v>
      </c>
      <c r="E18" s="1006">
        <v>11418299</v>
      </c>
      <c r="F18" s="1006">
        <v>465799</v>
      </c>
      <c r="G18" s="1006">
        <v>780799</v>
      </c>
      <c r="H18" s="1006">
        <v>11418299</v>
      </c>
      <c r="I18" s="1006">
        <v>766799</v>
      </c>
      <c r="J18" s="1006">
        <v>480799</v>
      </c>
      <c r="K18" s="1006">
        <v>11432299</v>
      </c>
      <c r="L18" s="1006">
        <v>465799</v>
      </c>
      <c r="M18" s="1006">
        <v>516804</v>
      </c>
      <c r="N18" s="1006">
        <f>SUM(B18:M18)</f>
        <v>49393593</v>
      </c>
      <c r="O18" s="1007">
        <f>'2.sz.tábla   (2)'!L43</f>
        <v>49393593</v>
      </c>
      <c r="P18" s="993">
        <f t="shared" si="2"/>
        <v>0</v>
      </c>
      <c r="Q18" s="1008"/>
    </row>
    <row r="19" spans="1:17" s="1009" customFormat="1" ht="15" x14ac:dyDescent="0.2">
      <c r="A19" s="1010" t="s">
        <v>824</v>
      </c>
      <c r="B19" s="1006"/>
      <c r="C19" s="1006"/>
      <c r="D19" s="1006"/>
      <c r="E19" s="1006"/>
      <c r="F19" s="1006"/>
      <c r="G19" s="1006"/>
      <c r="H19" s="1006"/>
      <c r="I19" s="1006"/>
      <c r="J19" s="1006"/>
      <c r="K19" s="1006"/>
      <c r="L19" s="1006"/>
      <c r="M19" s="1006"/>
      <c r="N19" s="1006">
        <f>SUM(B19:M19)</f>
        <v>0</v>
      </c>
      <c r="O19" s="1007">
        <f>'2.sz.tábla   (2)'!L66</f>
        <v>0</v>
      </c>
      <c r="P19" s="993">
        <f t="shared" si="2"/>
        <v>0</v>
      </c>
      <c r="Q19" s="1008"/>
    </row>
    <row r="20" spans="1:17" ht="15" x14ac:dyDescent="0.2">
      <c r="A20" s="1001" t="s">
        <v>825</v>
      </c>
      <c r="B20" s="1011">
        <f>SUM(B8:B19)</f>
        <v>216995506</v>
      </c>
      <c r="C20" s="1011">
        <f t="shared" ref="C20:N20" si="3">SUM(C8:C19)</f>
        <v>159965062</v>
      </c>
      <c r="D20" s="1011">
        <f t="shared" si="3"/>
        <v>664483312</v>
      </c>
      <c r="E20" s="1011">
        <f t="shared" si="3"/>
        <v>203073892</v>
      </c>
      <c r="F20" s="1011">
        <f t="shared" si="3"/>
        <v>189196026</v>
      </c>
      <c r="G20" s="1011">
        <f t="shared" si="3"/>
        <v>125900272</v>
      </c>
      <c r="H20" s="1011">
        <f t="shared" si="3"/>
        <v>220028765</v>
      </c>
      <c r="I20" s="1011">
        <f t="shared" si="3"/>
        <v>335144275</v>
      </c>
      <c r="J20" s="1011">
        <f t="shared" si="3"/>
        <v>751042170</v>
      </c>
      <c r="K20" s="1011">
        <f t="shared" si="3"/>
        <v>164368050</v>
      </c>
      <c r="L20" s="1011">
        <f t="shared" si="3"/>
        <v>376151738</v>
      </c>
      <c r="M20" s="1011">
        <f>SUM(M8:M19)</f>
        <v>782089569</v>
      </c>
      <c r="N20" s="1011">
        <f t="shared" si="3"/>
        <v>4188438637</v>
      </c>
      <c r="O20" s="993">
        <f>SUM(O8:O19)</f>
        <v>4188438637</v>
      </c>
      <c r="P20" s="993">
        <f t="shared" si="2"/>
        <v>0</v>
      </c>
    </row>
    <row r="21" spans="1:17" s="1009" customFormat="1" ht="15" x14ac:dyDescent="0.2">
      <c r="A21" s="1005" t="s">
        <v>826</v>
      </c>
      <c r="B21" s="1006">
        <v>1076105492</v>
      </c>
      <c r="C21" s="1006">
        <v>85000000</v>
      </c>
      <c r="D21" s="1006">
        <v>85000000</v>
      </c>
      <c r="E21" s="1006">
        <v>0</v>
      </c>
      <c r="F21" s="1006">
        <v>0</v>
      </c>
      <c r="G21" s="1006">
        <v>14999755</v>
      </c>
      <c r="H21" s="1006">
        <v>64785750</v>
      </c>
      <c r="I21" s="1006">
        <v>596250000</v>
      </c>
      <c r="J21" s="1006">
        <v>250781370</v>
      </c>
      <c r="K21" s="1006">
        <v>0</v>
      </c>
      <c r="L21" s="1006">
        <v>0</v>
      </c>
      <c r="M21" s="1006">
        <v>4110208951</v>
      </c>
      <c r="N21" s="1006">
        <f>SUM(B21:M21)</f>
        <v>6283131318</v>
      </c>
      <c r="O21" s="1007">
        <f>'2.sz.tábla   (2)'!D22</f>
        <v>6283131318</v>
      </c>
      <c r="P21" s="993">
        <f t="shared" si="2"/>
        <v>0</v>
      </c>
      <c r="Q21" s="1008"/>
    </row>
    <row r="22" spans="1:17" s="1009" customFormat="1" ht="15" x14ac:dyDescent="0.2">
      <c r="A22" s="1010" t="s">
        <v>827</v>
      </c>
      <c r="B22" s="1006">
        <v>0</v>
      </c>
      <c r="C22" s="1006">
        <v>10000000</v>
      </c>
      <c r="D22" s="1006">
        <v>0</v>
      </c>
      <c r="E22" s="1006">
        <v>32917323</v>
      </c>
      <c r="F22" s="1006">
        <v>10000000</v>
      </c>
      <c r="G22" s="1006">
        <v>0</v>
      </c>
      <c r="H22" s="1006">
        <v>0</v>
      </c>
      <c r="I22" s="1006">
        <v>0</v>
      </c>
      <c r="J22" s="1006">
        <v>0</v>
      </c>
      <c r="K22" s="1006">
        <v>0</v>
      </c>
      <c r="L22" s="1006">
        <v>5950000</v>
      </c>
      <c r="M22" s="1006">
        <v>210586111</v>
      </c>
      <c r="N22" s="1006">
        <f>SUM(B22:M22)</f>
        <v>269453434</v>
      </c>
      <c r="O22" s="1007">
        <f>'2.sz.tábla   (2)'!D58</f>
        <v>269453434</v>
      </c>
      <c r="P22" s="993">
        <f t="shared" si="2"/>
        <v>0</v>
      </c>
      <c r="Q22" s="1008"/>
    </row>
    <row r="23" spans="1:17" s="1009" customFormat="1" ht="15" x14ac:dyDescent="0.2">
      <c r="A23" s="1010" t="s">
        <v>828</v>
      </c>
      <c r="B23" s="1006">
        <v>1910903</v>
      </c>
      <c r="C23" s="1006">
        <v>1636479</v>
      </c>
      <c r="D23" s="1006">
        <v>1636479</v>
      </c>
      <c r="E23" s="1006">
        <v>83840903</v>
      </c>
      <c r="F23" s="1006">
        <v>1636479</v>
      </c>
      <c r="G23" s="1006">
        <v>1636479</v>
      </c>
      <c r="H23" s="1006">
        <v>1910903</v>
      </c>
      <c r="I23" s="1006">
        <v>1636479</v>
      </c>
      <c r="J23" s="1006">
        <v>1101229</v>
      </c>
      <c r="K23" s="1006">
        <v>1375654</v>
      </c>
      <c r="L23" s="1006">
        <v>1101229</v>
      </c>
      <c r="M23" s="1006">
        <v>123577326</v>
      </c>
      <c r="N23" s="1006">
        <f>SUM(B23:M23)</f>
        <v>223000542</v>
      </c>
      <c r="O23" s="1007">
        <f>'2.sz.tábla   (2)'!D70</f>
        <v>223000542</v>
      </c>
      <c r="P23" s="993">
        <f t="shared" si="2"/>
        <v>0</v>
      </c>
      <c r="Q23" s="1008"/>
    </row>
    <row r="24" spans="1:17" s="1013" customFormat="1" ht="15" x14ac:dyDescent="0.2">
      <c r="A24" s="1001" t="s">
        <v>829</v>
      </c>
      <c r="B24" s="1011"/>
      <c r="C24" s="1011"/>
      <c r="D24" s="1011"/>
      <c r="E24" s="1011">
        <v>1070000</v>
      </c>
      <c r="F24" s="1011"/>
      <c r="G24" s="1011"/>
      <c r="H24" s="1011"/>
      <c r="I24" s="1011"/>
      <c r="J24" s="1011"/>
      <c r="K24" s="1011"/>
      <c r="L24" s="1011"/>
      <c r="M24" s="1011"/>
      <c r="N24" s="1011">
        <f>SUM(B24:M24)</f>
        <v>1070000</v>
      </c>
      <c r="O24" s="1012">
        <f>'2.sz.tábla   (2)'!H58</f>
        <v>1070000</v>
      </c>
      <c r="P24" s="993">
        <f t="shared" si="2"/>
        <v>0</v>
      </c>
    </row>
    <row r="25" spans="1:17" s="1017" customFormat="1" ht="15" x14ac:dyDescent="0.2">
      <c r="A25" s="1014" t="s">
        <v>830</v>
      </c>
      <c r="B25" s="1015"/>
      <c r="C25" s="1015">
        <v>3468000</v>
      </c>
      <c r="D25" s="1015"/>
      <c r="E25" s="1015"/>
      <c r="F25" s="1015"/>
      <c r="G25" s="1015"/>
      <c r="H25" s="1015"/>
      <c r="I25" s="1015"/>
      <c r="J25" s="1015"/>
      <c r="K25" s="1015"/>
      <c r="L25" s="1015"/>
      <c r="M25" s="1015"/>
      <c r="N25" s="1015">
        <f>SUM(B25:M25)</f>
        <v>3468000</v>
      </c>
      <c r="O25" s="1016">
        <f>'2.sz.tábla   (2)'!L22+'2.sz.tábla   (2)'!L58</f>
        <v>3468000</v>
      </c>
      <c r="P25" s="993">
        <f t="shared" si="2"/>
        <v>0</v>
      </c>
    </row>
    <row r="26" spans="1:17" ht="15" x14ac:dyDescent="0.2">
      <c r="A26" s="1001" t="s">
        <v>831</v>
      </c>
      <c r="B26" s="1011">
        <f>SUM(B21:B25)</f>
        <v>1078016395</v>
      </c>
      <c r="C26" s="1011">
        <f t="shared" ref="C26:M26" si="4">SUM(C21:C25)</f>
        <v>100104479</v>
      </c>
      <c r="D26" s="1011">
        <f t="shared" si="4"/>
        <v>86636479</v>
      </c>
      <c r="E26" s="1011">
        <f t="shared" si="4"/>
        <v>117828226</v>
      </c>
      <c r="F26" s="1011">
        <f t="shared" si="4"/>
        <v>11636479</v>
      </c>
      <c r="G26" s="1011">
        <f t="shared" si="4"/>
        <v>16636234</v>
      </c>
      <c r="H26" s="1011">
        <f t="shared" si="4"/>
        <v>66696653</v>
      </c>
      <c r="I26" s="1011">
        <f t="shared" si="4"/>
        <v>597886479</v>
      </c>
      <c r="J26" s="1011">
        <f t="shared" si="4"/>
        <v>251882599</v>
      </c>
      <c r="K26" s="1011">
        <f t="shared" si="4"/>
        <v>1375654</v>
      </c>
      <c r="L26" s="1011">
        <f t="shared" si="4"/>
        <v>7051229</v>
      </c>
      <c r="M26" s="1011">
        <f t="shared" si="4"/>
        <v>4444372388</v>
      </c>
      <c r="N26" s="1011">
        <f>SUM(N21:N25)</f>
        <v>6780123294</v>
      </c>
      <c r="O26" s="993">
        <f>SUM(O21:O25)</f>
        <v>6780123294</v>
      </c>
      <c r="P26" s="993">
        <f t="shared" si="2"/>
        <v>0</v>
      </c>
    </row>
    <row r="27" spans="1:17" s="152" customFormat="1" ht="15.75" x14ac:dyDescent="0.25">
      <c r="A27" s="1018" t="s">
        <v>380</v>
      </c>
      <c r="B27" s="1019">
        <f>B20+B26</f>
        <v>1295011901</v>
      </c>
      <c r="C27" s="1019">
        <f t="shared" ref="C27:N27" si="5">C20+C26</f>
        <v>260069541</v>
      </c>
      <c r="D27" s="1019">
        <f t="shared" si="5"/>
        <v>751119791</v>
      </c>
      <c r="E27" s="1019">
        <f t="shared" si="5"/>
        <v>320902118</v>
      </c>
      <c r="F27" s="1019">
        <f t="shared" si="5"/>
        <v>200832505</v>
      </c>
      <c r="G27" s="1019">
        <f t="shared" si="5"/>
        <v>142536506</v>
      </c>
      <c r="H27" s="1019">
        <f t="shared" si="5"/>
        <v>286725418</v>
      </c>
      <c r="I27" s="1019">
        <f t="shared" si="5"/>
        <v>933030754</v>
      </c>
      <c r="J27" s="1019">
        <f t="shared" si="5"/>
        <v>1002924769</v>
      </c>
      <c r="K27" s="1019">
        <f t="shared" si="5"/>
        <v>165743704</v>
      </c>
      <c r="L27" s="1019">
        <f t="shared" si="5"/>
        <v>383202967</v>
      </c>
      <c r="M27" s="1019">
        <f t="shared" si="5"/>
        <v>5226461957</v>
      </c>
      <c r="N27" s="1019">
        <f t="shared" si="5"/>
        <v>10968561931</v>
      </c>
      <c r="O27" s="993">
        <f>O26+O20</f>
        <v>10968561931</v>
      </c>
      <c r="P27" s="993">
        <f t="shared" si="2"/>
        <v>0</v>
      </c>
    </row>
    <row r="28" spans="1:17" s="1024" customFormat="1" ht="45" x14ac:dyDescent="0.2">
      <c r="A28" s="1020" t="s">
        <v>832</v>
      </c>
      <c r="B28" s="1021">
        <v>1100000</v>
      </c>
      <c r="C28" s="1021">
        <v>1100000</v>
      </c>
      <c r="D28" s="1021">
        <v>1100000</v>
      </c>
      <c r="E28" s="1021">
        <v>1100000</v>
      </c>
      <c r="F28" s="1021">
        <v>1100000</v>
      </c>
      <c r="G28" s="1021">
        <v>271000000</v>
      </c>
      <c r="H28" s="1021">
        <v>500412000</v>
      </c>
      <c r="I28" s="1021">
        <v>1100000</v>
      </c>
      <c r="J28" s="1021">
        <v>401000000</v>
      </c>
      <c r="K28" s="1021">
        <v>401000000</v>
      </c>
      <c r="L28" s="1021">
        <f>1100000</f>
        <v>1100000</v>
      </c>
      <c r="M28" s="1021">
        <f>1000000+35420853+720000000</f>
        <v>756420853</v>
      </c>
      <c r="N28" s="1022">
        <f>SUM(B28:M28)</f>
        <v>2337532853</v>
      </c>
      <c r="O28" s="1023">
        <f>'2.sz.tábla   (2)'!D79</f>
        <v>2337532853</v>
      </c>
      <c r="P28" s="1023">
        <f>O28-N28</f>
        <v>0</v>
      </c>
    </row>
    <row r="29" spans="1:17" ht="15" x14ac:dyDescent="0.2">
      <c r="A29" s="999" t="s">
        <v>833</v>
      </c>
      <c r="B29" s="998">
        <f>315929686-6538579</f>
        <v>309391107</v>
      </c>
      <c r="C29" s="998">
        <v>137941987</v>
      </c>
      <c r="D29" s="998">
        <v>1174041211</v>
      </c>
      <c r="E29" s="998">
        <v>237440183</v>
      </c>
      <c r="F29" s="998">
        <v>72499237</v>
      </c>
      <c r="G29" s="998">
        <v>262898806</v>
      </c>
      <c r="H29" s="998">
        <v>0</v>
      </c>
      <c r="I29" s="998">
        <v>83214861</v>
      </c>
      <c r="J29" s="998">
        <v>10000000</v>
      </c>
      <c r="K29" s="998">
        <v>8960992</v>
      </c>
      <c r="L29" s="998">
        <v>315604117</v>
      </c>
      <c r="M29" s="998">
        <f>436110110</f>
        <v>436110110</v>
      </c>
      <c r="N29" s="998">
        <f>SUM(B29:M29)</f>
        <v>3048102611</v>
      </c>
      <c r="O29" s="993">
        <f>'2.sz.tábla   (2)'!D76</f>
        <v>3048102611</v>
      </c>
      <c r="P29" s="1023">
        <f t="shared" ref="P29:P31" si="6">O29-N29</f>
        <v>0</v>
      </c>
    </row>
    <row r="30" spans="1:17" ht="15" x14ac:dyDescent="0.2">
      <c r="A30" s="999" t="s">
        <v>834</v>
      </c>
      <c r="B30" s="998">
        <v>3160149</v>
      </c>
      <c r="C30" s="998">
        <v>7679894</v>
      </c>
      <c r="D30" s="998">
        <v>747997</v>
      </c>
      <c r="E30" s="998">
        <v>0</v>
      </c>
      <c r="F30" s="998">
        <v>0</v>
      </c>
      <c r="G30" s="998">
        <v>0</v>
      </c>
      <c r="H30" s="998">
        <f>23984674-520</f>
        <v>23984154</v>
      </c>
      <c r="I30" s="998"/>
      <c r="J30" s="998"/>
      <c r="K30" s="998"/>
      <c r="L30" s="998"/>
      <c r="M30" s="998"/>
      <c r="N30" s="998">
        <f>SUM(B30:M30)</f>
        <v>35572194</v>
      </c>
      <c r="O30" s="993">
        <f>'2.sz.tábla   (2)'!H76</f>
        <v>35572194</v>
      </c>
      <c r="P30" s="1023">
        <f t="shared" si="6"/>
        <v>0</v>
      </c>
    </row>
    <row r="31" spans="1:17" s="1009" customFormat="1" ht="15" x14ac:dyDescent="0.2">
      <c r="A31" s="1010" t="s">
        <v>835</v>
      </c>
      <c r="B31" s="1006">
        <v>178958</v>
      </c>
      <c r="C31" s="1006">
        <v>10526479</v>
      </c>
      <c r="D31" s="1006">
        <v>0</v>
      </c>
      <c r="E31" s="1006">
        <v>0</v>
      </c>
      <c r="F31" s="1006">
        <v>0</v>
      </c>
      <c r="G31" s="1006">
        <v>0</v>
      </c>
      <c r="H31" s="1006">
        <f>18176223-187906</f>
        <v>17988317</v>
      </c>
      <c r="I31" s="1006">
        <v>0</v>
      </c>
      <c r="J31" s="1006">
        <v>0</v>
      </c>
      <c r="K31" s="1006">
        <v>0</v>
      </c>
      <c r="L31" s="1006">
        <v>0</v>
      </c>
      <c r="M31" s="1006">
        <v>0</v>
      </c>
      <c r="N31" s="1006">
        <f>SUM(B31:M31)</f>
        <v>28693754</v>
      </c>
      <c r="O31" s="1007">
        <f>'2.sz.tábla   (2)'!L76</f>
        <v>28693754</v>
      </c>
      <c r="P31" s="1023">
        <f t="shared" si="6"/>
        <v>0</v>
      </c>
      <c r="Q31" s="1008"/>
    </row>
    <row r="32" spans="1:17" ht="15.75" x14ac:dyDescent="0.25">
      <c r="A32" s="1018" t="s">
        <v>384</v>
      </c>
      <c r="B32" s="1019">
        <f t="shared" ref="B32:N32" si="7">SUM(B27:B31)</f>
        <v>1608842115</v>
      </c>
      <c r="C32" s="1019">
        <f t="shared" si="7"/>
        <v>417317901</v>
      </c>
      <c r="D32" s="1019">
        <f t="shared" si="7"/>
        <v>1927008999</v>
      </c>
      <c r="E32" s="1019">
        <f t="shared" si="7"/>
        <v>559442301</v>
      </c>
      <c r="F32" s="1019">
        <f t="shared" si="7"/>
        <v>274431742</v>
      </c>
      <c r="G32" s="1019">
        <f t="shared" si="7"/>
        <v>676435312</v>
      </c>
      <c r="H32" s="1019">
        <f t="shared" si="7"/>
        <v>829109889</v>
      </c>
      <c r="I32" s="1019">
        <f t="shared" si="7"/>
        <v>1017345615</v>
      </c>
      <c r="J32" s="1019">
        <f t="shared" si="7"/>
        <v>1413924769</v>
      </c>
      <c r="K32" s="1019">
        <f t="shared" si="7"/>
        <v>575704696</v>
      </c>
      <c r="L32" s="1019">
        <f t="shared" si="7"/>
        <v>699907084</v>
      </c>
      <c r="M32" s="1019">
        <f t="shared" si="7"/>
        <v>6418992920</v>
      </c>
      <c r="N32" s="1019">
        <f t="shared" si="7"/>
        <v>16418463343</v>
      </c>
      <c r="O32" s="993">
        <f>SUM(O27:O31)</f>
        <v>16418463343</v>
      </c>
      <c r="P32" s="993">
        <f>'1.sz.tábla   (2)'!D18</f>
        <v>16418463343</v>
      </c>
      <c r="Q32" s="993"/>
    </row>
    <row r="33" spans="1:16" ht="30" x14ac:dyDescent="0.2">
      <c r="A33" s="999" t="s">
        <v>836</v>
      </c>
      <c r="B33" s="998">
        <v>25010147</v>
      </c>
      <c r="C33" s="998">
        <v>25837901</v>
      </c>
      <c r="D33" s="998">
        <v>25197201</v>
      </c>
      <c r="E33" s="998">
        <v>26327437</v>
      </c>
      <c r="F33" s="998">
        <v>34369077</v>
      </c>
      <c r="G33" s="998">
        <v>24166787</v>
      </c>
      <c r="H33" s="998">
        <v>24203237</v>
      </c>
      <c r="I33" s="998">
        <v>24371237</v>
      </c>
      <c r="J33" s="998">
        <v>24498237</v>
      </c>
      <c r="K33" s="998">
        <v>23771237</v>
      </c>
      <c r="L33" s="998">
        <v>23721237</v>
      </c>
      <c r="M33" s="998">
        <f>38014412+232633</f>
        <v>38247045</v>
      </c>
      <c r="N33" s="998">
        <f t="shared" ref="N33:N43" si="8">SUM(B33:M33)</f>
        <v>319720780</v>
      </c>
      <c r="O33" s="993">
        <f>'5.tábla (2)'!D7</f>
        <v>319720780</v>
      </c>
      <c r="P33" s="993">
        <f>O33-N33</f>
        <v>0</v>
      </c>
    </row>
    <row r="34" spans="1:16" ht="15" x14ac:dyDescent="0.2">
      <c r="A34" s="999" t="s">
        <v>837</v>
      </c>
      <c r="B34" s="998">
        <v>12914102</v>
      </c>
      <c r="C34" s="998">
        <v>10739610</v>
      </c>
      <c r="D34" s="998">
        <v>9142882</v>
      </c>
      <c r="E34" s="998">
        <v>11728405</v>
      </c>
      <c r="F34" s="998">
        <v>8219185</v>
      </c>
      <c r="G34" s="998">
        <v>8174432</v>
      </c>
      <c r="H34" s="998">
        <v>11234396</v>
      </c>
      <c r="I34" s="998">
        <v>9167442</v>
      </c>
      <c r="J34" s="998">
        <v>8778242</v>
      </c>
      <c r="K34" s="998">
        <v>12592129</v>
      </c>
      <c r="L34" s="998">
        <v>11180946</v>
      </c>
      <c r="M34" s="998">
        <v>11976616</v>
      </c>
      <c r="N34" s="998">
        <f t="shared" si="8"/>
        <v>125848387</v>
      </c>
      <c r="O34" s="993">
        <f>'5.tábla (2)'!D48</f>
        <v>125848387</v>
      </c>
      <c r="P34" s="993">
        <f t="shared" ref="P34:P52" si="9">O34-N34</f>
        <v>0</v>
      </c>
    </row>
    <row r="35" spans="1:16" ht="30" x14ac:dyDescent="0.2">
      <c r="A35" s="999" t="s">
        <v>838</v>
      </c>
      <c r="B35" s="998">
        <v>5897328</v>
      </c>
      <c r="C35" s="998">
        <v>4488478</v>
      </c>
      <c r="D35" s="998">
        <v>4366819</v>
      </c>
      <c r="E35" s="998">
        <v>5837866</v>
      </c>
      <c r="F35" s="998">
        <v>7479810</v>
      </c>
      <c r="G35" s="998">
        <v>4208450</v>
      </c>
      <c r="H35" s="998">
        <v>5494801</v>
      </c>
      <c r="I35" s="998">
        <v>4230050</v>
      </c>
      <c r="J35" s="998">
        <v>4253162</v>
      </c>
      <c r="K35" s="998">
        <v>5393743</v>
      </c>
      <c r="L35" s="998">
        <v>4126800</v>
      </c>
      <c r="M35" s="998">
        <f>7021259+36058</f>
        <v>7057317</v>
      </c>
      <c r="N35" s="998">
        <f t="shared" si="8"/>
        <v>62834624</v>
      </c>
      <c r="O35" s="993">
        <f>'5.tábla (2)'!D17</f>
        <v>62834624</v>
      </c>
      <c r="P35" s="993">
        <f t="shared" si="9"/>
        <v>0</v>
      </c>
    </row>
    <row r="36" spans="1:16" ht="15" x14ac:dyDescent="0.2">
      <c r="A36" s="999" t="s">
        <v>839</v>
      </c>
      <c r="B36" s="998">
        <v>2041154</v>
      </c>
      <c r="C36" s="998">
        <v>2296076</v>
      </c>
      <c r="D36" s="998">
        <v>1368004</v>
      </c>
      <c r="E36" s="998">
        <v>1497899</v>
      </c>
      <c r="F36" s="998">
        <v>1841519</v>
      </c>
      <c r="G36" s="998">
        <v>1316938</v>
      </c>
      <c r="H36" s="998">
        <v>1302942</v>
      </c>
      <c r="I36" s="998">
        <v>2189705</v>
      </c>
      <c r="J36" s="998">
        <v>1258436</v>
      </c>
      <c r="K36" s="998">
        <v>2324217</v>
      </c>
      <c r="L36" s="998">
        <v>1918094</v>
      </c>
      <c r="M36" s="998">
        <v>1804013</v>
      </c>
      <c r="N36" s="998">
        <f t="shared" si="8"/>
        <v>21158997</v>
      </c>
      <c r="O36" s="993">
        <f>'5.tábla (2)'!D63</f>
        <v>21158997</v>
      </c>
      <c r="P36" s="993">
        <f t="shared" si="9"/>
        <v>0</v>
      </c>
    </row>
    <row r="37" spans="1:16" ht="30" x14ac:dyDescent="0.2">
      <c r="A37" s="999" t="s">
        <v>840</v>
      </c>
      <c r="B37" s="998">
        <v>8817628</v>
      </c>
      <c r="C37" s="998">
        <v>7530390</v>
      </c>
      <c r="D37" s="998">
        <v>11607640</v>
      </c>
      <c r="E37" s="998">
        <v>5864390</v>
      </c>
      <c r="F37" s="998">
        <v>6168390</v>
      </c>
      <c r="G37" s="998">
        <v>5828255</v>
      </c>
      <c r="H37" s="998">
        <v>6088390</v>
      </c>
      <c r="I37" s="998">
        <v>6218255</v>
      </c>
      <c r="J37" s="998">
        <v>6323390</v>
      </c>
      <c r="K37" s="998">
        <v>7803120</v>
      </c>
      <c r="L37" s="998">
        <v>6258255</v>
      </c>
      <c r="M37" s="998">
        <f>6759885-520</f>
        <v>6759365</v>
      </c>
      <c r="N37" s="998">
        <f t="shared" si="8"/>
        <v>85267468</v>
      </c>
      <c r="O37" s="993">
        <f>'5.tábla (2)'!D27</f>
        <v>85267468</v>
      </c>
      <c r="P37" s="993">
        <f t="shared" si="9"/>
        <v>0</v>
      </c>
    </row>
    <row r="38" spans="1:16" ht="15" x14ac:dyDescent="0.2">
      <c r="A38" s="999" t="s">
        <v>841</v>
      </c>
      <c r="B38" s="998">
        <v>84092197</v>
      </c>
      <c r="C38" s="998">
        <v>76055843</v>
      </c>
      <c r="D38" s="998">
        <v>51601648</v>
      </c>
      <c r="E38" s="998">
        <v>38104435</v>
      </c>
      <c r="F38" s="998">
        <v>45584200</v>
      </c>
      <c r="G38" s="998">
        <v>37571554</v>
      </c>
      <c r="H38" s="998">
        <v>50876178</v>
      </c>
      <c r="I38" s="998">
        <v>70861650</v>
      </c>
      <c r="J38" s="998">
        <v>65229493</v>
      </c>
      <c r="K38" s="998">
        <v>64950460</v>
      </c>
      <c r="L38" s="998">
        <v>56507273</v>
      </c>
      <c r="M38" s="998">
        <f>468374491-5080000</f>
        <v>463294491</v>
      </c>
      <c r="N38" s="998">
        <f t="shared" si="8"/>
        <v>1104729422</v>
      </c>
      <c r="O38" s="993">
        <f>'5.tábla (2)'!D77</f>
        <v>1104729422</v>
      </c>
      <c r="P38" s="993">
        <f t="shared" si="9"/>
        <v>0</v>
      </c>
    </row>
    <row r="39" spans="1:16" ht="27.75" customHeight="1" x14ac:dyDescent="0.2">
      <c r="A39" s="999" t="s">
        <v>1016</v>
      </c>
      <c r="B39" s="998"/>
      <c r="C39" s="998"/>
      <c r="D39" s="998"/>
      <c r="E39" s="998"/>
      <c r="F39" s="998"/>
      <c r="G39" s="998"/>
      <c r="H39" s="998">
        <v>2884470</v>
      </c>
      <c r="I39" s="998"/>
      <c r="J39" s="998"/>
      <c r="K39" s="998"/>
      <c r="L39" s="998"/>
      <c r="M39" s="998"/>
      <c r="N39" s="998">
        <f t="shared" si="8"/>
        <v>2884470</v>
      </c>
      <c r="O39" s="993">
        <f>'5.tábla (2)'!D35+'5.tábla (2)'!D33+'5.tábla (2)'!D37</f>
        <v>2884470</v>
      </c>
      <c r="P39" s="993">
        <f t="shared" si="9"/>
        <v>0</v>
      </c>
    </row>
    <row r="40" spans="1:16" ht="15" customHeight="1" x14ac:dyDescent="0.2">
      <c r="A40" s="999" t="s">
        <v>842</v>
      </c>
      <c r="B40" s="998">
        <v>1878000</v>
      </c>
      <c r="C40" s="998">
        <v>1880000</v>
      </c>
      <c r="D40" s="998">
        <v>2380000</v>
      </c>
      <c r="E40" s="998">
        <v>2380000</v>
      </c>
      <c r="F40" s="998">
        <v>2080000</v>
      </c>
      <c r="G40" s="998">
        <v>2140000</v>
      </c>
      <c r="H40" s="998">
        <v>2080000</v>
      </c>
      <c r="I40" s="998">
        <v>1880000</v>
      </c>
      <c r="J40" s="998">
        <v>2580000</v>
      </c>
      <c r="K40" s="998">
        <v>2380000</v>
      </c>
      <c r="L40" s="998">
        <v>5600000</v>
      </c>
      <c r="M40" s="998">
        <v>3342000</v>
      </c>
      <c r="N40" s="998">
        <f t="shared" si="8"/>
        <v>30600000</v>
      </c>
      <c r="O40" s="993">
        <f>'5.tábla (2)'!D126</f>
        <v>30600000</v>
      </c>
      <c r="P40" s="993">
        <f t="shared" si="9"/>
        <v>0</v>
      </c>
    </row>
    <row r="41" spans="1:16" ht="15" x14ac:dyDescent="0.2">
      <c r="A41" s="999" t="s">
        <v>843</v>
      </c>
      <c r="B41" s="998">
        <v>92586329</v>
      </c>
      <c r="C41" s="998">
        <v>89671912</v>
      </c>
      <c r="D41" s="998">
        <v>131366437</v>
      </c>
      <c r="E41" s="998">
        <f>118814788-100000</f>
        <v>118714788</v>
      </c>
      <c r="F41" s="998">
        <v>112868966</v>
      </c>
      <c r="G41" s="998">
        <v>84256466</v>
      </c>
      <c r="H41" s="998">
        <v>83737933</v>
      </c>
      <c r="I41" s="998">
        <v>78808862</v>
      </c>
      <c r="J41" s="998">
        <v>89492387</v>
      </c>
      <c r="K41" s="998">
        <v>123218618</v>
      </c>
      <c r="L41" s="998">
        <v>108374817</v>
      </c>
      <c r="M41" s="998">
        <v>115958885</v>
      </c>
      <c r="N41" s="998">
        <f t="shared" si="8"/>
        <v>1229056400</v>
      </c>
      <c r="O41" s="993">
        <f>'5.tábla (2)'!D136</f>
        <v>1229056400</v>
      </c>
      <c r="P41" s="993">
        <f t="shared" si="9"/>
        <v>0</v>
      </c>
    </row>
    <row r="42" spans="1:16" s="1028" customFormat="1" ht="30" x14ac:dyDescent="0.2">
      <c r="A42" s="1025" t="s">
        <v>844</v>
      </c>
      <c r="B42" s="1026">
        <v>34310556</v>
      </c>
      <c r="C42" s="1026">
        <v>32326229</v>
      </c>
      <c r="D42" s="1026">
        <v>31986966</v>
      </c>
      <c r="E42" s="1026">
        <v>31986966</v>
      </c>
      <c r="F42" s="1026">
        <v>36557725</v>
      </c>
      <c r="G42" s="1026">
        <v>31986966</v>
      </c>
      <c r="H42" s="1026">
        <v>48773257</v>
      </c>
      <c r="I42" s="1026">
        <v>32099819</v>
      </c>
      <c r="J42" s="1026">
        <v>31769818</v>
      </c>
      <c r="K42" s="1026">
        <v>32153019</v>
      </c>
      <c r="L42" s="1026">
        <v>35373422</v>
      </c>
      <c r="M42" s="1026">
        <f>34750877-187906</f>
        <v>34562971</v>
      </c>
      <c r="N42" s="1026">
        <f t="shared" si="8"/>
        <v>413887714</v>
      </c>
      <c r="O42" s="1027">
        <f>'4.sz.tábla '!D9+'4.sz.tábla '!H9+'4.sz.tábla '!L9+'4.sz.tábla '!Q9+'4.sz.tábla '!U9</f>
        <v>413887714</v>
      </c>
      <c r="P42" s="993">
        <f t="shared" si="9"/>
        <v>0</v>
      </c>
    </row>
    <row r="43" spans="1:16" ht="15" x14ac:dyDescent="0.2">
      <c r="A43" s="999" t="s">
        <v>845</v>
      </c>
      <c r="B43" s="998"/>
      <c r="C43" s="998"/>
      <c r="D43" s="998"/>
      <c r="E43" s="998"/>
      <c r="F43" s="998"/>
      <c r="G43" s="998"/>
      <c r="H43" s="998"/>
      <c r="I43" s="998"/>
      <c r="J43" s="998"/>
      <c r="K43" s="998"/>
      <c r="L43" s="998"/>
      <c r="M43" s="998">
        <f>O43</f>
        <v>358951504</v>
      </c>
      <c r="N43" s="998">
        <f t="shared" si="8"/>
        <v>358951504</v>
      </c>
      <c r="O43" s="993">
        <f>'1.sz.tábla   (2)'!D30</f>
        <v>358951504</v>
      </c>
      <c r="P43" s="993">
        <f t="shared" si="9"/>
        <v>0</v>
      </c>
    </row>
    <row r="44" spans="1:16" ht="15" x14ac:dyDescent="0.2">
      <c r="A44" s="1001" t="s">
        <v>846</v>
      </c>
      <c r="B44" s="1011">
        <f t="shared" ref="B44:O44" si="10">SUM(B33:B43)</f>
        <v>267547441</v>
      </c>
      <c r="C44" s="1011">
        <f t="shared" si="10"/>
        <v>250826439</v>
      </c>
      <c r="D44" s="1011">
        <f t="shared" si="10"/>
        <v>269017597</v>
      </c>
      <c r="E44" s="1011">
        <f t="shared" si="10"/>
        <v>242442186</v>
      </c>
      <c r="F44" s="1011">
        <f t="shared" si="10"/>
        <v>255168872</v>
      </c>
      <c r="G44" s="1011">
        <f t="shared" si="10"/>
        <v>199649848</v>
      </c>
      <c r="H44" s="1011">
        <f t="shared" si="10"/>
        <v>236675604</v>
      </c>
      <c r="I44" s="1011">
        <f t="shared" si="10"/>
        <v>229827020</v>
      </c>
      <c r="J44" s="1011">
        <f t="shared" si="10"/>
        <v>234183165</v>
      </c>
      <c r="K44" s="1011">
        <f t="shared" si="10"/>
        <v>274586543</v>
      </c>
      <c r="L44" s="1011">
        <f t="shared" si="10"/>
        <v>253060844</v>
      </c>
      <c r="M44" s="1011">
        <f t="shared" si="10"/>
        <v>1041954207</v>
      </c>
      <c r="N44" s="1011">
        <f t="shared" si="10"/>
        <v>3754939766</v>
      </c>
      <c r="O44" s="993">
        <f t="shared" si="10"/>
        <v>3754939766</v>
      </c>
      <c r="P44" s="993">
        <f t="shared" si="9"/>
        <v>0</v>
      </c>
    </row>
    <row r="45" spans="1:16" ht="15" x14ac:dyDescent="0.2">
      <c r="A45" s="999" t="s">
        <v>847</v>
      </c>
      <c r="B45" s="998">
        <v>13749246</v>
      </c>
      <c r="C45" s="998">
        <v>274911524</v>
      </c>
      <c r="D45" s="998">
        <v>95467605</v>
      </c>
      <c r="E45" s="998">
        <v>0</v>
      </c>
      <c r="F45" s="998">
        <v>163976359</v>
      </c>
      <c r="G45" s="998">
        <v>210501682</v>
      </c>
      <c r="H45" s="998">
        <v>1080826901</v>
      </c>
      <c r="I45" s="998">
        <v>122727059</v>
      </c>
      <c r="J45" s="998">
        <v>255927061</v>
      </c>
      <c r="K45" s="998">
        <v>680269304</v>
      </c>
      <c r="L45" s="998">
        <v>930172428</v>
      </c>
      <c r="M45" s="998">
        <f>5943955816+5080000</f>
        <v>5949035816</v>
      </c>
      <c r="N45" s="998">
        <f>SUM(B45:M45)</f>
        <v>9777564985</v>
      </c>
      <c r="O45" s="1029">
        <f>'7. sz. tábla 1'!D175</f>
        <v>9777564985</v>
      </c>
      <c r="P45" s="993">
        <f t="shared" si="9"/>
        <v>0</v>
      </c>
    </row>
    <row r="46" spans="1:16" ht="15" x14ac:dyDescent="0.2">
      <c r="A46" s="999" t="s">
        <v>848</v>
      </c>
      <c r="B46" s="998">
        <v>32538127</v>
      </c>
      <c r="C46" s="998">
        <v>3556000</v>
      </c>
      <c r="D46" s="998">
        <v>7524500</v>
      </c>
      <c r="E46" s="998">
        <v>0</v>
      </c>
      <c r="F46" s="998">
        <v>13100000</v>
      </c>
      <c r="G46" s="998">
        <v>0</v>
      </c>
      <c r="H46" s="998">
        <v>2000000</v>
      </c>
      <c r="I46" s="998">
        <v>0</v>
      </c>
      <c r="J46" s="998">
        <v>9707000</v>
      </c>
      <c r="K46" s="998">
        <v>0</v>
      </c>
      <c r="L46" s="998">
        <v>0</v>
      </c>
      <c r="M46" s="998">
        <v>38575620</v>
      </c>
      <c r="N46" s="998">
        <f>SUM(B46:M46)</f>
        <v>107001247</v>
      </c>
      <c r="O46" s="993">
        <f>'7. sz. tábla 1'!D250</f>
        <v>107001247</v>
      </c>
      <c r="P46" s="993">
        <f t="shared" si="9"/>
        <v>0</v>
      </c>
    </row>
    <row r="47" spans="1:16" s="1008" customFormat="1" ht="15" x14ac:dyDescent="0.2">
      <c r="A47" s="1010" t="s">
        <v>849</v>
      </c>
      <c r="B47" s="1030">
        <v>0</v>
      </c>
      <c r="C47" s="1030">
        <v>7679894</v>
      </c>
      <c r="D47" s="1030">
        <f>1200000+747997+15205000</f>
        <v>17152997</v>
      </c>
      <c r="E47" s="1030">
        <f>6600000+296778</f>
        <v>6896778</v>
      </c>
      <c r="F47" s="1030">
        <f>200000+496777+200000</f>
        <v>896777</v>
      </c>
      <c r="G47" s="1030">
        <f>296778</f>
        <v>296778</v>
      </c>
      <c r="H47" s="1030">
        <f>200000+296778+235600+1400000</f>
        <v>2132378</v>
      </c>
      <c r="I47" s="1030">
        <f>396778+235600+225281+350470</f>
        <v>1208129</v>
      </c>
      <c r="J47" s="1030">
        <f>2200000+396778+235600</f>
        <v>2832378</v>
      </c>
      <c r="K47" s="1030">
        <f>396777+235600+60000-316185</f>
        <v>376192</v>
      </c>
      <c r="L47" s="1030">
        <f>200000+296778+235600-316185</f>
        <v>416193</v>
      </c>
      <c r="M47" s="1030">
        <f>2000000+296778-200000+400000+80000</f>
        <v>2576778</v>
      </c>
      <c r="N47" s="1006">
        <f>SUM(B47:M47)</f>
        <v>42465272</v>
      </c>
      <c r="O47" s="1007">
        <f>'4.sz.tábla '!Y11</f>
        <v>42465272</v>
      </c>
      <c r="P47" s="993">
        <f t="shared" si="9"/>
        <v>0</v>
      </c>
    </row>
    <row r="48" spans="1:16" ht="15" x14ac:dyDescent="0.2">
      <c r="A48" s="999" t="s">
        <v>850</v>
      </c>
      <c r="B48" s="998">
        <v>12912910</v>
      </c>
      <c r="C48" s="998">
        <v>8550670</v>
      </c>
      <c r="D48" s="998">
        <v>1140337938</v>
      </c>
      <c r="E48" s="998">
        <f>140720264+100000</f>
        <v>140820264</v>
      </c>
      <c r="F48" s="998">
        <v>0</v>
      </c>
      <c r="G48" s="998">
        <v>2479774</v>
      </c>
      <c r="H48" s="998">
        <v>26646398</v>
      </c>
      <c r="I48" s="998">
        <v>57221551</v>
      </c>
      <c r="J48" s="998">
        <v>252556250</v>
      </c>
      <c r="K48" s="998">
        <v>19716081</v>
      </c>
      <c r="L48" s="998">
        <v>1700000</v>
      </c>
      <c r="M48" s="998">
        <f>144818608+1100000</f>
        <v>145918608</v>
      </c>
      <c r="N48" s="998">
        <f>SUM(B48:M48)</f>
        <v>1808860444</v>
      </c>
      <c r="O48" s="993">
        <f>'7. sz. tábla 1'!D237</f>
        <v>1808860444</v>
      </c>
      <c r="P48" s="993">
        <f t="shared" si="9"/>
        <v>0</v>
      </c>
    </row>
    <row r="49" spans="1:16" ht="15" x14ac:dyDescent="0.2">
      <c r="A49" s="1001" t="s">
        <v>851</v>
      </c>
      <c r="B49" s="1011">
        <f t="shared" ref="B49:N49" si="11">SUM(B45:B48)</f>
        <v>59200283</v>
      </c>
      <c r="C49" s="1011">
        <f t="shared" si="11"/>
        <v>294698088</v>
      </c>
      <c r="D49" s="1011">
        <f t="shared" si="11"/>
        <v>1260483040</v>
      </c>
      <c r="E49" s="1011">
        <f t="shared" si="11"/>
        <v>147717042</v>
      </c>
      <c r="F49" s="1011">
        <f t="shared" si="11"/>
        <v>177973136</v>
      </c>
      <c r="G49" s="1011">
        <f t="shared" si="11"/>
        <v>213278234</v>
      </c>
      <c r="H49" s="1011">
        <f t="shared" si="11"/>
        <v>1111605677</v>
      </c>
      <c r="I49" s="1011">
        <f t="shared" si="11"/>
        <v>181156739</v>
      </c>
      <c r="J49" s="1011">
        <f t="shared" si="11"/>
        <v>521022689</v>
      </c>
      <c r="K49" s="1011">
        <f t="shared" si="11"/>
        <v>700361577</v>
      </c>
      <c r="L49" s="1011">
        <f t="shared" si="11"/>
        <v>932288621</v>
      </c>
      <c r="M49" s="1011">
        <f t="shared" si="11"/>
        <v>6136106822</v>
      </c>
      <c r="N49" s="1031">
        <f t="shared" si="11"/>
        <v>11735891948</v>
      </c>
      <c r="O49" s="993">
        <f>SUM(O45:O48)</f>
        <v>11735891948</v>
      </c>
      <c r="P49" s="993">
        <f t="shared" si="9"/>
        <v>0</v>
      </c>
    </row>
    <row r="50" spans="1:16" ht="15.75" x14ac:dyDescent="0.25">
      <c r="A50" s="1018" t="s">
        <v>396</v>
      </c>
      <c r="B50" s="1019">
        <f>B44+B49</f>
        <v>326747724</v>
      </c>
      <c r="C50" s="1019">
        <f t="shared" ref="C50:O50" si="12">C44+C49</f>
        <v>545524527</v>
      </c>
      <c r="D50" s="1019">
        <f t="shared" si="12"/>
        <v>1529500637</v>
      </c>
      <c r="E50" s="1019">
        <f t="shared" si="12"/>
        <v>390159228</v>
      </c>
      <c r="F50" s="1019">
        <f t="shared" si="12"/>
        <v>433142008</v>
      </c>
      <c r="G50" s="1019">
        <f t="shared" si="12"/>
        <v>412928082</v>
      </c>
      <c r="H50" s="1019">
        <f t="shared" si="12"/>
        <v>1348281281</v>
      </c>
      <c r="I50" s="1019">
        <f t="shared" si="12"/>
        <v>410983759</v>
      </c>
      <c r="J50" s="1019">
        <f t="shared" si="12"/>
        <v>755205854</v>
      </c>
      <c r="K50" s="1019">
        <f t="shared" si="12"/>
        <v>974948120</v>
      </c>
      <c r="L50" s="1019">
        <f t="shared" si="12"/>
        <v>1185349465</v>
      </c>
      <c r="M50" s="1032">
        <f t="shared" si="12"/>
        <v>7178061029</v>
      </c>
      <c r="N50" s="1033">
        <f>N44+N49</f>
        <v>15490831714</v>
      </c>
      <c r="O50" s="1034">
        <f t="shared" si="12"/>
        <v>15490831714</v>
      </c>
      <c r="P50" s="993">
        <f t="shared" si="9"/>
        <v>0</v>
      </c>
    </row>
    <row r="51" spans="1:16" ht="31.5" x14ac:dyDescent="0.25">
      <c r="A51" s="1018" t="s">
        <v>852</v>
      </c>
      <c r="B51" s="1019">
        <v>41689205</v>
      </c>
      <c r="C51" s="1019">
        <v>1100000</v>
      </c>
      <c r="D51" s="1019">
        <f>'[5]7. sz. tábla 1'!D246/2+1100000</f>
        <v>38221212</v>
      </c>
      <c r="E51" s="1019">
        <v>1100000</v>
      </c>
      <c r="F51" s="1019">
        <v>1100000</v>
      </c>
      <c r="G51" s="1019">
        <v>1100000</v>
      </c>
      <c r="H51" s="1019">
        <v>1100000</v>
      </c>
      <c r="I51" s="1019">
        <v>1100000</v>
      </c>
      <c r="J51" s="1019">
        <v>818121212</v>
      </c>
      <c r="K51" s="1019">
        <v>21000000</v>
      </c>
      <c r="L51" s="1019">
        <v>1000000</v>
      </c>
      <c r="M51" s="1019">
        <v>1000000</v>
      </c>
      <c r="N51" s="1035">
        <f>SUM(B51:M51)</f>
        <v>927631629</v>
      </c>
      <c r="O51" s="993">
        <f>'7. sz. tábla 1'!D245</f>
        <v>927631629</v>
      </c>
      <c r="P51" s="993">
        <f t="shared" si="9"/>
        <v>0</v>
      </c>
    </row>
    <row r="52" spans="1:16" ht="15.75" x14ac:dyDescent="0.25">
      <c r="A52" s="1036" t="s">
        <v>399</v>
      </c>
      <c r="B52" s="1037">
        <f t="shared" ref="B52:M52" si="13">SUM(B50:B51)</f>
        <v>368436929</v>
      </c>
      <c r="C52" s="1037">
        <f t="shared" si="13"/>
        <v>546624527</v>
      </c>
      <c r="D52" s="1037">
        <f t="shared" si="13"/>
        <v>1567721849</v>
      </c>
      <c r="E52" s="1037">
        <f t="shared" si="13"/>
        <v>391259228</v>
      </c>
      <c r="F52" s="1037">
        <f t="shared" si="13"/>
        <v>434242008</v>
      </c>
      <c r="G52" s="1037">
        <f t="shared" si="13"/>
        <v>414028082</v>
      </c>
      <c r="H52" s="1037">
        <f t="shared" si="13"/>
        <v>1349381281</v>
      </c>
      <c r="I52" s="1037">
        <f t="shared" si="13"/>
        <v>412083759</v>
      </c>
      <c r="J52" s="1037">
        <f t="shared" si="13"/>
        <v>1573327066</v>
      </c>
      <c r="K52" s="1037">
        <f t="shared" si="13"/>
        <v>995948120</v>
      </c>
      <c r="L52" s="1037">
        <f t="shared" si="13"/>
        <v>1186349465</v>
      </c>
      <c r="M52" s="1037">
        <f t="shared" si="13"/>
        <v>7179061029</v>
      </c>
      <c r="N52" s="1019">
        <f>SUM(B52:M52)</f>
        <v>16418463343</v>
      </c>
      <c r="O52" s="993">
        <f>O51+O49+O44</f>
        <v>16418463343</v>
      </c>
      <c r="P52" s="993">
        <f t="shared" si="9"/>
        <v>0</v>
      </c>
    </row>
    <row r="53" spans="1:16" ht="15.75" x14ac:dyDescent="0.25">
      <c r="A53" s="1036" t="s">
        <v>853</v>
      </c>
      <c r="B53" s="1037"/>
      <c r="C53" s="1037"/>
      <c r="D53" s="1037"/>
      <c r="E53" s="1037"/>
      <c r="F53" s="1037"/>
      <c r="G53" s="1037"/>
      <c r="H53" s="1037"/>
      <c r="I53" s="1037"/>
      <c r="J53" s="1037"/>
      <c r="K53" s="1037"/>
      <c r="L53" s="1037"/>
      <c r="M53" s="1037"/>
      <c r="N53" s="1019">
        <f>SUM(B53:M53)</f>
        <v>0</v>
      </c>
      <c r="O53" s="993"/>
      <c r="P53" s="993"/>
    </row>
    <row r="54" spans="1:16" ht="15.75" x14ac:dyDescent="0.25">
      <c r="A54" s="1018" t="s">
        <v>854</v>
      </c>
      <c r="B54" s="1019">
        <f t="shared" ref="B54:M54" si="14">B6+B27+B28+B53-B50-B51</f>
        <v>4315561559</v>
      </c>
      <c r="C54" s="1019">
        <f t="shared" si="14"/>
        <v>4030106573</v>
      </c>
      <c r="D54" s="1019">
        <f t="shared" si="14"/>
        <v>3214604515</v>
      </c>
      <c r="E54" s="1019">
        <f t="shared" si="14"/>
        <v>3145347405</v>
      </c>
      <c r="F54" s="1019">
        <f t="shared" si="14"/>
        <v>2913037902</v>
      </c>
      <c r="G54" s="1019">
        <f t="shared" si="14"/>
        <v>2912546326</v>
      </c>
      <c r="H54" s="1019">
        <f t="shared" si="14"/>
        <v>2350302463</v>
      </c>
      <c r="I54" s="1019">
        <f t="shared" si="14"/>
        <v>2872349458</v>
      </c>
      <c r="J54" s="1019">
        <f t="shared" si="14"/>
        <v>2702947161</v>
      </c>
      <c r="K54" s="1019">
        <f t="shared" si="14"/>
        <v>2273742745</v>
      </c>
      <c r="L54" s="1019">
        <f t="shared" si="14"/>
        <v>1471696247</v>
      </c>
      <c r="M54" s="1019">
        <f t="shared" si="14"/>
        <v>275518028</v>
      </c>
      <c r="N54" s="1019">
        <f>N6+N27+N28+N53-N50-N51</f>
        <v>275518028</v>
      </c>
      <c r="O54" s="993">
        <f>N6+N27+N28+N53-N50-N51</f>
        <v>275518028</v>
      </c>
    </row>
    <row r="55" spans="1:16" x14ac:dyDescent="0.2">
      <c r="J55" s="1040"/>
    </row>
  </sheetData>
  <sheetProtection selectLockedCells="1" selectUnlockedCells="1"/>
  <mergeCells count="2">
    <mergeCell ref="M2:N2"/>
    <mergeCell ref="A3:O3"/>
  </mergeCells>
  <pageMargins left="0.25" right="0.25" top="0.75" bottom="0.75" header="0.3" footer="0.3"/>
  <pageSetup paperSize="9" scale="45" firstPageNumber="0" orientation="landscape" r:id="rId1"/>
  <headerFooter alignWithMargins="0">
    <oddHeader xml:space="preserve">&amp;C11. melléklet 
a 6/2021. (III.05.) önkormányzati rendelethez
 az önkormányzat 2020. évi költségvetéséről szóló 6/2020. (III.06.) önkormányzati rendelet 
17. mellékletének helyébe a következő 11. melléklet lép: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17</vt:i4>
      </vt:variant>
      <vt:variant>
        <vt:lpstr>Névvel ellátott tartományok</vt:lpstr>
      </vt:variant>
      <vt:variant>
        <vt:i4>16</vt:i4>
      </vt:variant>
    </vt:vector>
  </HeadingPairs>
  <TitlesOfParts>
    <vt:vector size="33"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10.sz. tábla (2)</vt:lpstr>
      <vt:lpstr>11. sz. tábla </vt:lpstr>
      <vt:lpstr>'1.sz.tábla   (2)'!Nyomtatási_terület</vt:lpstr>
      <vt:lpstr>'10.sz. tábla (2)'!Nyomtatási_terület</vt:lpstr>
      <vt:lpstr>'11. sz. tábla '!Nyomtatási_terület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2021-03-03T11:42:07Z</cp:lastPrinted>
  <dcterms:created xsi:type="dcterms:W3CDTF">2014-05-27T12:51:39Z</dcterms:created>
  <dcterms:modified xsi:type="dcterms:W3CDTF">2021-03-08T11:56:45Z</dcterms:modified>
</cp:coreProperties>
</file>