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Költségvetés\Private\2020\Rendeletmódosítás\májusi rendeletmódosítás\Testületi\"/>
    </mc:Choice>
  </mc:AlternateContent>
  <xr:revisionPtr revIDLastSave="0" documentId="13_ncr:1_{6C9F5538-648D-4979-A50A-1C182F1B2594}" xr6:coauthVersionLast="45" xr6:coauthVersionMax="45" xr10:uidLastSave="{00000000-0000-0000-0000-000000000000}"/>
  <bookViews>
    <workbookView xWindow="-120" yWindow="-120" windowWidth="21840" windowHeight="13140" tabRatio="899" firstSheet="6" activeTab="9" xr2:uid="{00000000-000D-0000-FFFF-FFFF00000000}"/>
  </bookViews>
  <sheets>
    <sheet name="1 bevétel (kötelező,önként)" sheetId="239" r:id="rId1"/>
    <sheet name="2 kiadás (kötelező, önként)" sheetId="240" r:id="rId2"/>
    <sheet name="3 bevétel(szűkített)" sheetId="261" r:id="rId3"/>
    <sheet name="4 kiadás(szűkített)" sheetId="260" r:id="rId4"/>
    <sheet name="5 egyenleg" sheetId="266" r:id="rId5"/>
    <sheet name="6normatíva" sheetId="327" r:id="rId6"/>
    <sheet name="7 int.bevétel" sheetId="332" r:id="rId7"/>
    <sheet name="8 int.kiadás " sheetId="329" r:id="rId8"/>
    <sheet name="9 álláshely" sheetId="331" r:id="rId9"/>
    <sheet name="10 ök kiadás" sheetId="317" r:id="rId10"/>
    <sheet name="11melléklet " sheetId="318" r:id="rId11"/>
    <sheet name="12 fejlesztés " sheetId="315" r:id="rId12"/>
    <sheet name="14 Ktg.szervek felúj." sheetId="316" r:id="rId13"/>
    <sheet name="15 épületek fentartási költs" sheetId="325" r:id="rId14"/>
    <sheet name="16működési és felhalm " sheetId="299" r:id="rId15"/>
    <sheet name="17előirányzat felhasz. " sheetId="321" r:id="rId16"/>
    <sheet name="18többéves" sheetId="322" r:id="rId17"/>
    <sheet name="22 TFA" sheetId="326" r:id="rId18"/>
    <sheet name="23 Környezetvéd.alap" sheetId="323" r:id="rId19"/>
  </sheets>
  <externalReferences>
    <externalReference r:id="rId20"/>
    <externalReference r:id="rId21"/>
  </externalReferences>
  <definedNames>
    <definedName name="_______" localSheetId="10">[1]Munka3!#REF!</definedName>
    <definedName name="_______" localSheetId="13">[1]Munka3!#REF!</definedName>
    <definedName name="_______" localSheetId="15">[1]Munka3!#REF!</definedName>
    <definedName name="_______" localSheetId="16">[1]Munka3!#REF!</definedName>
    <definedName name="_______" localSheetId="17">[1]Munka3!#REF!</definedName>
    <definedName name="_______" localSheetId="18">[1]Munka3!#REF!</definedName>
    <definedName name="_______" localSheetId="5">[1]Munka3!#REF!</definedName>
    <definedName name="_______">[1]Munka3!#REF!</definedName>
    <definedName name="_______________e00001" localSheetId="10">[1]Munka3!#REF!</definedName>
    <definedName name="_______________e00001" localSheetId="13">[1]Munka3!#REF!</definedName>
    <definedName name="_______________e00001" localSheetId="15">[1]Munka3!#REF!</definedName>
    <definedName name="_______________e00001" localSheetId="16">[1]Munka3!#REF!</definedName>
    <definedName name="_______________e00001" localSheetId="17">[1]Munka3!#REF!</definedName>
    <definedName name="_______________e00001" localSheetId="18">[1]Munka3!#REF!</definedName>
    <definedName name="_______________e00001">[1]Munka3!#REF!</definedName>
    <definedName name="______________b00001" localSheetId="10">[1]Munka3!#REF!</definedName>
    <definedName name="______________b00001" localSheetId="13">[1]Munka3!#REF!</definedName>
    <definedName name="______________b00001" localSheetId="15">[1]Munka3!#REF!</definedName>
    <definedName name="______________b00001" localSheetId="16">[1]Munka3!#REF!</definedName>
    <definedName name="______________b00001" localSheetId="17">[1]Munka3!#REF!</definedName>
    <definedName name="______________b00001" localSheetId="18">[1]Munka3!#REF!</definedName>
    <definedName name="______________b00001">[1]Munka3!#REF!</definedName>
    <definedName name="______________e00001" localSheetId="10">[1]Munka3!#REF!</definedName>
    <definedName name="______________e00001" localSheetId="13">[1]Munka3!#REF!</definedName>
    <definedName name="______________e00001" localSheetId="15">[1]Munka3!#REF!</definedName>
    <definedName name="______________e00001" localSheetId="16">[1]Munka3!#REF!</definedName>
    <definedName name="______________e00001" localSheetId="17">[1]Munka3!#REF!</definedName>
    <definedName name="______________e00001" localSheetId="18">[1]Munka3!#REF!</definedName>
    <definedName name="______________e00001">[1]Munka3!#REF!</definedName>
    <definedName name="_____________b00001" localSheetId="10">[1]Munka3!#REF!</definedName>
    <definedName name="_____________b00001" localSheetId="15">[2]Munka3!#REF!</definedName>
    <definedName name="_____________b00001" localSheetId="17">[1]Munka3!#REF!</definedName>
    <definedName name="_____________b00001" localSheetId="18">[1]Munka3!#REF!</definedName>
    <definedName name="_____________b00001" localSheetId="5">[1]Munka3!#REF!</definedName>
    <definedName name="_____________b00001">[1]Munka3!#REF!</definedName>
    <definedName name="_____________e00001" localSheetId="15">[2]Munka3!#REF!</definedName>
    <definedName name="_____________e00001" localSheetId="17">[1]Munka3!#REF!</definedName>
    <definedName name="_____________e00001" localSheetId="18">[1]Munka3!#REF!</definedName>
    <definedName name="_____________e00001" localSheetId="5">[1]Munka3!#REF!</definedName>
    <definedName name="_____________e00001">[1]Munka3!#REF!</definedName>
    <definedName name="____________b00001" localSheetId="10">[1]Munka3!#REF!</definedName>
    <definedName name="____________b00001" localSheetId="15">[2]Munka3!#REF!</definedName>
    <definedName name="____________b00001" localSheetId="16">[2]Munka3!#REF!</definedName>
    <definedName name="____________b00001" localSheetId="18">[1]Munka3!#REF!</definedName>
    <definedName name="____________b00001" localSheetId="5">[1]Munka3!#REF!</definedName>
    <definedName name="____________b00001">[1]Munka3!#REF!</definedName>
    <definedName name="____________e00001" localSheetId="10">[1]Munka3!#REF!</definedName>
    <definedName name="____________e00001" localSheetId="15">[2]Munka3!#REF!</definedName>
    <definedName name="____________e00001" localSheetId="16">[2]Munka3!#REF!</definedName>
    <definedName name="____________e00001" localSheetId="18">[1]Munka3!#REF!</definedName>
    <definedName name="____________e00001" localSheetId="5">[1]Munka3!#REF!</definedName>
    <definedName name="____________e00001">[1]Munka3!#REF!</definedName>
    <definedName name="___________b00001" localSheetId="10">[1]Munka3!#REF!</definedName>
    <definedName name="___________b00001" localSheetId="15">[2]Munka3!#REF!</definedName>
    <definedName name="___________b00001" localSheetId="16">[2]Munka3!#REF!</definedName>
    <definedName name="___________b00001" localSheetId="18">[1]Munka3!#REF!</definedName>
    <definedName name="___________b00001" localSheetId="5">[1]Munka3!#REF!</definedName>
    <definedName name="___________b00001">[1]Munka3!#REF!</definedName>
    <definedName name="___________e00001" localSheetId="10">[1]Munka3!#REF!</definedName>
    <definedName name="___________e00001" localSheetId="15">[2]Munka3!#REF!</definedName>
    <definedName name="___________e00001" localSheetId="16">[2]Munka3!#REF!</definedName>
    <definedName name="___________e00001" localSheetId="18">[1]Munka3!#REF!</definedName>
    <definedName name="___________e00001">[1]Munka3!#REF!</definedName>
    <definedName name="__________b00001" localSheetId="10">[1]Munka3!#REF!</definedName>
    <definedName name="__________b00001" localSheetId="15">[2]Munka3!#REF!</definedName>
    <definedName name="__________b00001" localSheetId="16">[2]Munka3!#REF!</definedName>
    <definedName name="__________b00001" localSheetId="18">[1]Munka3!#REF!</definedName>
    <definedName name="__________b00001">[1]Munka3!#REF!</definedName>
    <definedName name="__________e00001" localSheetId="10">[1]Munka3!#REF!</definedName>
    <definedName name="__________e00001" localSheetId="15">[2]Munka3!#REF!</definedName>
    <definedName name="__________e00001" localSheetId="18">[1]Munka3!#REF!</definedName>
    <definedName name="__________e00001">[1]Munka3!#REF!</definedName>
    <definedName name="_________b00001" localSheetId="10">[1]Munka3!#REF!</definedName>
    <definedName name="_________b00001" localSheetId="15">[2]Munka3!#REF!</definedName>
    <definedName name="_________b00001" localSheetId="18">[1]Munka3!#REF!</definedName>
    <definedName name="_________b00001">[1]Munka3!#REF!</definedName>
    <definedName name="_________e00001" localSheetId="10">[1]Munka3!#REF!</definedName>
    <definedName name="_________e00001" localSheetId="15">[2]Munka3!#REF!</definedName>
    <definedName name="_________e00001" localSheetId="18">[1]Munka3!#REF!</definedName>
    <definedName name="_________e00001">[1]Munka3!#REF!</definedName>
    <definedName name="________b00001" localSheetId="10">[1]Munka3!#REF!</definedName>
    <definedName name="________b00001" localSheetId="15">[2]Munka3!#REF!</definedName>
    <definedName name="________b00001" localSheetId="18">[1]Munka3!#REF!</definedName>
    <definedName name="________b00001" localSheetId="6">[1]Munka3!#REF!</definedName>
    <definedName name="________b00001" localSheetId="7">[1]Munka3!#REF!</definedName>
    <definedName name="________b00001">[1]Munka3!#REF!</definedName>
    <definedName name="________e00001" localSheetId="10">[1]Munka3!#REF!</definedName>
    <definedName name="________e00001" localSheetId="15">[2]Munka3!#REF!</definedName>
    <definedName name="________e00001" localSheetId="18">[1]Munka3!#REF!</definedName>
    <definedName name="________e00001" localSheetId="6">[1]Munka3!#REF!</definedName>
    <definedName name="________e00001" localSheetId="7">[1]Munka3!#REF!</definedName>
    <definedName name="________e00001">[1]Munka3!#REF!</definedName>
    <definedName name="_______b00001" localSheetId="10">[1]Munka3!#REF!</definedName>
    <definedName name="_______b00001" localSheetId="15">[2]Munka3!#REF!</definedName>
    <definedName name="_______b00001" localSheetId="18">[1]Munka3!#REF!</definedName>
    <definedName name="_______b00001" localSheetId="6">[1]Munka3!#REF!</definedName>
    <definedName name="_______b00001" localSheetId="7">[1]Munka3!#REF!</definedName>
    <definedName name="_______b00001">[1]Munka3!#REF!</definedName>
    <definedName name="_______e00001" localSheetId="10">[1]Munka3!#REF!</definedName>
    <definedName name="_______e00001" localSheetId="15">[2]Munka3!#REF!</definedName>
    <definedName name="_______e00001" localSheetId="18">[1]Munka3!#REF!</definedName>
    <definedName name="_______e00001" localSheetId="6">[1]Munka3!#REF!</definedName>
    <definedName name="_______e00001" localSheetId="7">[1]Munka3!#REF!</definedName>
    <definedName name="_______e00001">[1]Munka3!#REF!</definedName>
    <definedName name="______b00001" localSheetId="10">[1]Munka3!#REF!</definedName>
    <definedName name="______b00001" localSheetId="15">[2]Munka3!#REF!</definedName>
    <definedName name="______b00001" localSheetId="18">[1]Munka3!#REF!</definedName>
    <definedName name="______b00001" localSheetId="6">[1]Munka3!#REF!</definedName>
    <definedName name="______b00001" localSheetId="7">[1]Munka3!#REF!</definedName>
    <definedName name="______b00001">[1]Munka3!#REF!</definedName>
    <definedName name="______e00001" localSheetId="10">[1]Munka3!#REF!</definedName>
    <definedName name="______e00001" localSheetId="15">[2]Munka3!#REF!</definedName>
    <definedName name="______e00001" localSheetId="18">[1]Munka3!#REF!</definedName>
    <definedName name="______e00001" localSheetId="6">[1]Munka3!#REF!</definedName>
    <definedName name="______e00001">[1]Munka3!#REF!</definedName>
    <definedName name="_____b00001" localSheetId="10">[1]Munka3!#REF!</definedName>
    <definedName name="_____b00001" localSheetId="15">[2]Munka3!#REF!</definedName>
    <definedName name="_____b00001" localSheetId="18">[1]Munka3!#REF!</definedName>
    <definedName name="_____b00001" localSheetId="6">[1]Munka3!#REF!</definedName>
    <definedName name="_____b00001">[1]Munka3!#REF!</definedName>
    <definedName name="_____e00001" localSheetId="10">[1]Munka3!#REF!</definedName>
    <definedName name="_____e00001" localSheetId="15">[2]Munka3!#REF!</definedName>
    <definedName name="_____e00001" localSheetId="18">[1]Munka3!#REF!</definedName>
    <definedName name="_____e00001" localSheetId="6">[1]Munka3!#REF!</definedName>
    <definedName name="_____e00001">[1]Munka3!#REF!</definedName>
    <definedName name="____b00001" localSheetId="10">[1]Munka3!#REF!</definedName>
    <definedName name="____b00001" localSheetId="15">[2]Munka3!#REF!</definedName>
    <definedName name="____b00001" localSheetId="18">[1]Munka3!#REF!</definedName>
    <definedName name="____b00001" localSheetId="6">[1]Munka3!#REF!</definedName>
    <definedName name="____b00001">[1]Munka3!#REF!</definedName>
    <definedName name="____e00001" localSheetId="10">[1]Munka3!#REF!</definedName>
    <definedName name="____e00001" localSheetId="15">[2]Munka3!#REF!</definedName>
    <definedName name="____e00001" localSheetId="18">[1]Munka3!#REF!</definedName>
    <definedName name="____e00001" localSheetId="6">[1]Munka3!#REF!</definedName>
    <definedName name="____e00001">[1]Munka3!#REF!</definedName>
    <definedName name="___b00001" localSheetId="10">[1]Munka3!#REF!</definedName>
    <definedName name="___b00001" localSheetId="15">[2]Munka3!#REF!</definedName>
    <definedName name="___b00001" localSheetId="18">[1]Munka3!#REF!</definedName>
    <definedName name="___b00001" localSheetId="6">[1]Munka3!#REF!</definedName>
    <definedName name="___b00001">[1]Munka3!#REF!</definedName>
    <definedName name="___e00001" localSheetId="10">[1]Munka3!#REF!</definedName>
    <definedName name="___e00001" localSheetId="15">[2]Munka3!#REF!</definedName>
    <definedName name="___e00001" localSheetId="18">[1]Munka3!#REF!</definedName>
    <definedName name="___e00001" localSheetId="6">[1]Munka3!#REF!</definedName>
    <definedName name="___e00001">[1]Munka3!#REF!</definedName>
    <definedName name="__b00001" localSheetId="10">[1]Munka3!#REF!</definedName>
    <definedName name="__b00001" localSheetId="15">[2]Munka3!#REF!</definedName>
    <definedName name="__b00001" localSheetId="18">[1]Munka3!#REF!</definedName>
    <definedName name="__b00001" localSheetId="6">[1]Munka3!#REF!</definedName>
    <definedName name="__b00001" localSheetId="7">[1]Munka3!#REF!</definedName>
    <definedName name="__b00001">[1]Munka3!#REF!</definedName>
    <definedName name="__e00001" localSheetId="10">[1]Munka3!#REF!</definedName>
    <definedName name="__e00001" localSheetId="15">[2]Munka3!#REF!</definedName>
    <definedName name="__e00001" localSheetId="18">[1]Munka3!#REF!</definedName>
    <definedName name="__e00001" localSheetId="6">[1]Munka3!#REF!</definedName>
    <definedName name="__e00001" localSheetId="7">[1]Munka3!#REF!</definedName>
    <definedName name="__e00001">[1]Munka3!#REF!</definedName>
    <definedName name="_b00001" localSheetId="10">[1]Munka3!#REF!</definedName>
    <definedName name="_b00001" localSheetId="15">[2]Munka3!#REF!</definedName>
    <definedName name="_b00001" localSheetId="18">[1]Munka3!#REF!</definedName>
    <definedName name="_b00001" localSheetId="6">[1]Munka3!#REF!</definedName>
    <definedName name="_b00001" localSheetId="7">[1]Munka3!#REF!</definedName>
    <definedName name="_b00001">[1]Munka3!#REF!</definedName>
    <definedName name="_bev">[2]Munka3!#REF!</definedName>
    <definedName name="_e00001" localSheetId="10">[1]Munka3!#REF!</definedName>
    <definedName name="_e00001" localSheetId="15">[2]Munka3!#REF!</definedName>
    <definedName name="_e00001" localSheetId="18">[1]Munka3!#REF!</definedName>
    <definedName name="_e00001" localSheetId="6">[1]Munka3!#REF!</definedName>
    <definedName name="_e00001" localSheetId="7">[1]Munka3!#REF!</definedName>
    <definedName name="_e00001">[1]Munka3!#REF!</definedName>
    <definedName name="_e00002">[1]Munka3!#REF!</definedName>
    <definedName name="_Kiad">[1]Munka3!#REF!</definedName>
    <definedName name="b0000" localSheetId="10">[2]Munka3!#REF!</definedName>
    <definedName name="b0000" localSheetId="13">[2]Munka3!#REF!</definedName>
    <definedName name="b0000" localSheetId="15">[2]Munka3!#REF!</definedName>
    <definedName name="b0000" localSheetId="18">[2]Munka3!#REF!</definedName>
    <definedName name="b0000" localSheetId="6">[2]Munka3!#REF!</definedName>
    <definedName name="b0000" localSheetId="7">[2]Munka3!#REF!</definedName>
    <definedName name="b0000">[2]Munka3!#REF!</definedName>
    <definedName name="b00000" localSheetId="0">[1]Munka3!#REF!</definedName>
    <definedName name="b00000" localSheetId="9">[1]Munka3!#REF!</definedName>
    <definedName name="b00000" localSheetId="10">[2]Munka3!#REF!</definedName>
    <definedName name="b00000" localSheetId="13">[2]Munka3!#REF!</definedName>
    <definedName name="b00000" localSheetId="14">[1]Munka3!#REF!</definedName>
    <definedName name="b00000" localSheetId="15">[2]Munka3!#REF!</definedName>
    <definedName name="b00000" localSheetId="1">[1]Munka3!#REF!</definedName>
    <definedName name="b00000" localSheetId="18">[2]Munka3!#REF!</definedName>
    <definedName name="b00000" localSheetId="6">[2]Munka3!#REF!</definedName>
    <definedName name="b00000" localSheetId="7">[2]Munka3!#REF!</definedName>
    <definedName name="b00000">[2]Munka3!#REF!</definedName>
    <definedName name="Bev">[2]Munka3!#REF!</definedName>
    <definedName name="bevetel">[2]Munka3!#REF!</definedName>
    <definedName name="Bevétel">[2]Munka3!#REF!</definedName>
    <definedName name="c0000">[2]Munka3!#REF!</definedName>
    <definedName name="c00000" localSheetId="10">[2]Munka3!#REF!</definedName>
    <definedName name="c00000" localSheetId="13">[2]Munka3!#REF!</definedName>
    <definedName name="c00000" localSheetId="15">[2]Munka3!#REF!</definedName>
    <definedName name="c00000" localSheetId="18">[2]Munka3!#REF!</definedName>
    <definedName name="c00000" localSheetId="6">[2]Munka3!#REF!</definedName>
    <definedName name="c00000" localSheetId="7">[2]Munka3!#REF!</definedName>
    <definedName name="c00000">[2]Munka3!#REF!</definedName>
    <definedName name="d0000">[2]Munka3!#REF!</definedName>
    <definedName name="e_00002" localSheetId="18">[1]Munka3!#REF!</definedName>
    <definedName name="e_00002">[1]Munka3!#REF!</definedName>
    <definedName name="E00000" localSheetId="0">[1]Munka3!#REF!</definedName>
    <definedName name="E00000" localSheetId="9">[1]Munka3!#REF!</definedName>
    <definedName name="E00000" localSheetId="10">[2]Munka3!#REF!</definedName>
    <definedName name="E00000" localSheetId="13">[2]Munka3!#REF!</definedName>
    <definedName name="E00000" localSheetId="14">[1]Munka3!#REF!</definedName>
    <definedName name="E00000" localSheetId="15">[2]Munka3!#REF!</definedName>
    <definedName name="E00000" localSheetId="1">[1]Munka3!#REF!</definedName>
    <definedName name="E00000" localSheetId="18">[2]Munka3!#REF!</definedName>
    <definedName name="E00000" localSheetId="6">[2]Munka3!#REF!</definedName>
    <definedName name="E00000" localSheetId="7">[2]Munka3!#REF!</definedName>
    <definedName name="E00000">[2]Munka3!#REF!</definedName>
    <definedName name="előirányzat">[2]Munka3!#REF!</definedName>
    <definedName name="este" localSheetId="18">[1]Munka3!#REF!</definedName>
    <definedName name="este">[1]Munka3!#REF!</definedName>
    <definedName name="fejl">[1]Munka3!#REF!</definedName>
    <definedName name="jav_előirányzatfelhasz" localSheetId="18">[1]Munka3!#REF!</definedName>
    <definedName name="jav_előirányzatfelhasz">[1]Munka3!#REF!</definedName>
    <definedName name="javítás" localSheetId="18">[1]Munka3!#REF!</definedName>
    <definedName name="javítás">[1]Munka3!#REF!</definedName>
    <definedName name="Ki">[1]Munka3!#REF!</definedName>
    <definedName name="kiad">[1]Munka3!#REF!</definedName>
    <definedName name="kiadás" localSheetId="7">[1]Munka3!#REF!</definedName>
    <definedName name="kiadás">[2]Munka3!#REF!</definedName>
    <definedName name="létszám" localSheetId="10">[2]Munka3!#REF!</definedName>
    <definedName name="létszám" localSheetId="13">[2]Munka3!#REF!</definedName>
    <definedName name="létszám" localSheetId="15">[2]Munka3!#REF!</definedName>
    <definedName name="létszám" localSheetId="18">[2]Munka3!#REF!</definedName>
    <definedName name="létszám" localSheetId="6">[2]Munka3!#REF!</definedName>
    <definedName name="létszám" localSheetId="7">[2]Munka3!#REF!</definedName>
    <definedName name="létszám">[2]Munka3!#REF!</definedName>
    <definedName name="Norm.2014" localSheetId="10">[2]Munka3!#REF!</definedName>
    <definedName name="Norm.2014" localSheetId="11">[2]Munka3!#REF!</definedName>
    <definedName name="Norm.2014" localSheetId="12">[2]Munka3!#REF!</definedName>
    <definedName name="Norm.2014" localSheetId="13">[2]Munka3!#REF!</definedName>
    <definedName name="Norm.2014" localSheetId="15">[2]Munka3!#REF!</definedName>
    <definedName name="Norm.2014" localSheetId="16">[2]Munka3!#REF!</definedName>
    <definedName name="Norm.2014" localSheetId="17">[2]Munka3!#REF!</definedName>
    <definedName name="Norm.2014" localSheetId="18">[2]Munka3!#REF!</definedName>
    <definedName name="Norm.2014" localSheetId="5">[2]Munka3!#REF!</definedName>
    <definedName name="Norm.2014">[1]Munka3!#REF!</definedName>
    <definedName name="_xlnm.Print_Titles" localSheetId="0">'1 bevétel (kötelező,önként)'!$A:$B,'1 bevétel (kötelező,önként)'!$1:$8</definedName>
    <definedName name="_xlnm.Print_Titles" localSheetId="9">'10 ök kiadás'!$1:$6</definedName>
    <definedName name="_xlnm.Print_Titles" localSheetId="10">'11melléklet '!$1:$3</definedName>
    <definedName name="_xlnm.Print_Titles" localSheetId="11">'12 fejlesztés '!$1:$3</definedName>
    <definedName name="_xlnm.Print_Titles" localSheetId="12">'14 Ktg.szervek felúj.'!$3:$3</definedName>
    <definedName name="_xlnm.Print_Titles" localSheetId="1">'2 kiadás (kötelező, önként)'!$A:$B</definedName>
    <definedName name="_xlnm.Print_Titles" localSheetId="2">'3 bevétel(szűkített)'!$1:$8</definedName>
    <definedName name="_xlnm.Print_Titles" localSheetId="6">'7 int.bevétel'!$A:$B,'7 int.bevétel'!$1:$4</definedName>
    <definedName name="_xlnm.Print_Titles" localSheetId="7">'8 int.kiadás '!$1:$6</definedName>
    <definedName name="_xlnm.Print_Area" localSheetId="0">'1 bevétel (kötelező,önként)'!$A$1:$AL$62</definedName>
    <definedName name="_xlnm.Print_Area" localSheetId="9">'10 ök kiadás'!$A$1:$P$484</definedName>
    <definedName name="_xlnm.Print_Area" localSheetId="10">'11melléklet '!$A$1:$K$248</definedName>
    <definedName name="_xlnm.Print_Area" localSheetId="15">'17előirányzat felhasz. '!$A$4:$N$31</definedName>
    <definedName name="_xlnm.Print_Area" localSheetId="16">'18többéves'!$A$1:$G$33</definedName>
    <definedName name="_xlnm.Print_Area" localSheetId="3">'4 kiadás(szűkített)'!$A$1:$K$26</definedName>
    <definedName name="_xlnm.Print_Area" localSheetId="5">'6normatíva'!$A$1:$E$42</definedName>
    <definedName name="_xlnm.Print_Area" localSheetId="6">'7 int.bevétel'!$A$1:$O$619</definedName>
    <definedName name="_xlnm.Print_Area" localSheetId="7">'8 int.kiadás '!$A$1:$O$633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321" l="1"/>
  <c r="M22" i="321"/>
  <c r="J22" i="321"/>
  <c r="L21" i="321"/>
  <c r="H17" i="240" l="1"/>
  <c r="D17" i="260"/>
  <c r="D13" i="260"/>
  <c r="H13" i="240"/>
  <c r="L311" i="317"/>
  <c r="P311" i="317" s="1"/>
  <c r="H311" i="317"/>
  <c r="N418" i="317"/>
  <c r="D200" i="318"/>
  <c r="G200" i="318"/>
  <c r="G217" i="318"/>
  <c r="D233" i="318"/>
  <c r="G247" i="318"/>
  <c r="D247" i="318"/>
  <c r="N403" i="317"/>
  <c r="N402" i="317"/>
  <c r="L143" i="317"/>
  <c r="P143" i="317" s="1"/>
  <c r="H143" i="317"/>
  <c r="G84" i="318"/>
  <c r="D84" i="318"/>
  <c r="P395" i="317" l="1"/>
  <c r="P371" i="317"/>
  <c r="G232" i="318"/>
  <c r="D232" i="318"/>
  <c r="G18" i="321" l="1"/>
  <c r="F18" i="321"/>
  <c r="D18" i="321"/>
  <c r="C18" i="321"/>
  <c r="M8" i="321"/>
  <c r="J8" i="321"/>
  <c r="G9" i="321"/>
  <c r="F9" i="321"/>
  <c r="E9" i="321"/>
  <c r="H11" i="321"/>
  <c r="M11" i="321"/>
  <c r="L11" i="321"/>
  <c r="K11" i="321"/>
  <c r="J11" i="321"/>
  <c r="I11" i="321"/>
  <c r="G11" i="321"/>
  <c r="E11" i="321"/>
  <c r="M12" i="321"/>
  <c r="L12" i="321"/>
  <c r="K12" i="321"/>
  <c r="J12" i="321"/>
  <c r="I12" i="321"/>
  <c r="H12" i="321"/>
  <c r="G12" i="321"/>
  <c r="F12" i="321"/>
  <c r="E12" i="321"/>
  <c r="F7" i="321"/>
  <c r="M6" i="321"/>
  <c r="L6" i="321"/>
  <c r="K6" i="321"/>
  <c r="J6" i="321"/>
  <c r="I6" i="321"/>
  <c r="H6" i="321"/>
  <c r="G6" i="321"/>
  <c r="F6" i="321"/>
  <c r="E6" i="321"/>
  <c r="Q10" i="321"/>
  <c r="Q13" i="321"/>
  <c r="G10" i="321"/>
  <c r="D10" i="321"/>
  <c r="D12" i="321"/>
  <c r="B11" i="321"/>
  <c r="D9" i="321"/>
  <c r="C9" i="321"/>
  <c r="B9" i="321"/>
  <c r="M18" i="321"/>
  <c r="L18" i="321"/>
  <c r="K18" i="321"/>
  <c r="J18" i="321"/>
  <c r="I18" i="321"/>
  <c r="H18" i="321"/>
  <c r="Q23" i="321"/>
  <c r="G22" i="321"/>
  <c r="E22" i="321"/>
  <c r="M21" i="321"/>
  <c r="J21" i="321"/>
  <c r="L20" i="321"/>
  <c r="E20" i="321"/>
  <c r="L19" i="321"/>
  <c r="J19" i="321"/>
  <c r="I19" i="321"/>
  <c r="H19" i="321"/>
  <c r="G19" i="321"/>
  <c r="F19" i="321"/>
  <c r="E19" i="321"/>
  <c r="M17" i="321"/>
  <c r="L17" i="321"/>
  <c r="K17" i="321"/>
  <c r="J17" i="321"/>
  <c r="I17" i="321"/>
  <c r="H17" i="321"/>
  <c r="G17" i="321"/>
  <c r="F17" i="321"/>
  <c r="E17" i="321"/>
  <c r="O14" i="321"/>
  <c r="O24" i="321" s="1"/>
  <c r="O18" i="321" s="1"/>
  <c r="B15" i="299"/>
  <c r="D24" i="260"/>
  <c r="H24" i="240"/>
  <c r="G59" i="261"/>
  <c r="T59" i="239"/>
  <c r="G19" i="261"/>
  <c r="T19" i="239"/>
  <c r="D632" i="332"/>
  <c r="E632" i="332"/>
  <c r="F632" i="332"/>
  <c r="G632" i="332"/>
  <c r="H632" i="332"/>
  <c r="I632" i="332"/>
  <c r="J632" i="332"/>
  <c r="K632" i="332"/>
  <c r="L632" i="332"/>
  <c r="M632" i="332"/>
  <c r="N632" i="332"/>
  <c r="O632" i="332"/>
  <c r="C632" i="332"/>
  <c r="M633" i="332"/>
  <c r="I633" i="332"/>
  <c r="E633" i="332"/>
  <c r="N614" i="332"/>
  <c r="N633" i="332" s="1"/>
  <c r="M614" i="332"/>
  <c r="I614" i="332"/>
  <c r="H614" i="332"/>
  <c r="H633" i="332" s="1"/>
  <c r="G614" i="332"/>
  <c r="G633" i="332" s="1"/>
  <c r="F614" i="332"/>
  <c r="F633" i="332" s="1"/>
  <c r="E614" i="332"/>
  <c r="D614" i="332"/>
  <c r="D633" i="332" s="1"/>
  <c r="C614" i="332"/>
  <c r="C633" i="332" s="1"/>
  <c r="N612" i="332"/>
  <c r="M612" i="332"/>
  <c r="I612" i="332"/>
  <c r="H612" i="332"/>
  <c r="G612" i="332"/>
  <c r="F612" i="332"/>
  <c r="E612" i="332"/>
  <c r="D612" i="332"/>
  <c r="C612" i="332"/>
  <c r="N611" i="332"/>
  <c r="M611" i="332"/>
  <c r="I611" i="332"/>
  <c r="H611" i="332"/>
  <c r="G611" i="332"/>
  <c r="F611" i="332"/>
  <c r="E611" i="332"/>
  <c r="D611" i="332"/>
  <c r="C611" i="332"/>
  <c r="N610" i="332"/>
  <c r="M610" i="332"/>
  <c r="J610" i="332"/>
  <c r="I610" i="332"/>
  <c r="H610" i="332"/>
  <c r="G610" i="332"/>
  <c r="F610" i="332"/>
  <c r="E610" i="332"/>
  <c r="D610" i="332"/>
  <c r="C610" i="332"/>
  <c r="N609" i="332"/>
  <c r="M609" i="332"/>
  <c r="I609" i="332"/>
  <c r="H609" i="332"/>
  <c r="G609" i="332"/>
  <c r="F609" i="332"/>
  <c r="E609" i="332"/>
  <c r="D609" i="332"/>
  <c r="C609" i="332"/>
  <c r="N608" i="332"/>
  <c r="M608" i="332"/>
  <c r="I608" i="332"/>
  <c r="H608" i="332"/>
  <c r="G608" i="332"/>
  <c r="F608" i="332"/>
  <c r="E608" i="332"/>
  <c r="D608" i="332"/>
  <c r="C608" i="332"/>
  <c r="N607" i="332"/>
  <c r="M607" i="332"/>
  <c r="I607" i="332"/>
  <c r="H607" i="332"/>
  <c r="G607" i="332"/>
  <c r="F607" i="332"/>
  <c r="E607" i="332"/>
  <c r="D607" i="332"/>
  <c r="C607" i="332"/>
  <c r="N606" i="332"/>
  <c r="M606" i="332"/>
  <c r="J606" i="332"/>
  <c r="I606" i="332"/>
  <c r="H606" i="332"/>
  <c r="G606" i="332"/>
  <c r="F606" i="332"/>
  <c r="E606" i="332"/>
  <c r="D606" i="332"/>
  <c r="C606" i="332"/>
  <c r="N605" i="332"/>
  <c r="M605" i="332"/>
  <c r="I605" i="332"/>
  <c r="H605" i="332"/>
  <c r="G605" i="332"/>
  <c r="F605" i="332"/>
  <c r="E605" i="332"/>
  <c r="D605" i="332"/>
  <c r="C605" i="332"/>
  <c r="N604" i="332"/>
  <c r="M604" i="332"/>
  <c r="I604" i="332"/>
  <c r="H604" i="332"/>
  <c r="G604" i="332"/>
  <c r="F604" i="332"/>
  <c r="E604" i="332"/>
  <c r="D604" i="332"/>
  <c r="C604" i="332"/>
  <c r="N603" i="332"/>
  <c r="M603" i="332"/>
  <c r="I603" i="332"/>
  <c r="H603" i="332"/>
  <c r="G603" i="332"/>
  <c r="F603" i="332"/>
  <c r="E603" i="332"/>
  <c r="D603" i="332"/>
  <c r="C603" i="332"/>
  <c r="N602" i="332"/>
  <c r="M602" i="332"/>
  <c r="I602" i="332"/>
  <c r="H602" i="332"/>
  <c r="G602" i="332"/>
  <c r="F602" i="332"/>
  <c r="E602" i="332"/>
  <c r="D602" i="332"/>
  <c r="C602" i="332"/>
  <c r="N601" i="332"/>
  <c r="M601" i="332"/>
  <c r="I601" i="332"/>
  <c r="H601" i="332"/>
  <c r="G601" i="332"/>
  <c r="F601" i="332"/>
  <c r="E601" i="332"/>
  <c r="D601" i="332"/>
  <c r="C601" i="332"/>
  <c r="N600" i="332"/>
  <c r="M600" i="332"/>
  <c r="I600" i="332"/>
  <c r="H600" i="332"/>
  <c r="G600" i="332"/>
  <c r="F600" i="332"/>
  <c r="E600" i="332"/>
  <c r="D600" i="332"/>
  <c r="C600" i="332"/>
  <c r="N599" i="332"/>
  <c r="M599" i="332"/>
  <c r="I599" i="332"/>
  <c r="H599" i="332"/>
  <c r="G599" i="332"/>
  <c r="F599" i="332"/>
  <c r="E599" i="332"/>
  <c r="D599" i="332"/>
  <c r="C599" i="332"/>
  <c r="N598" i="332"/>
  <c r="M598" i="332"/>
  <c r="I598" i="332"/>
  <c r="H598" i="332"/>
  <c r="G598" i="332"/>
  <c r="F598" i="332"/>
  <c r="E598" i="332"/>
  <c r="D598" i="332"/>
  <c r="C598" i="332"/>
  <c r="N597" i="332"/>
  <c r="M597" i="332"/>
  <c r="I597" i="332"/>
  <c r="H597" i="332"/>
  <c r="G597" i="332"/>
  <c r="F597" i="332"/>
  <c r="E597" i="332"/>
  <c r="D597" i="332"/>
  <c r="C597" i="332"/>
  <c r="N596" i="332"/>
  <c r="M596" i="332"/>
  <c r="I596" i="332"/>
  <c r="H596" i="332"/>
  <c r="G596" i="332"/>
  <c r="F596" i="332"/>
  <c r="E596" i="332"/>
  <c r="D596" i="332"/>
  <c r="C596" i="332"/>
  <c r="N595" i="332"/>
  <c r="M595" i="332"/>
  <c r="I595" i="332"/>
  <c r="H595" i="332"/>
  <c r="G595" i="332"/>
  <c r="F595" i="332"/>
  <c r="E595" i="332"/>
  <c r="D595" i="332"/>
  <c r="C595" i="332"/>
  <c r="N593" i="332"/>
  <c r="M593" i="332"/>
  <c r="I593" i="332"/>
  <c r="H593" i="332"/>
  <c r="G593" i="332"/>
  <c r="F593" i="332"/>
  <c r="E593" i="332"/>
  <c r="D593" i="332"/>
  <c r="C593" i="332"/>
  <c r="N592" i="332"/>
  <c r="M592" i="332"/>
  <c r="I592" i="332"/>
  <c r="H592" i="332"/>
  <c r="G592" i="332"/>
  <c r="F592" i="332"/>
  <c r="E592" i="332"/>
  <c r="D592" i="332"/>
  <c r="C592" i="332"/>
  <c r="N591" i="332"/>
  <c r="M591" i="332"/>
  <c r="I591" i="332"/>
  <c r="H591" i="332"/>
  <c r="G591" i="332"/>
  <c r="F591" i="332"/>
  <c r="E591" i="332"/>
  <c r="D591" i="332"/>
  <c r="C591" i="332"/>
  <c r="N590" i="332"/>
  <c r="M590" i="332"/>
  <c r="I590" i="332"/>
  <c r="H590" i="332"/>
  <c r="G590" i="332"/>
  <c r="F590" i="332"/>
  <c r="E590" i="332"/>
  <c r="D590" i="332"/>
  <c r="C590" i="332"/>
  <c r="N589" i="332"/>
  <c r="M589" i="332"/>
  <c r="I589" i="332"/>
  <c r="H589" i="332"/>
  <c r="G589" i="332"/>
  <c r="F589" i="332"/>
  <c r="E589" i="332"/>
  <c r="D589" i="332"/>
  <c r="C589" i="332"/>
  <c r="N588" i="332"/>
  <c r="M588" i="332"/>
  <c r="I588" i="332"/>
  <c r="H588" i="332"/>
  <c r="G588" i="332"/>
  <c r="F588" i="332"/>
  <c r="E588" i="332"/>
  <c r="D588" i="332"/>
  <c r="C588" i="332"/>
  <c r="N587" i="332"/>
  <c r="M587" i="332"/>
  <c r="I587" i="332"/>
  <c r="H587" i="332"/>
  <c r="G587" i="332"/>
  <c r="F587" i="332"/>
  <c r="E587" i="332"/>
  <c r="D587" i="332"/>
  <c r="C587" i="332"/>
  <c r="N586" i="332"/>
  <c r="M586" i="332"/>
  <c r="I586" i="332"/>
  <c r="H586" i="332"/>
  <c r="G586" i="332"/>
  <c r="F586" i="332"/>
  <c r="E586" i="332"/>
  <c r="D586" i="332"/>
  <c r="C586" i="332"/>
  <c r="N585" i="332"/>
  <c r="M585" i="332"/>
  <c r="J585" i="332"/>
  <c r="I585" i="332"/>
  <c r="H585" i="332"/>
  <c r="G585" i="332"/>
  <c r="F585" i="332"/>
  <c r="E585" i="332"/>
  <c r="D585" i="332"/>
  <c r="C585" i="332"/>
  <c r="N584" i="332"/>
  <c r="M584" i="332"/>
  <c r="I584" i="332"/>
  <c r="H584" i="332"/>
  <c r="G584" i="332"/>
  <c r="F584" i="332"/>
  <c r="E584" i="332"/>
  <c r="D584" i="332"/>
  <c r="C584" i="332"/>
  <c r="N583" i="332"/>
  <c r="M583" i="332"/>
  <c r="I583" i="332"/>
  <c r="H583" i="332"/>
  <c r="G583" i="332"/>
  <c r="F583" i="332"/>
  <c r="E583" i="332"/>
  <c r="D583" i="332"/>
  <c r="C583" i="332"/>
  <c r="N582" i="332"/>
  <c r="M582" i="332"/>
  <c r="I582" i="332"/>
  <c r="H582" i="332"/>
  <c r="G582" i="332"/>
  <c r="F582" i="332"/>
  <c r="E582" i="332"/>
  <c r="D582" i="332"/>
  <c r="C582" i="332"/>
  <c r="N581" i="332"/>
  <c r="M581" i="332"/>
  <c r="I581" i="332"/>
  <c r="H581" i="332"/>
  <c r="G581" i="332"/>
  <c r="F581" i="332"/>
  <c r="E581" i="332"/>
  <c r="D581" i="332"/>
  <c r="C581" i="332"/>
  <c r="N580" i="332"/>
  <c r="M580" i="332"/>
  <c r="I580" i="332"/>
  <c r="H580" i="332"/>
  <c r="G580" i="332"/>
  <c r="F580" i="332"/>
  <c r="E580" i="332"/>
  <c r="D580" i="332"/>
  <c r="C580" i="332"/>
  <c r="N579" i="332"/>
  <c r="M579" i="332"/>
  <c r="I579" i="332"/>
  <c r="H579" i="332"/>
  <c r="G579" i="332"/>
  <c r="F579" i="332"/>
  <c r="E579" i="332"/>
  <c r="D579" i="332"/>
  <c r="C579" i="332"/>
  <c r="N578" i="332"/>
  <c r="M578" i="332"/>
  <c r="I578" i="332"/>
  <c r="H578" i="332"/>
  <c r="G578" i="332"/>
  <c r="F578" i="332"/>
  <c r="E578" i="332"/>
  <c r="D578" i="332"/>
  <c r="C578" i="332"/>
  <c r="N577" i="332"/>
  <c r="M577" i="332"/>
  <c r="I577" i="332"/>
  <c r="H577" i="332"/>
  <c r="G577" i="332"/>
  <c r="F577" i="332"/>
  <c r="E577" i="332"/>
  <c r="D577" i="332"/>
  <c r="C577" i="332"/>
  <c r="N576" i="332"/>
  <c r="M576" i="332"/>
  <c r="I576" i="332"/>
  <c r="H576" i="332"/>
  <c r="G576" i="332"/>
  <c r="G631" i="332" s="1"/>
  <c r="F576" i="332"/>
  <c r="E576" i="332"/>
  <c r="D576" i="332"/>
  <c r="C576" i="332"/>
  <c r="N575" i="332"/>
  <c r="M575" i="332"/>
  <c r="I575" i="332"/>
  <c r="H575" i="332"/>
  <c r="G575" i="332"/>
  <c r="F575" i="332"/>
  <c r="E575" i="332"/>
  <c r="D575" i="332"/>
  <c r="C575" i="332"/>
  <c r="N574" i="332"/>
  <c r="M574" i="332"/>
  <c r="I574" i="332"/>
  <c r="H574" i="332"/>
  <c r="G574" i="332"/>
  <c r="F574" i="332"/>
  <c r="E574" i="332"/>
  <c r="D574" i="332"/>
  <c r="C574" i="332"/>
  <c r="N573" i="332"/>
  <c r="M573" i="332"/>
  <c r="J573" i="332"/>
  <c r="I573" i="332"/>
  <c r="H573" i="332"/>
  <c r="G573" i="332"/>
  <c r="F573" i="332"/>
  <c r="E573" i="332"/>
  <c r="D573" i="332"/>
  <c r="C573" i="332"/>
  <c r="N572" i="332"/>
  <c r="M572" i="332"/>
  <c r="M631" i="332" s="1"/>
  <c r="I572" i="332"/>
  <c r="H572" i="332"/>
  <c r="H631" i="332" s="1"/>
  <c r="G572" i="332"/>
  <c r="F572" i="332"/>
  <c r="F631" i="332" s="1"/>
  <c r="E572" i="332"/>
  <c r="D572" i="332"/>
  <c r="D631" i="332" s="1"/>
  <c r="C572" i="332"/>
  <c r="I570" i="332"/>
  <c r="N568" i="332"/>
  <c r="N619" i="332" s="1"/>
  <c r="M568" i="332"/>
  <c r="M619" i="332" s="1"/>
  <c r="M627" i="332" s="1"/>
  <c r="K568" i="332"/>
  <c r="K619" i="332" s="1"/>
  <c r="I568" i="332"/>
  <c r="I619" i="332" s="1"/>
  <c r="H568" i="332"/>
  <c r="H619" i="332" s="1"/>
  <c r="H627" i="332" s="1"/>
  <c r="G568" i="332"/>
  <c r="G619" i="332" s="1"/>
  <c r="G627" i="332" s="1"/>
  <c r="F568" i="332"/>
  <c r="F619" i="332" s="1"/>
  <c r="F627" i="332" s="1"/>
  <c r="E568" i="332"/>
  <c r="E619" i="332" s="1"/>
  <c r="E627" i="332" s="1"/>
  <c r="D568" i="332"/>
  <c r="D619" i="332" s="1"/>
  <c r="C568" i="332"/>
  <c r="C619" i="332" s="1"/>
  <c r="C627" i="332" s="1"/>
  <c r="N567" i="332"/>
  <c r="M567" i="332"/>
  <c r="K567" i="332"/>
  <c r="J567" i="332"/>
  <c r="I567" i="332"/>
  <c r="H567" i="332"/>
  <c r="G567" i="332"/>
  <c r="F567" i="332"/>
  <c r="E567" i="332"/>
  <c r="D567" i="332"/>
  <c r="C567" i="332"/>
  <c r="N566" i="332"/>
  <c r="M566" i="332"/>
  <c r="K566" i="332"/>
  <c r="I566" i="332"/>
  <c r="H566" i="332"/>
  <c r="G566" i="332"/>
  <c r="F566" i="332"/>
  <c r="E566" i="332"/>
  <c r="D566" i="332"/>
  <c r="C566" i="332"/>
  <c r="N565" i="332"/>
  <c r="M565" i="332"/>
  <c r="I565" i="332"/>
  <c r="H565" i="332"/>
  <c r="F565" i="332"/>
  <c r="E565" i="332"/>
  <c r="L564" i="332"/>
  <c r="K564" i="332"/>
  <c r="K614" i="332" s="1"/>
  <c r="K633" i="332" s="1"/>
  <c r="J564" i="332"/>
  <c r="J614" i="332" s="1"/>
  <c r="J633" i="332" s="1"/>
  <c r="L562" i="332"/>
  <c r="K562" i="332"/>
  <c r="K610" i="332" s="1"/>
  <c r="J562" i="332"/>
  <c r="L561" i="332"/>
  <c r="K561" i="332"/>
  <c r="K607" i="332" s="1"/>
  <c r="J561" i="332"/>
  <c r="J607" i="332" s="1"/>
  <c r="L559" i="332"/>
  <c r="O559" i="332" s="1"/>
  <c r="K559" i="332"/>
  <c r="J559" i="332"/>
  <c r="L558" i="332"/>
  <c r="K558" i="332"/>
  <c r="K585" i="332" s="1"/>
  <c r="J558" i="332"/>
  <c r="L557" i="332"/>
  <c r="O557" i="332" s="1"/>
  <c r="K557" i="332"/>
  <c r="J557" i="332"/>
  <c r="L556" i="332"/>
  <c r="K556" i="332"/>
  <c r="K574" i="332" s="1"/>
  <c r="J556" i="332"/>
  <c r="J574" i="332" s="1"/>
  <c r="L555" i="332"/>
  <c r="K555" i="332"/>
  <c r="K573" i="332" s="1"/>
  <c r="J555" i="332"/>
  <c r="L553" i="332"/>
  <c r="K553" i="332"/>
  <c r="J553" i="332"/>
  <c r="J568" i="332" s="1"/>
  <c r="J619" i="332" s="1"/>
  <c r="J627" i="332" s="1"/>
  <c r="L552" i="332"/>
  <c r="K552" i="332"/>
  <c r="J552" i="332"/>
  <c r="L551" i="332"/>
  <c r="K551" i="332"/>
  <c r="J551" i="332"/>
  <c r="J566" i="332" s="1"/>
  <c r="M550" i="332"/>
  <c r="G550" i="332"/>
  <c r="F550" i="332"/>
  <c r="E550" i="332"/>
  <c r="D550" i="332"/>
  <c r="D565" i="332" s="1"/>
  <c r="C550" i="332"/>
  <c r="N546" i="332"/>
  <c r="M546" i="332"/>
  <c r="J546" i="332"/>
  <c r="I546" i="332"/>
  <c r="H546" i="332"/>
  <c r="G546" i="332"/>
  <c r="F546" i="332"/>
  <c r="E546" i="332"/>
  <c r="D546" i="332"/>
  <c r="C546" i="332"/>
  <c r="N545" i="332"/>
  <c r="M545" i="332"/>
  <c r="K545" i="332"/>
  <c r="I545" i="332"/>
  <c r="H545" i="332"/>
  <c r="G545" i="332"/>
  <c r="F545" i="332"/>
  <c r="E545" i="332"/>
  <c r="D545" i="332"/>
  <c r="C545" i="332"/>
  <c r="N544" i="332"/>
  <c r="M544" i="332"/>
  <c r="I544" i="332"/>
  <c r="H544" i="332"/>
  <c r="G544" i="332"/>
  <c r="E544" i="332"/>
  <c r="D544" i="332"/>
  <c r="C544" i="332"/>
  <c r="L543" i="332"/>
  <c r="O543" i="332" s="1"/>
  <c r="K543" i="332"/>
  <c r="J543" i="332"/>
  <c r="L542" i="332"/>
  <c r="O542" i="332" s="1"/>
  <c r="K542" i="332"/>
  <c r="J542" i="332"/>
  <c r="L541" i="332"/>
  <c r="O541" i="332" s="1"/>
  <c r="K541" i="332"/>
  <c r="J541" i="332"/>
  <c r="L540" i="332"/>
  <c r="O540" i="332" s="1"/>
  <c r="K540" i="332"/>
  <c r="J540" i="332"/>
  <c r="L538" i="332"/>
  <c r="O538" i="332" s="1"/>
  <c r="K538" i="332"/>
  <c r="J538" i="332"/>
  <c r="L537" i="332"/>
  <c r="O537" i="332" s="1"/>
  <c r="K537" i="332"/>
  <c r="J537" i="332"/>
  <c r="L536" i="332"/>
  <c r="O536" i="332" s="1"/>
  <c r="K536" i="332"/>
  <c r="J536" i="332"/>
  <c r="L535" i="332"/>
  <c r="O535" i="332" s="1"/>
  <c r="K535" i="332"/>
  <c r="J535" i="332"/>
  <c r="L533" i="332"/>
  <c r="K533" i="332"/>
  <c r="K546" i="332" s="1"/>
  <c r="J533" i="332"/>
  <c r="L532" i="332"/>
  <c r="K532" i="332"/>
  <c r="J532" i="332"/>
  <c r="J545" i="332" s="1"/>
  <c r="M531" i="332"/>
  <c r="K531" i="332"/>
  <c r="K544" i="332" s="1"/>
  <c r="F531" i="332"/>
  <c r="N529" i="332"/>
  <c r="M529" i="332"/>
  <c r="I529" i="332"/>
  <c r="H529" i="332"/>
  <c r="G529" i="332"/>
  <c r="F529" i="332"/>
  <c r="E529" i="332"/>
  <c r="D529" i="332"/>
  <c r="C529" i="332"/>
  <c r="M528" i="332"/>
  <c r="K528" i="332"/>
  <c r="I528" i="332"/>
  <c r="H528" i="332"/>
  <c r="G528" i="332"/>
  <c r="E528" i="332"/>
  <c r="D528" i="332"/>
  <c r="C528" i="332"/>
  <c r="L527" i="332"/>
  <c r="K527" i="332"/>
  <c r="K612" i="332" s="1"/>
  <c r="J527" i="332"/>
  <c r="J612" i="332" s="1"/>
  <c r="L526" i="332"/>
  <c r="O526" i="332" s="1"/>
  <c r="K526" i="332"/>
  <c r="J526" i="332"/>
  <c r="K525" i="332"/>
  <c r="K604" i="332" s="1"/>
  <c r="J525" i="332"/>
  <c r="J604" i="332" s="1"/>
  <c r="K524" i="332"/>
  <c r="J524" i="332"/>
  <c r="L524" i="332" s="1"/>
  <c r="O524" i="332" s="1"/>
  <c r="L523" i="332"/>
  <c r="O523" i="332" s="1"/>
  <c r="K523" i="332"/>
  <c r="J523" i="332"/>
  <c r="L522" i="332"/>
  <c r="O522" i="332" s="1"/>
  <c r="K522" i="332"/>
  <c r="J522" i="332"/>
  <c r="K521" i="332"/>
  <c r="J521" i="332"/>
  <c r="L521" i="332" s="1"/>
  <c r="O521" i="332" s="1"/>
  <c r="K519" i="332"/>
  <c r="K529" i="332" s="1"/>
  <c r="J519" i="332"/>
  <c r="L519" i="332" s="1"/>
  <c r="N518" i="332"/>
  <c r="N528" i="332" s="1"/>
  <c r="M518" i="332"/>
  <c r="K518" i="332"/>
  <c r="J518" i="332"/>
  <c r="L518" i="332" s="1"/>
  <c r="F518" i="332"/>
  <c r="F528" i="332" s="1"/>
  <c r="N516" i="332"/>
  <c r="M516" i="332"/>
  <c r="I516" i="332"/>
  <c r="H516" i="332"/>
  <c r="G516" i="332"/>
  <c r="F516" i="332"/>
  <c r="E516" i="332"/>
  <c r="D516" i="332"/>
  <c r="C516" i="332"/>
  <c r="N515" i="332"/>
  <c r="I515" i="332"/>
  <c r="E515" i="332"/>
  <c r="D515" i="332"/>
  <c r="C515" i="332"/>
  <c r="K514" i="332"/>
  <c r="J514" i="332"/>
  <c r="K513" i="332"/>
  <c r="K605" i="332" s="1"/>
  <c r="J513" i="332"/>
  <c r="J605" i="332" s="1"/>
  <c r="K512" i="332"/>
  <c r="K606" i="332" s="1"/>
  <c r="J512" i="332"/>
  <c r="K511" i="332"/>
  <c r="J511" i="332"/>
  <c r="K510" i="332"/>
  <c r="J510" i="332"/>
  <c r="K509" i="332"/>
  <c r="J509" i="332"/>
  <c r="L509" i="332" s="1"/>
  <c r="O509" i="332" s="1"/>
  <c r="K508" i="332"/>
  <c r="J508" i="332"/>
  <c r="K507" i="332"/>
  <c r="K596" i="332" s="1"/>
  <c r="J507" i="332"/>
  <c r="J596" i="332" s="1"/>
  <c r="K506" i="332"/>
  <c r="K516" i="332" s="1"/>
  <c r="J506" i="332"/>
  <c r="K504" i="332"/>
  <c r="J504" i="332"/>
  <c r="L504" i="332" s="1"/>
  <c r="N503" i="332"/>
  <c r="M503" i="332"/>
  <c r="M515" i="332" s="1"/>
  <c r="K503" i="332"/>
  <c r="H503" i="332"/>
  <c r="H515" i="332" s="1"/>
  <c r="G503" i="332"/>
  <c r="G515" i="332" s="1"/>
  <c r="F503" i="332"/>
  <c r="N501" i="332"/>
  <c r="M501" i="332"/>
  <c r="I501" i="332"/>
  <c r="H501" i="332"/>
  <c r="G501" i="332"/>
  <c r="F501" i="332"/>
  <c r="E501" i="332"/>
  <c r="D501" i="332"/>
  <c r="C501" i="332"/>
  <c r="M500" i="332"/>
  <c r="I500" i="332"/>
  <c r="E500" i="332"/>
  <c r="D500" i="332"/>
  <c r="C500" i="332"/>
  <c r="K499" i="332"/>
  <c r="J499" i="332"/>
  <c r="J611" i="332" s="1"/>
  <c r="K498" i="332"/>
  <c r="J498" i="332"/>
  <c r="L498" i="332" s="1"/>
  <c r="O498" i="332" s="1"/>
  <c r="L497" i="332"/>
  <c r="K497" i="332"/>
  <c r="K603" i="332" s="1"/>
  <c r="J497" i="332"/>
  <c r="J603" i="332" s="1"/>
  <c r="L496" i="332"/>
  <c r="O496" i="332" s="1"/>
  <c r="K496" i="332"/>
  <c r="J496" i="332"/>
  <c r="K495" i="332"/>
  <c r="J495" i="332"/>
  <c r="L495" i="332" s="1"/>
  <c r="O495" i="332" s="1"/>
  <c r="K494" i="332"/>
  <c r="J494" i="332"/>
  <c r="L494" i="332" s="1"/>
  <c r="O494" i="332" s="1"/>
  <c r="L493" i="332"/>
  <c r="O493" i="332" s="1"/>
  <c r="K493" i="332"/>
  <c r="J493" i="332"/>
  <c r="L491" i="332"/>
  <c r="K491" i="332"/>
  <c r="K501" i="332" s="1"/>
  <c r="J491" i="332"/>
  <c r="J501" i="332" s="1"/>
  <c r="N490" i="332"/>
  <c r="N500" i="332" s="1"/>
  <c r="M490" i="332"/>
  <c r="J490" i="332"/>
  <c r="H490" i="332"/>
  <c r="H500" i="332" s="1"/>
  <c r="G490" i="332"/>
  <c r="F490" i="332"/>
  <c r="F500" i="332" s="1"/>
  <c r="N488" i="332"/>
  <c r="M488" i="332"/>
  <c r="I488" i="332"/>
  <c r="H488" i="332"/>
  <c r="G488" i="332"/>
  <c r="F488" i="332"/>
  <c r="E488" i="332"/>
  <c r="D488" i="332"/>
  <c r="C488" i="332"/>
  <c r="N487" i="332"/>
  <c r="I487" i="332"/>
  <c r="H487" i="332"/>
  <c r="G487" i="332"/>
  <c r="F487" i="332"/>
  <c r="E487" i="332"/>
  <c r="D487" i="332"/>
  <c r="C487" i="332"/>
  <c r="K486" i="332"/>
  <c r="J486" i="332"/>
  <c r="K485" i="332"/>
  <c r="J485" i="332"/>
  <c r="L485" i="332" s="1"/>
  <c r="O485" i="332" s="1"/>
  <c r="K484" i="332"/>
  <c r="J484" i="332"/>
  <c r="K483" i="332"/>
  <c r="J483" i="332"/>
  <c r="K482" i="332"/>
  <c r="K488" i="332" s="1"/>
  <c r="J482" i="332"/>
  <c r="K481" i="332"/>
  <c r="J481" i="332"/>
  <c r="L481" i="332" s="1"/>
  <c r="O481" i="332" s="1"/>
  <c r="K479" i="332"/>
  <c r="J479" i="332"/>
  <c r="J488" i="332" s="1"/>
  <c r="M478" i="332"/>
  <c r="M487" i="332" s="1"/>
  <c r="K478" i="332"/>
  <c r="J478" i="332"/>
  <c r="F478" i="332"/>
  <c r="N476" i="332"/>
  <c r="M476" i="332"/>
  <c r="I476" i="332"/>
  <c r="H476" i="332"/>
  <c r="G476" i="332"/>
  <c r="F476" i="332"/>
  <c r="E476" i="332"/>
  <c r="D476" i="332"/>
  <c r="C476" i="332"/>
  <c r="N475" i="332"/>
  <c r="M475" i="332"/>
  <c r="J475" i="332"/>
  <c r="I475" i="332"/>
  <c r="H475" i="332"/>
  <c r="G475" i="332"/>
  <c r="F475" i="332"/>
  <c r="E475" i="332"/>
  <c r="D475" i="332"/>
  <c r="C475" i="332"/>
  <c r="N474" i="332"/>
  <c r="I474" i="332"/>
  <c r="H474" i="332"/>
  <c r="G474" i="332"/>
  <c r="E474" i="332"/>
  <c r="D474" i="332"/>
  <c r="C474" i="332"/>
  <c r="K473" i="332"/>
  <c r="J473" i="332"/>
  <c r="O472" i="332"/>
  <c r="K472" i="332"/>
  <c r="L472" i="332" s="1"/>
  <c r="J472" i="332"/>
  <c r="K470" i="332"/>
  <c r="K588" i="332" s="1"/>
  <c r="J470" i="332"/>
  <c r="J588" i="332" s="1"/>
  <c r="K469" i="332"/>
  <c r="J469" i="332"/>
  <c r="K468" i="332"/>
  <c r="J468" i="332"/>
  <c r="K467" i="332"/>
  <c r="J467" i="332"/>
  <c r="L467" i="332" s="1"/>
  <c r="O467" i="332" s="1"/>
  <c r="K466" i="332"/>
  <c r="J466" i="332"/>
  <c r="L466" i="332" s="1"/>
  <c r="O466" i="332" s="1"/>
  <c r="K465" i="332"/>
  <c r="J465" i="332"/>
  <c r="L465" i="332" s="1"/>
  <c r="O465" i="332" s="1"/>
  <c r="K463" i="332"/>
  <c r="J463" i="332"/>
  <c r="K462" i="332"/>
  <c r="J462" i="332"/>
  <c r="L462" i="332" s="1"/>
  <c r="M461" i="332"/>
  <c r="M474" i="332" s="1"/>
  <c r="K461" i="332"/>
  <c r="J461" i="332"/>
  <c r="J474" i="332" s="1"/>
  <c r="F461" i="332"/>
  <c r="F474" i="332" s="1"/>
  <c r="N459" i="332"/>
  <c r="M459" i="332"/>
  <c r="J459" i="332"/>
  <c r="I459" i="332"/>
  <c r="H459" i="332"/>
  <c r="G459" i="332"/>
  <c r="F459" i="332"/>
  <c r="E459" i="332"/>
  <c r="D459" i="332"/>
  <c r="C459" i="332"/>
  <c r="N458" i="332"/>
  <c r="M458" i="332"/>
  <c r="K458" i="332"/>
  <c r="I458" i="332"/>
  <c r="H458" i="332"/>
  <c r="G458" i="332"/>
  <c r="F458" i="332"/>
  <c r="E458" i="332"/>
  <c r="D458" i="332"/>
  <c r="C458" i="332"/>
  <c r="M457" i="332"/>
  <c r="I457" i="332"/>
  <c r="H457" i="332"/>
  <c r="G457" i="332"/>
  <c r="E457" i="332"/>
  <c r="D457" i="332"/>
  <c r="C457" i="332"/>
  <c r="L456" i="332"/>
  <c r="K456" i="332"/>
  <c r="J456" i="332"/>
  <c r="L455" i="332"/>
  <c r="O455" i="332" s="1"/>
  <c r="K455" i="332"/>
  <c r="J455" i="332"/>
  <c r="L454" i="332"/>
  <c r="O454" i="332" s="1"/>
  <c r="K454" i="332"/>
  <c r="J454" i="332"/>
  <c r="L453" i="332"/>
  <c r="O453" i="332" s="1"/>
  <c r="K453" i="332"/>
  <c r="J453" i="332"/>
  <c r="L451" i="332"/>
  <c r="K451" i="332"/>
  <c r="K592" i="332" s="1"/>
  <c r="J451" i="332"/>
  <c r="J592" i="332" s="1"/>
  <c r="L450" i="332"/>
  <c r="O450" i="332" s="1"/>
  <c r="K450" i="332"/>
  <c r="J450" i="332"/>
  <c r="L449" i="332"/>
  <c r="K449" i="332"/>
  <c r="K583" i="332" s="1"/>
  <c r="J449" i="332"/>
  <c r="J583" i="332" s="1"/>
  <c r="L448" i="332"/>
  <c r="O448" i="332" s="1"/>
  <c r="K448" i="332"/>
  <c r="J448" i="332"/>
  <c r="L447" i="332"/>
  <c r="O447" i="332" s="1"/>
  <c r="K447" i="332"/>
  <c r="J447" i="332"/>
  <c r="L446" i="332"/>
  <c r="K446" i="332"/>
  <c r="K578" i="332" s="1"/>
  <c r="J446" i="332"/>
  <c r="L445" i="332"/>
  <c r="O445" i="332" s="1"/>
  <c r="K445" i="332"/>
  <c r="J445" i="332"/>
  <c r="L444" i="332"/>
  <c r="O444" i="332" s="1"/>
  <c r="K444" i="332"/>
  <c r="K457" i="332" s="1"/>
  <c r="J444" i="332"/>
  <c r="L442" i="332"/>
  <c r="K442" i="332"/>
  <c r="K459" i="332" s="1"/>
  <c r="J442" i="332"/>
  <c r="L441" i="332"/>
  <c r="K441" i="332"/>
  <c r="J441" i="332"/>
  <c r="J458" i="332" s="1"/>
  <c r="N440" i="332"/>
  <c r="M440" i="332"/>
  <c r="K440" i="332"/>
  <c r="J440" i="332"/>
  <c r="F440" i="332"/>
  <c r="F457" i="332" s="1"/>
  <c r="N438" i="332"/>
  <c r="M438" i="332"/>
  <c r="I438" i="332"/>
  <c r="H438" i="332"/>
  <c r="G438" i="332"/>
  <c r="F438" i="332"/>
  <c r="E438" i="332"/>
  <c r="D438" i="332"/>
  <c r="C438" i="332"/>
  <c r="N437" i="332"/>
  <c r="I437" i="332"/>
  <c r="I547" i="332" s="1"/>
  <c r="H437" i="332"/>
  <c r="G437" i="332"/>
  <c r="F437" i="332"/>
  <c r="E437" i="332"/>
  <c r="E547" i="332" s="1"/>
  <c r="D437" i="332"/>
  <c r="D547" i="332" s="1"/>
  <c r="C437" i="332"/>
  <c r="O436" i="332"/>
  <c r="L436" i="332"/>
  <c r="K436" i="332"/>
  <c r="J436" i="332"/>
  <c r="J609" i="332" s="1"/>
  <c r="O435" i="332"/>
  <c r="O602" i="332" s="1"/>
  <c r="L435" i="332"/>
  <c r="K435" i="332"/>
  <c r="K602" i="332" s="1"/>
  <c r="J435" i="332"/>
  <c r="J602" i="332" s="1"/>
  <c r="O434" i="332"/>
  <c r="L434" i="332"/>
  <c r="K434" i="332"/>
  <c r="J434" i="332"/>
  <c r="O433" i="332"/>
  <c r="L433" i="332"/>
  <c r="K433" i="332"/>
  <c r="J433" i="332"/>
  <c r="O432" i="332"/>
  <c r="O599" i="332" s="1"/>
  <c r="L432" i="332"/>
  <c r="L599" i="332" s="1"/>
  <c r="K432" i="332"/>
  <c r="K599" i="332" s="1"/>
  <c r="J432" i="332"/>
  <c r="J599" i="332" s="1"/>
  <c r="O431" i="332"/>
  <c r="L431" i="332"/>
  <c r="K431" i="332"/>
  <c r="J431" i="332"/>
  <c r="O430" i="332"/>
  <c r="L430" i="332"/>
  <c r="K430" i="332"/>
  <c r="J430" i="332"/>
  <c r="J595" i="332" s="1"/>
  <c r="O428" i="332"/>
  <c r="O438" i="332" s="1"/>
  <c r="L428" i="332"/>
  <c r="L438" i="332" s="1"/>
  <c r="K428" i="332"/>
  <c r="K438" i="332" s="1"/>
  <c r="J428" i="332"/>
  <c r="J438" i="332" s="1"/>
  <c r="M427" i="332"/>
  <c r="M437" i="332" s="1"/>
  <c r="M547" i="332" s="1"/>
  <c r="K427" i="332"/>
  <c r="K437" i="332" s="1"/>
  <c r="J427" i="332"/>
  <c r="F427" i="332"/>
  <c r="N425" i="332"/>
  <c r="M425" i="332"/>
  <c r="I425" i="332"/>
  <c r="H425" i="332"/>
  <c r="G425" i="332"/>
  <c r="F425" i="332"/>
  <c r="E425" i="332"/>
  <c r="D425" i="332"/>
  <c r="C425" i="332"/>
  <c r="N424" i="332"/>
  <c r="M424" i="332"/>
  <c r="J424" i="332"/>
  <c r="I424" i="332"/>
  <c r="H424" i="332"/>
  <c r="G424" i="332"/>
  <c r="F424" i="332"/>
  <c r="E424" i="332"/>
  <c r="D424" i="332"/>
  <c r="C424" i="332"/>
  <c r="N423" i="332"/>
  <c r="I423" i="332"/>
  <c r="H423" i="332"/>
  <c r="G423" i="332"/>
  <c r="F423" i="332"/>
  <c r="E423" i="332"/>
  <c r="D423" i="332"/>
  <c r="C423" i="332"/>
  <c r="K422" i="332"/>
  <c r="J422" i="332"/>
  <c r="L422" i="332" s="1"/>
  <c r="O422" i="332" s="1"/>
  <c r="K420" i="332"/>
  <c r="J420" i="332"/>
  <c r="K419" i="332"/>
  <c r="J419" i="332"/>
  <c r="L419" i="332" s="1"/>
  <c r="O419" i="332" s="1"/>
  <c r="K418" i="332"/>
  <c r="J418" i="332"/>
  <c r="K417" i="332"/>
  <c r="J417" i="332"/>
  <c r="L417" i="332" s="1"/>
  <c r="O417" i="332" s="1"/>
  <c r="K416" i="332"/>
  <c r="J416" i="332"/>
  <c r="K414" i="332"/>
  <c r="K425" i="332" s="1"/>
  <c r="J414" i="332"/>
  <c r="J425" i="332" s="1"/>
  <c r="K413" i="332"/>
  <c r="K424" i="332" s="1"/>
  <c r="J413" i="332"/>
  <c r="M412" i="332"/>
  <c r="M423" i="332" s="1"/>
  <c r="L412" i="332"/>
  <c r="K412" i="332"/>
  <c r="K423" i="332" s="1"/>
  <c r="J412" i="332"/>
  <c r="J423" i="332" s="1"/>
  <c r="F412" i="332"/>
  <c r="N409" i="332"/>
  <c r="M409" i="332"/>
  <c r="K409" i="332"/>
  <c r="I409" i="332"/>
  <c r="H409" i="332"/>
  <c r="G409" i="332"/>
  <c r="F409" i="332"/>
  <c r="E409" i="332"/>
  <c r="D409" i="332"/>
  <c r="C409" i="332"/>
  <c r="N408" i="332"/>
  <c r="M408" i="332"/>
  <c r="K408" i="332"/>
  <c r="I408" i="332"/>
  <c r="H408" i="332"/>
  <c r="G408" i="332"/>
  <c r="F408" i="332"/>
  <c r="E408" i="332"/>
  <c r="D408" i="332"/>
  <c r="C408" i="332"/>
  <c r="N407" i="332"/>
  <c r="I407" i="332"/>
  <c r="H407" i="332"/>
  <c r="G407" i="332"/>
  <c r="F407" i="332"/>
  <c r="E407" i="332"/>
  <c r="D407" i="332"/>
  <c r="C407" i="332"/>
  <c r="K406" i="332"/>
  <c r="J406" i="332"/>
  <c r="L406" i="332" s="1"/>
  <c r="O406" i="332" s="1"/>
  <c r="K404" i="332"/>
  <c r="J404" i="332"/>
  <c r="L404" i="332" s="1"/>
  <c r="O404" i="332" s="1"/>
  <c r="K403" i="332"/>
  <c r="J403" i="332"/>
  <c r="L403" i="332" s="1"/>
  <c r="O403" i="332" s="1"/>
  <c r="K402" i="332"/>
  <c r="J402" i="332"/>
  <c r="L402" i="332" s="1"/>
  <c r="O402" i="332" s="1"/>
  <c r="K401" i="332"/>
  <c r="J401" i="332"/>
  <c r="L401" i="332" s="1"/>
  <c r="O401" i="332" s="1"/>
  <c r="K400" i="332"/>
  <c r="J400" i="332"/>
  <c r="L400" i="332" s="1"/>
  <c r="O400" i="332" s="1"/>
  <c r="K399" i="332"/>
  <c r="J399" i="332"/>
  <c r="L399" i="332" s="1"/>
  <c r="O399" i="332" s="1"/>
  <c r="K398" i="332"/>
  <c r="J398" i="332"/>
  <c r="L398" i="332" s="1"/>
  <c r="O398" i="332" s="1"/>
  <c r="K396" i="332"/>
  <c r="J396" i="332"/>
  <c r="K395" i="332"/>
  <c r="J395" i="332"/>
  <c r="M394" i="332"/>
  <c r="M407" i="332" s="1"/>
  <c r="K394" i="332"/>
  <c r="K407" i="332" s="1"/>
  <c r="J394" i="332"/>
  <c r="F394" i="332"/>
  <c r="N392" i="332"/>
  <c r="M392" i="332"/>
  <c r="J392" i="332"/>
  <c r="I392" i="332"/>
  <c r="H392" i="332"/>
  <c r="G392" i="332"/>
  <c r="F392" i="332"/>
  <c r="E392" i="332"/>
  <c r="D392" i="332"/>
  <c r="C392" i="332"/>
  <c r="N391" i="332"/>
  <c r="M391" i="332"/>
  <c r="K391" i="332"/>
  <c r="I391" i="332"/>
  <c r="H391" i="332"/>
  <c r="G391" i="332"/>
  <c r="F391" i="332"/>
  <c r="E391" i="332"/>
  <c r="D391" i="332"/>
  <c r="C391" i="332"/>
  <c r="N390" i="332"/>
  <c r="I390" i="332"/>
  <c r="H390" i="332"/>
  <c r="G390" i="332"/>
  <c r="E390" i="332"/>
  <c r="D390" i="332"/>
  <c r="C390" i="332"/>
  <c r="L389" i="332"/>
  <c r="O389" i="332" s="1"/>
  <c r="K389" i="332"/>
  <c r="J389" i="332"/>
  <c r="L387" i="332"/>
  <c r="K387" i="332"/>
  <c r="K593" i="332" s="1"/>
  <c r="J387" i="332"/>
  <c r="J593" i="332" s="1"/>
  <c r="L386" i="332"/>
  <c r="O386" i="332" s="1"/>
  <c r="K386" i="332"/>
  <c r="J386" i="332"/>
  <c r="L385" i="332"/>
  <c r="O385" i="332" s="1"/>
  <c r="K385" i="332"/>
  <c r="J385" i="332"/>
  <c r="L384" i="332"/>
  <c r="O384" i="332" s="1"/>
  <c r="K384" i="332"/>
  <c r="J384" i="332"/>
  <c r="L383" i="332"/>
  <c r="O383" i="332" s="1"/>
  <c r="K383" i="332"/>
  <c r="J383" i="332"/>
  <c r="L382" i="332"/>
  <c r="O382" i="332" s="1"/>
  <c r="K382" i="332"/>
  <c r="J382" i="332"/>
  <c r="L381" i="332"/>
  <c r="O381" i="332" s="1"/>
  <c r="K381" i="332"/>
  <c r="J381" i="332"/>
  <c r="L380" i="332"/>
  <c r="O380" i="332" s="1"/>
  <c r="K380" i="332"/>
  <c r="J380" i="332"/>
  <c r="L379" i="332"/>
  <c r="O379" i="332" s="1"/>
  <c r="K379" i="332"/>
  <c r="J379" i="332"/>
  <c r="L377" i="332"/>
  <c r="K377" i="332"/>
  <c r="K392" i="332" s="1"/>
  <c r="J377" i="332"/>
  <c r="L376" i="332"/>
  <c r="K376" i="332"/>
  <c r="J376" i="332"/>
  <c r="J391" i="332" s="1"/>
  <c r="M375" i="332"/>
  <c r="M390" i="332" s="1"/>
  <c r="K375" i="332"/>
  <c r="K390" i="332" s="1"/>
  <c r="F375" i="332"/>
  <c r="N373" i="332"/>
  <c r="M373" i="332"/>
  <c r="K373" i="332"/>
  <c r="I373" i="332"/>
  <c r="H373" i="332"/>
  <c r="G373" i="332"/>
  <c r="F373" i="332"/>
  <c r="E373" i="332"/>
  <c r="D373" i="332"/>
  <c r="C373" i="332"/>
  <c r="N372" i="332"/>
  <c r="M372" i="332"/>
  <c r="K372" i="332"/>
  <c r="I372" i="332"/>
  <c r="H372" i="332"/>
  <c r="G372" i="332"/>
  <c r="F372" i="332"/>
  <c r="E372" i="332"/>
  <c r="D372" i="332"/>
  <c r="C372" i="332"/>
  <c r="N371" i="332"/>
  <c r="N410" i="332" s="1"/>
  <c r="I371" i="332"/>
  <c r="I410" i="332" s="1"/>
  <c r="H371" i="332"/>
  <c r="H410" i="332" s="1"/>
  <c r="G371" i="332"/>
  <c r="G410" i="332" s="1"/>
  <c r="E371" i="332"/>
  <c r="E410" i="332" s="1"/>
  <c r="D371" i="332"/>
  <c r="D410" i="332" s="1"/>
  <c r="C371" i="332"/>
  <c r="C410" i="332" s="1"/>
  <c r="K370" i="332"/>
  <c r="J370" i="332"/>
  <c r="L370" i="332" s="1"/>
  <c r="O370" i="332" s="1"/>
  <c r="K368" i="332"/>
  <c r="J368" i="332"/>
  <c r="L368" i="332" s="1"/>
  <c r="O368" i="332" s="1"/>
  <c r="O367" i="332"/>
  <c r="K367" i="332"/>
  <c r="J367" i="332"/>
  <c r="L367" i="332" s="1"/>
  <c r="O366" i="332"/>
  <c r="O586" i="332" s="1"/>
  <c r="L366" i="332"/>
  <c r="L586" i="332" s="1"/>
  <c r="K366" i="332"/>
  <c r="K586" i="332" s="1"/>
  <c r="J366" i="332"/>
  <c r="J586" i="332" s="1"/>
  <c r="O365" i="332"/>
  <c r="L365" i="332"/>
  <c r="K365" i="332"/>
  <c r="J365" i="332"/>
  <c r="O364" i="332"/>
  <c r="L364" i="332"/>
  <c r="K364" i="332"/>
  <c r="J364" i="332"/>
  <c r="O363" i="332"/>
  <c r="L363" i="332"/>
  <c r="K363" i="332"/>
  <c r="J363" i="332"/>
  <c r="O362" i="332"/>
  <c r="O577" i="332" s="1"/>
  <c r="L362" i="332"/>
  <c r="L577" i="332" s="1"/>
  <c r="K362" i="332"/>
  <c r="K577" i="332" s="1"/>
  <c r="J362" i="332"/>
  <c r="J577" i="332" s="1"/>
  <c r="O361" i="332"/>
  <c r="L361" i="332"/>
  <c r="K361" i="332"/>
  <c r="J361" i="332"/>
  <c r="O360" i="332"/>
  <c r="L360" i="332"/>
  <c r="K360" i="332"/>
  <c r="J360" i="332"/>
  <c r="O359" i="332"/>
  <c r="L359" i="332"/>
  <c r="K359" i="332"/>
  <c r="J359" i="332"/>
  <c r="O357" i="332"/>
  <c r="O373" i="332" s="1"/>
  <c r="L357" i="332"/>
  <c r="L373" i="332" s="1"/>
  <c r="K357" i="332"/>
  <c r="J357" i="332"/>
  <c r="O356" i="332"/>
  <c r="O372" i="332" s="1"/>
  <c r="L356" i="332"/>
  <c r="K356" i="332"/>
  <c r="J356" i="332"/>
  <c r="M355" i="332"/>
  <c r="M371" i="332" s="1"/>
  <c r="K355" i="332"/>
  <c r="K371" i="332" s="1"/>
  <c r="F355" i="332"/>
  <c r="N351" i="332"/>
  <c r="M351" i="332"/>
  <c r="K351" i="332"/>
  <c r="I351" i="332"/>
  <c r="H351" i="332"/>
  <c r="G351" i="332"/>
  <c r="F351" i="332"/>
  <c r="E351" i="332"/>
  <c r="D351" i="332"/>
  <c r="C351" i="332"/>
  <c r="N350" i="332"/>
  <c r="M350" i="332"/>
  <c r="K350" i="332"/>
  <c r="I350" i="332"/>
  <c r="H350" i="332"/>
  <c r="G350" i="332"/>
  <c r="F350" i="332"/>
  <c r="E350" i="332"/>
  <c r="D350" i="332"/>
  <c r="C350" i="332"/>
  <c r="N349" i="332"/>
  <c r="K349" i="332"/>
  <c r="I349" i="332"/>
  <c r="H349" i="332"/>
  <c r="G349" i="332"/>
  <c r="E349" i="332"/>
  <c r="D349" i="332"/>
  <c r="C349" i="332"/>
  <c r="K348" i="332"/>
  <c r="J348" i="332"/>
  <c r="L348" i="332" s="1"/>
  <c r="O348" i="332" s="1"/>
  <c r="K346" i="332"/>
  <c r="J346" i="332"/>
  <c r="L346" i="332" s="1"/>
  <c r="O346" i="332" s="1"/>
  <c r="K345" i="332"/>
  <c r="J345" i="332"/>
  <c r="L345" i="332" s="1"/>
  <c r="O345" i="332" s="1"/>
  <c r="K344" i="332"/>
  <c r="J344" i="332"/>
  <c r="L344" i="332" s="1"/>
  <c r="O344" i="332" s="1"/>
  <c r="K343" i="332"/>
  <c r="J343" i="332"/>
  <c r="L343" i="332" s="1"/>
  <c r="O343" i="332" s="1"/>
  <c r="K342" i="332"/>
  <c r="J342" i="332"/>
  <c r="L342" i="332" s="1"/>
  <c r="O342" i="332" s="1"/>
  <c r="K341" i="332"/>
  <c r="J341" i="332"/>
  <c r="L341" i="332" s="1"/>
  <c r="O341" i="332" s="1"/>
  <c r="K340" i="332"/>
  <c r="J340" i="332"/>
  <c r="L340" i="332" s="1"/>
  <c r="O340" i="332" s="1"/>
  <c r="K338" i="332"/>
  <c r="J338" i="332"/>
  <c r="K337" i="332"/>
  <c r="J337" i="332"/>
  <c r="M336" i="332"/>
  <c r="M349" i="332" s="1"/>
  <c r="K336" i="332"/>
  <c r="J336" i="332"/>
  <c r="F336" i="332"/>
  <c r="F349" i="332" s="1"/>
  <c r="N334" i="332"/>
  <c r="M334" i="332"/>
  <c r="L334" i="332"/>
  <c r="J334" i="332"/>
  <c r="I334" i="332"/>
  <c r="H334" i="332"/>
  <c r="G334" i="332"/>
  <c r="F334" i="332"/>
  <c r="E334" i="332"/>
  <c r="D334" i="332"/>
  <c r="C334" i="332"/>
  <c r="N333" i="332"/>
  <c r="M333" i="332"/>
  <c r="I333" i="332"/>
  <c r="H333" i="332"/>
  <c r="G333" i="332"/>
  <c r="F333" i="332"/>
  <c r="E333" i="332"/>
  <c r="D333" i="332"/>
  <c r="C333" i="332"/>
  <c r="N332" i="332"/>
  <c r="M332" i="332"/>
  <c r="I332" i="332"/>
  <c r="H332" i="332"/>
  <c r="G332" i="332"/>
  <c r="E332" i="332"/>
  <c r="D332" i="332"/>
  <c r="C332" i="332"/>
  <c r="L331" i="332"/>
  <c r="O331" i="332" s="1"/>
  <c r="K331" i="332"/>
  <c r="J331" i="332"/>
  <c r="L329" i="332"/>
  <c r="O329" i="332" s="1"/>
  <c r="K329" i="332"/>
  <c r="J329" i="332"/>
  <c r="K328" i="332"/>
  <c r="J328" i="332"/>
  <c r="L328" i="332" s="1"/>
  <c r="O328" i="332" s="1"/>
  <c r="K327" i="332"/>
  <c r="J327" i="332"/>
  <c r="L327" i="332" s="1"/>
  <c r="O327" i="332" s="1"/>
  <c r="L326" i="332"/>
  <c r="O326" i="332" s="1"/>
  <c r="K326" i="332"/>
  <c r="J326" i="332"/>
  <c r="L325" i="332"/>
  <c r="O325" i="332" s="1"/>
  <c r="K325" i="332"/>
  <c r="J325" i="332"/>
  <c r="K324" i="332"/>
  <c r="K333" i="332" s="1"/>
  <c r="J324" i="332"/>
  <c r="L324" i="332" s="1"/>
  <c r="O324" i="332" s="1"/>
  <c r="K323" i="332"/>
  <c r="J323" i="332"/>
  <c r="L323" i="332" s="1"/>
  <c r="O323" i="332" s="1"/>
  <c r="L321" i="332"/>
  <c r="O321" i="332" s="1"/>
  <c r="O334" i="332" s="1"/>
  <c r="K321" i="332"/>
  <c r="K334" i="332" s="1"/>
  <c r="J321" i="332"/>
  <c r="L320" i="332"/>
  <c r="K320" i="332"/>
  <c r="J320" i="332"/>
  <c r="J333" i="332" s="1"/>
  <c r="M319" i="332"/>
  <c r="K319" i="332"/>
  <c r="F319" i="332"/>
  <c r="N317" i="332"/>
  <c r="M317" i="332"/>
  <c r="K317" i="332"/>
  <c r="J317" i="332"/>
  <c r="I317" i="332"/>
  <c r="H317" i="332"/>
  <c r="G317" i="332"/>
  <c r="F317" i="332"/>
  <c r="E317" i="332"/>
  <c r="D317" i="332"/>
  <c r="C317" i="332"/>
  <c r="O316" i="332"/>
  <c r="N316" i="332"/>
  <c r="M316" i="332"/>
  <c r="K316" i="332"/>
  <c r="I316" i="332"/>
  <c r="H316" i="332"/>
  <c r="G316" i="332"/>
  <c r="F316" i="332"/>
  <c r="E316" i="332"/>
  <c r="D316" i="332"/>
  <c r="C316" i="332"/>
  <c r="N315" i="332"/>
  <c r="I315" i="332"/>
  <c r="H315" i="332"/>
  <c r="G315" i="332"/>
  <c r="E315" i="332"/>
  <c r="D315" i="332"/>
  <c r="C315" i="332"/>
  <c r="O314" i="332"/>
  <c r="L314" i="332"/>
  <c r="K314" i="332"/>
  <c r="J314" i="332"/>
  <c r="O312" i="332"/>
  <c r="L312" i="332"/>
  <c r="K312" i="332"/>
  <c r="J312" i="332"/>
  <c r="O311" i="332"/>
  <c r="L311" i="332"/>
  <c r="K311" i="332"/>
  <c r="J311" i="332"/>
  <c r="O310" i="332"/>
  <c r="L310" i="332"/>
  <c r="K310" i="332"/>
  <c r="J310" i="332"/>
  <c r="O309" i="332"/>
  <c r="L309" i="332"/>
  <c r="K309" i="332"/>
  <c r="J309" i="332"/>
  <c r="O308" i="332"/>
  <c r="L308" i="332"/>
  <c r="K308" i="332"/>
  <c r="J308" i="332"/>
  <c r="O307" i="332"/>
  <c r="L307" i="332"/>
  <c r="K307" i="332"/>
  <c r="J307" i="332"/>
  <c r="O306" i="332"/>
  <c r="L306" i="332"/>
  <c r="K306" i="332"/>
  <c r="J306" i="332"/>
  <c r="O305" i="332"/>
  <c r="L305" i="332"/>
  <c r="K305" i="332"/>
  <c r="J305" i="332"/>
  <c r="O303" i="332"/>
  <c r="O317" i="332" s="1"/>
  <c r="L303" i="332"/>
  <c r="L317" i="332" s="1"/>
  <c r="K303" i="332"/>
  <c r="J303" i="332"/>
  <c r="O302" i="332"/>
  <c r="L302" i="332"/>
  <c r="L316" i="332" s="1"/>
  <c r="K302" i="332"/>
  <c r="J302" i="332"/>
  <c r="J316" i="332" s="1"/>
  <c r="M301" i="332"/>
  <c r="M315" i="332" s="1"/>
  <c r="K301" i="332"/>
  <c r="K315" i="332" s="1"/>
  <c r="F301" i="332"/>
  <c r="J301" i="332" s="1"/>
  <c r="L301" i="332" s="1"/>
  <c r="L315" i="332" s="1"/>
  <c r="N299" i="332"/>
  <c r="M299" i="332"/>
  <c r="J299" i="332"/>
  <c r="I299" i="332"/>
  <c r="H299" i="332"/>
  <c r="G299" i="332"/>
  <c r="F299" i="332"/>
  <c r="E299" i="332"/>
  <c r="D299" i="332"/>
  <c r="C299" i="332"/>
  <c r="N298" i="332"/>
  <c r="M298" i="332"/>
  <c r="J298" i="332"/>
  <c r="I298" i="332"/>
  <c r="H298" i="332"/>
  <c r="G298" i="332"/>
  <c r="F298" i="332"/>
  <c r="E298" i="332"/>
  <c r="D298" i="332"/>
  <c r="C298" i="332"/>
  <c r="N297" i="332"/>
  <c r="K297" i="332"/>
  <c r="I297" i="332"/>
  <c r="H297" i="332"/>
  <c r="G297" i="332"/>
  <c r="G352" i="332" s="1"/>
  <c r="E297" i="332"/>
  <c r="D297" i="332"/>
  <c r="C297" i="332"/>
  <c r="O296" i="332"/>
  <c r="L296" i="332"/>
  <c r="K296" i="332"/>
  <c r="J296" i="332"/>
  <c r="O294" i="332"/>
  <c r="L294" i="332"/>
  <c r="K294" i="332"/>
  <c r="J294" i="332"/>
  <c r="O293" i="332"/>
  <c r="L293" i="332"/>
  <c r="K293" i="332"/>
  <c r="J293" i="332"/>
  <c r="O292" i="332"/>
  <c r="L292" i="332"/>
  <c r="K292" i="332"/>
  <c r="J292" i="332"/>
  <c r="O291" i="332"/>
  <c r="L291" i="332"/>
  <c r="K291" i="332"/>
  <c r="J291" i="332"/>
  <c r="O290" i="332"/>
  <c r="L290" i="332"/>
  <c r="K290" i="332"/>
  <c r="J290" i="332"/>
  <c r="O289" i="332"/>
  <c r="L289" i="332"/>
  <c r="K289" i="332"/>
  <c r="J289" i="332"/>
  <c r="O288" i="332"/>
  <c r="L288" i="332"/>
  <c r="K288" i="332"/>
  <c r="J288" i="332"/>
  <c r="O286" i="332"/>
  <c r="O299" i="332" s="1"/>
  <c r="L286" i="332"/>
  <c r="L299" i="332" s="1"/>
  <c r="K286" i="332"/>
  <c r="K299" i="332" s="1"/>
  <c r="J286" i="332"/>
  <c r="O285" i="332"/>
  <c r="O298" i="332" s="1"/>
  <c r="L285" i="332"/>
  <c r="L298" i="332" s="1"/>
  <c r="K285" i="332"/>
  <c r="K298" i="332" s="1"/>
  <c r="J285" i="332"/>
  <c r="M284" i="332"/>
  <c r="M297" i="332" s="1"/>
  <c r="K284" i="332"/>
  <c r="J284" i="332"/>
  <c r="F284" i="332"/>
  <c r="F297" i="332" s="1"/>
  <c r="N282" i="332"/>
  <c r="M282" i="332"/>
  <c r="I282" i="332"/>
  <c r="H282" i="332"/>
  <c r="G282" i="332"/>
  <c r="F282" i="332"/>
  <c r="E282" i="332"/>
  <c r="D282" i="332"/>
  <c r="C282" i="332"/>
  <c r="N281" i="332"/>
  <c r="M281" i="332"/>
  <c r="J281" i="332"/>
  <c r="I281" i="332"/>
  <c r="H281" i="332"/>
  <c r="G281" i="332"/>
  <c r="F281" i="332"/>
  <c r="E281" i="332"/>
  <c r="D281" i="332"/>
  <c r="C281" i="332"/>
  <c r="N280" i="332"/>
  <c r="I280" i="332"/>
  <c r="H280" i="332"/>
  <c r="G280" i="332"/>
  <c r="E280" i="332"/>
  <c r="D280" i="332"/>
  <c r="C280" i="332"/>
  <c r="K279" i="332"/>
  <c r="J279" i="332"/>
  <c r="L279" i="332" s="1"/>
  <c r="O279" i="332" s="1"/>
  <c r="K277" i="332"/>
  <c r="J277" i="332"/>
  <c r="L277" i="332" s="1"/>
  <c r="O277" i="332" s="1"/>
  <c r="K276" i="332"/>
  <c r="J276" i="332"/>
  <c r="L276" i="332" s="1"/>
  <c r="O276" i="332" s="1"/>
  <c r="K275" i="332"/>
  <c r="J275" i="332"/>
  <c r="L275" i="332" s="1"/>
  <c r="O275" i="332" s="1"/>
  <c r="K274" i="332"/>
  <c r="J274" i="332"/>
  <c r="L274" i="332" s="1"/>
  <c r="O274" i="332" s="1"/>
  <c r="K273" i="332"/>
  <c r="J273" i="332"/>
  <c r="L273" i="332" s="1"/>
  <c r="O273" i="332" s="1"/>
  <c r="K272" i="332"/>
  <c r="J272" i="332"/>
  <c r="L272" i="332" s="1"/>
  <c r="O272" i="332" s="1"/>
  <c r="K271" i="332"/>
  <c r="J271" i="332"/>
  <c r="L271" i="332" s="1"/>
  <c r="O271" i="332" s="1"/>
  <c r="K270" i="332"/>
  <c r="J270" i="332"/>
  <c r="L270" i="332" s="1"/>
  <c r="O270" i="332" s="1"/>
  <c r="K268" i="332"/>
  <c r="J268" i="332"/>
  <c r="J282" i="332" s="1"/>
  <c r="K267" i="332"/>
  <c r="K281" i="332" s="1"/>
  <c r="J267" i="332"/>
  <c r="L267" i="332" s="1"/>
  <c r="M266" i="332"/>
  <c r="M280" i="332" s="1"/>
  <c r="K266" i="332"/>
  <c r="K280" i="332" s="1"/>
  <c r="F266" i="332"/>
  <c r="F280" i="332" s="1"/>
  <c r="N264" i="332"/>
  <c r="M264" i="332"/>
  <c r="K264" i="332"/>
  <c r="I264" i="332"/>
  <c r="H264" i="332"/>
  <c r="G264" i="332"/>
  <c r="F264" i="332"/>
  <c r="E264" i="332"/>
  <c r="D264" i="332"/>
  <c r="C264" i="332"/>
  <c r="N263" i="332"/>
  <c r="M263" i="332"/>
  <c r="L263" i="332"/>
  <c r="K263" i="332"/>
  <c r="I263" i="332"/>
  <c r="H263" i="332"/>
  <c r="G263" i="332"/>
  <c r="F263" i="332"/>
  <c r="E263" i="332"/>
  <c r="D263" i="332"/>
  <c r="C263" i="332"/>
  <c r="N262" i="332"/>
  <c r="J262" i="332"/>
  <c r="I262" i="332"/>
  <c r="H262" i="332"/>
  <c r="G262" i="332"/>
  <c r="F262" i="332"/>
  <c r="E262" i="332"/>
  <c r="D262" i="332"/>
  <c r="C262" i="332"/>
  <c r="O261" i="332"/>
  <c r="L261" i="332"/>
  <c r="K261" i="332"/>
  <c r="J261" i="332"/>
  <c r="O259" i="332"/>
  <c r="L259" i="332"/>
  <c r="K259" i="332"/>
  <c r="J259" i="332"/>
  <c r="O258" i="332"/>
  <c r="L258" i="332"/>
  <c r="K258" i="332"/>
  <c r="J258" i="332"/>
  <c r="O257" i="332"/>
  <c r="L257" i="332"/>
  <c r="K257" i="332"/>
  <c r="J257" i="332"/>
  <c r="O256" i="332"/>
  <c r="L256" i="332"/>
  <c r="K256" i="332"/>
  <c r="J256" i="332"/>
  <c r="O255" i="332"/>
  <c r="L255" i="332"/>
  <c r="K255" i="332"/>
  <c r="J255" i="332"/>
  <c r="O254" i="332"/>
  <c r="L254" i="332"/>
  <c r="K254" i="332"/>
  <c r="J254" i="332"/>
  <c r="O253" i="332"/>
  <c r="L253" i="332"/>
  <c r="K253" i="332"/>
  <c r="J253" i="332"/>
  <c r="O252" i="332"/>
  <c r="L252" i="332"/>
  <c r="K252" i="332"/>
  <c r="J252" i="332"/>
  <c r="O250" i="332"/>
  <c r="O264" i="332" s="1"/>
  <c r="L250" i="332"/>
  <c r="L264" i="332" s="1"/>
  <c r="K250" i="332"/>
  <c r="J250" i="332"/>
  <c r="J264" i="332" s="1"/>
  <c r="O249" i="332"/>
  <c r="O263" i="332" s="1"/>
  <c r="L249" i="332"/>
  <c r="K249" i="332"/>
  <c r="J249" i="332"/>
  <c r="J263" i="332" s="1"/>
  <c r="O248" i="332"/>
  <c r="O262" i="332" s="1"/>
  <c r="M248" i="332"/>
  <c r="M262" i="332" s="1"/>
  <c r="K248" i="332"/>
  <c r="K262" i="332" s="1"/>
  <c r="J248" i="332"/>
  <c r="L248" i="332" s="1"/>
  <c r="L262" i="332" s="1"/>
  <c r="F248" i="332"/>
  <c r="N246" i="332"/>
  <c r="M246" i="332"/>
  <c r="I246" i="332"/>
  <c r="H246" i="332"/>
  <c r="G246" i="332"/>
  <c r="F246" i="332"/>
  <c r="E246" i="332"/>
  <c r="D246" i="332"/>
  <c r="C246" i="332"/>
  <c r="N245" i="332"/>
  <c r="M245" i="332"/>
  <c r="J245" i="332"/>
  <c r="I245" i="332"/>
  <c r="H245" i="332"/>
  <c r="G245" i="332"/>
  <c r="F245" i="332"/>
  <c r="E245" i="332"/>
  <c r="D245" i="332"/>
  <c r="C245" i="332"/>
  <c r="N244" i="332"/>
  <c r="I244" i="332"/>
  <c r="H244" i="332"/>
  <c r="G244" i="332"/>
  <c r="E244" i="332"/>
  <c r="D244" i="332"/>
  <c r="C244" i="332"/>
  <c r="K243" i="332"/>
  <c r="J243" i="332"/>
  <c r="L243" i="332" s="1"/>
  <c r="O243" i="332" s="1"/>
  <c r="K241" i="332"/>
  <c r="J241" i="332"/>
  <c r="L241" i="332" s="1"/>
  <c r="O241" i="332" s="1"/>
  <c r="K240" i="332"/>
  <c r="J240" i="332"/>
  <c r="L240" i="332" s="1"/>
  <c r="O240" i="332" s="1"/>
  <c r="K239" i="332"/>
  <c r="J239" i="332"/>
  <c r="L239" i="332" s="1"/>
  <c r="O239" i="332" s="1"/>
  <c r="K238" i="332"/>
  <c r="J238" i="332"/>
  <c r="L238" i="332" s="1"/>
  <c r="O238" i="332" s="1"/>
  <c r="K237" i="332"/>
  <c r="J237" i="332"/>
  <c r="L237" i="332" s="1"/>
  <c r="O237" i="332" s="1"/>
  <c r="K235" i="332"/>
  <c r="K246" i="332" s="1"/>
  <c r="J235" i="332"/>
  <c r="J246" i="332" s="1"/>
  <c r="K234" i="332"/>
  <c r="K245" i="332" s="1"/>
  <c r="J234" i="332"/>
  <c r="L234" i="332" s="1"/>
  <c r="M233" i="332"/>
  <c r="M244" i="332" s="1"/>
  <c r="K233" i="332"/>
  <c r="K244" i="332" s="1"/>
  <c r="F233" i="332"/>
  <c r="F244" i="332" s="1"/>
  <c r="N231" i="332"/>
  <c r="M231" i="332"/>
  <c r="K231" i="332"/>
  <c r="I231" i="332"/>
  <c r="H231" i="332"/>
  <c r="G231" i="332"/>
  <c r="F231" i="332"/>
  <c r="E231" i="332"/>
  <c r="D231" i="332"/>
  <c r="C231" i="332"/>
  <c r="N230" i="332"/>
  <c r="M230" i="332"/>
  <c r="L230" i="332"/>
  <c r="K230" i="332"/>
  <c r="I230" i="332"/>
  <c r="H230" i="332"/>
  <c r="G230" i="332"/>
  <c r="F230" i="332"/>
  <c r="E230" i="332"/>
  <c r="D230" i="332"/>
  <c r="C230" i="332"/>
  <c r="N229" i="332"/>
  <c r="J229" i="332"/>
  <c r="I229" i="332"/>
  <c r="H229" i="332"/>
  <c r="G229" i="332"/>
  <c r="F229" i="332"/>
  <c r="E229" i="332"/>
  <c r="D229" i="332"/>
  <c r="C229" i="332"/>
  <c r="O228" i="332"/>
  <c r="L228" i="332"/>
  <c r="K228" i="332"/>
  <c r="J228" i="332"/>
  <c r="O226" i="332"/>
  <c r="L226" i="332"/>
  <c r="K226" i="332"/>
  <c r="J226" i="332"/>
  <c r="O225" i="332"/>
  <c r="L225" i="332"/>
  <c r="K225" i="332"/>
  <c r="J225" i="332"/>
  <c r="O224" i="332"/>
  <c r="L224" i="332"/>
  <c r="K224" i="332"/>
  <c r="J224" i="332"/>
  <c r="O223" i="332"/>
  <c r="L223" i="332"/>
  <c r="K223" i="332"/>
  <c r="J223" i="332"/>
  <c r="O222" i="332"/>
  <c r="L222" i="332"/>
  <c r="K222" i="332"/>
  <c r="J222" i="332"/>
  <c r="O221" i="332"/>
  <c r="L221" i="332"/>
  <c r="K221" i="332"/>
  <c r="J221" i="332"/>
  <c r="O220" i="332"/>
  <c r="L220" i="332"/>
  <c r="K220" i="332"/>
  <c r="J220" i="332"/>
  <c r="O218" i="332"/>
  <c r="O231" i="332" s="1"/>
  <c r="L218" i="332"/>
  <c r="L231" i="332" s="1"/>
  <c r="K218" i="332"/>
  <c r="J218" i="332"/>
  <c r="J231" i="332" s="1"/>
  <c r="O217" i="332"/>
  <c r="O230" i="332" s="1"/>
  <c r="L217" i="332"/>
  <c r="K217" i="332"/>
  <c r="J217" i="332"/>
  <c r="J230" i="332" s="1"/>
  <c r="O216" i="332"/>
  <c r="O229" i="332" s="1"/>
  <c r="M216" i="332"/>
  <c r="M229" i="332" s="1"/>
  <c r="K216" i="332"/>
  <c r="K229" i="332" s="1"/>
  <c r="J216" i="332"/>
  <c r="L216" i="332" s="1"/>
  <c r="L229" i="332" s="1"/>
  <c r="F216" i="332"/>
  <c r="N214" i="332"/>
  <c r="M214" i="332"/>
  <c r="I214" i="332"/>
  <c r="H214" i="332"/>
  <c r="G214" i="332"/>
  <c r="F214" i="332"/>
  <c r="E214" i="332"/>
  <c r="D214" i="332"/>
  <c r="C214" i="332"/>
  <c r="N213" i="332"/>
  <c r="M213" i="332"/>
  <c r="J213" i="332"/>
  <c r="I213" i="332"/>
  <c r="H213" i="332"/>
  <c r="G213" i="332"/>
  <c r="F213" i="332"/>
  <c r="E213" i="332"/>
  <c r="D213" i="332"/>
  <c r="C213" i="332"/>
  <c r="N212" i="332"/>
  <c r="I212" i="332"/>
  <c r="H212" i="332"/>
  <c r="G212" i="332"/>
  <c r="E212" i="332"/>
  <c r="D212" i="332"/>
  <c r="C212" i="332"/>
  <c r="K211" i="332"/>
  <c r="J211" i="332"/>
  <c r="L211" i="332" s="1"/>
  <c r="O211" i="332" s="1"/>
  <c r="K209" i="332"/>
  <c r="J209" i="332"/>
  <c r="L209" i="332" s="1"/>
  <c r="O209" i="332" s="1"/>
  <c r="K208" i="332"/>
  <c r="J208" i="332"/>
  <c r="L208" i="332" s="1"/>
  <c r="O208" i="332" s="1"/>
  <c r="K207" i="332"/>
  <c r="J207" i="332"/>
  <c r="L207" i="332" s="1"/>
  <c r="O207" i="332" s="1"/>
  <c r="K206" i="332"/>
  <c r="J206" i="332"/>
  <c r="L206" i="332" s="1"/>
  <c r="O206" i="332" s="1"/>
  <c r="K205" i="332"/>
  <c r="J205" i="332"/>
  <c r="L205" i="332" s="1"/>
  <c r="O205" i="332" s="1"/>
  <c r="K204" i="332"/>
  <c r="J204" i="332"/>
  <c r="L204" i="332" s="1"/>
  <c r="O204" i="332" s="1"/>
  <c r="K203" i="332"/>
  <c r="J203" i="332"/>
  <c r="L203" i="332" s="1"/>
  <c r="O203" i="332" s="1"/>
  <c r="K201" i="332"/>
  <c r="K214" i="332" s="1"/>
  <c r="J201" i="332"/>
  <c r="J214" i="332" s="1"/>
  <c r="K200" i="332"/>
  <c r="K213" i="332" s="1"/>
  <c r="J200" i="332"/>
  <c r="L200" i="332" s="1"/>
  <c r="M199" i="332"/>
  <c r="M212" i="332" s="1"/>
  <c r="K199" i="332"/>
  <c r="K212" i="332" s="1"/>
  <c r="F199" i="332"/>
  <c r="F212" i="332" s="1"/>
  <c r="N197" i="332"/>
  <c r="M197" i="332"/>
  <c r="K197" i="332"/>
  <c r="I197" i="332"/>
  <c r="H197" i="332"/>
  <c r="G197" i="332"/>
  <c r="F197" i="332"/>
  <c r="E197" i="332"/>
  <c r="D197" i="332"/>
  <c r="C197" i="332"/>
  <c r="N196" i="332"/>
  <c r="M196" i="332"/>
  <c r="L196" i="332"/>
  <c r="K196" i="332"/>
  <c r="I196" i="332"/>
  <c r="H196" i="332"/>
  <c r="G196" i="332"/>
  <c r="F196" i="332"/>
  <c r="E196" i="332"/>
  <c r="D196" i="332"/>
  <c r="C196" i="332"/>
  <c r="N195" i="332"/>
  <c r="J195" i="332"/>
  <c r="I195" i="332"/>
  <c r="H195" i="332"/>
  <c r="G195" i="332"/>
  <c r="F195" i="332"/>
  <c r="E195" i="332"/>
  <c r="D195" i="332"/>
  <c r="C195" i="332"/>
  <c r="O194" i="332"/>
  <c r="L194" i="332"/>
  <c r="K194" i="332"/>
  <c r="J194" i="332"/>
  <c r="O192" i="332"/>
  <c r="L192" i="332"/>
  <c r="K192" i="332"/>
  <c r="J192" i="332"/>
  <c r="O191" i="332"/>
  <c r="L191" i="332"/>
  <c r="K191" i="332"/>
  <c r="J191" i="332"/>
  <c r="O190" i="332"/>
  <c r="L190" i="332"/>
  <c r="K190" i="332"/>
  <c r="J190" i="332"/>
  <c r="O189" i="332"/>
  <c r="L189" i="332"/>
  <c r="K189" i="332"/>
  <c r="J189" i="332"/>
  <c r="O188" i="332"/>
  <c r="L188" i="332"/>
  <c r="K188" i="332"/>
  <c r="J188" i="332"/>
  <c r="O187" i="332"/>
  <c r="L187" i="332"/>
  <c r="K187" i="332"/>
  <c r="J187" i="332"/>
  <c r="O186" i="332"/>
  <c r="L186" i="332"/>
  <c r="K186" i="332"/>
  <c r="J186" i="332"/>
  <c r="O184" i="332"/>
  <c r="O197" i="332" s="1"/>
  <c r="L184" i="332"/>
  <c r="L197" i="332" s="1"/>
  <c r="K184" i="332"/>
  <c r="J184" i="332"/>
  <c r="J197" i="332" s="1"/>
  <c r="O183" i="332"/>
  <c r="O196" i="332" s="1"/>
  <c r="L183" i="332"/>
  <c r="K183" i="332"/>
  <c r="J183" i="332"/>
  <c r="J196" i="332" s="1"/>
  <c r="O182" i="332"/>
  <c r="O195" i="332" s="1"/>
  <c r="M182" i="332"/>
  <c r="M195" i="332" s="1"/>
  <c r="K182" i="332"/>
  <c r="K195" i="332" s="1"/>
  <c r="J182" i="332"/>
  <c r="L182" i="332" s="1"/>
  <c r="L195" i="332" s="1"/>
  <c r="F182" i="332"/>
  <c r="N180" i="332"/>
  <c r="M180" i="332"/>
  <c r="I180" i="332"/>
  <c r="H180" i="332"/>
  <c r="G180" i="332"/>
  <c r="F180" i="332"/>
  <c r="E180" i="332"/>
  <c r="D180" i="332"/>
  <c r="C180" i="332"/>
  <c r="N179" i="332"/>
  <c r="M179" i="332"/>
  <c r="J179" i="332"/>
  <c r="I179" i="332"/>
  <c r="H179" i="332"/>
  <c r="G179" i="332"/>
  <c r="F179" i="332"/>
  <c r="E179" i="332"/>
  <c r="D179" i="332"/>
  <c r="C179" i="332"/>
  <c r="N178" i="332"/>
  <c r="I178" i="332"/>
  <c r="H178" i="332"/>
  <c r="G178" i="332"/>
  <c r="E178" i="332"/>
  <c r="D178" i="332"/>
  <c r="C178" i="332"/>
  <c r="K177" i="332"/>
  <c r="J177" i="332"/>
  <c r="L177" i="332" s="1"/>
  <c r="O177" i="332" s="1"/>
  <c r="K175" i="332"/>
  <c r="K587" i="332" s="1"/>
  <c r="J175" i="332"/>
  <c r="J587" i="332" s="1"/>
  <c r="K174" i="332"/>
  <c r="J174" i="332"/>
  <c r="L174" i="332" s="1"/>
  <c r="O174" i="332" s="1"/>
  <c r="K173" i="332"/>
  <c r="J173" i="332"/>
  <c r="L173" i="332" s="1"/>
  <c r="O173" i="332" s="1"/>
  <c r="K172" i="332"/>
  <c r="J172" i="332"/>
  <c r="L172" i="332" s="1"/>
  <c r="O172" i="332" s="1"/>
  <c r="K171" i="332"/>
  <c r="J171" i="332"/>
  <c r="L171" i="332" s="1"/>
  <c r="O171" i="332" s="1"/>
  <c r="K170" i="332"/>
  <c r="J170" i="332"/>
  <c r="L170" i="332" s="1"/>
  <c r="O170" i="332" s="1"/>
  <c r="K169" i="332"/>
  <c r="J169" i="332"/>
  <c r="L169" i="332" s="1"/>
  <c r="O169" i="332" s="1"/>
  <c r="K167" i="332"/>
  <c r="K180" i="332" s="1"/>
  <c r="J167" i="332"/>
  <c r="J180" i="332" s="1"/>
  <c r="K166" i="332"/>
  <c r="K179" i="332" s="1"/>
  <c r="J166" i="332"/>
  <c r="L166" i="332" s="1"/>
  <c r="M165" i="332"/>
  <c r="M178" i="332" s="1"/>
  <c r="K165" i="332"/>
  <c r="K178" i="332" s="1"/>
  <c r="F165" i="332"/>
  <c r="F178" i="332" s="1"/>
  <c r="N163" i="332"/>
  <c r="M163" i="332"/>
  <c r="K163" i="332"/>
  <c r="I163" i="332"/>
  <c r="H163" i="332"/>
  <c r="G163" i="332"/>
  <c r="F163" i="332"/>
  <c r="E163" i="332"/>
  <c r="D163" i="332"/>
  <c r="C163" i="332"/>
  <c r="N162" i="332"/>
  <c r="M162" i="332"/>
  <c r="L162" i="332"/>
  <c r="I162" i="332"/>
  <c r="H162" i="332"/>
  <c r="G162" i="332"/>
  <c r="F162" i="332"/>
  <c r="E162" i="332"/>
  <c r="D162" i="332"/>
  <c r="C162" i="332"/>
  <c r="N161" i="332"/>
  <c r="N352" i="332" s="1"/>
  <c r="I161" i="332"/>
  <c r="I352" i="332" s="1"/>
  <c r="H161" i="332"/>
  <c r="G161" i="332"/>
  <c r="F161" i="332"/>
  <c r="E161" i="332"/>
  <c r="E352" i="332" s="1"/>
  <c r="D161" i="332"/>
  <c r="C161" i="332"/>
  <c r="C352" i="332" s="1"/>
  <c r="O160" i="332"/>
  <c r="L160" i="332"/>
  <c r="K160" i="332"/>
  <c r="J160" i="332"/>
  <c r="O159" i="332"/>
  <c r="O598" i="332" s="1"/>
  <c r="L159" i="332"/>
  <c r="L598" i="332" s="1"/>
  <c r="K159" i="332"/>
  <c r="K598" i="332" s="1"/>
  <c r="J159" i="332"/>
  <c r="J598" i="332" s="1"/>
  <c r="O157" i="332"/>
  <c r="L157" i="332"/>
  <c r="K157" i="332"/>
  <c r="J157" i="332"/>
  <c r="O156" i="332"/>
  <c r="L156" i="332"/>
  <c r="K156" i="332"/>
  <c r="J156" i="332"/>
  <c r="O155" i="332"/>
  <c r="L155" i="332"/>
  <c r="K155" i="332"/>
  <c r="J155" i="332"/>
  <c r="O154" i="332"/>
  <c r="L154" i="332"/>
  <c r="K154" i="332"/>
  <c r="J154" i="332"/>
  <c r="O153" i="332"/>
  <c r="L153" i="332"/>
  <c r="K153" i="332"/>
  <c r="J153" i="332"/>
  <c r="O152" i="332"/>
  <c r="L152" i="332"/>
  <c r="K152" i="332"/>
  <c r="J152" i="332"/>
  <c r="O151" i="332"/>
  <c r="L151" i="332"/>
  <c r="K151" i="332"/>
  <c r="J151" i="332"/>
  <c r="O149" i="332"/>
  <c r="O163" i="332" s="1"/>
  <c r="L149" i="332"/>
  <c r="L163" i="332" s="1"/>
  <c r="K149" i="332"/>
  <c r="J149" i="332"/>
  <c r="J163" i="332" s="1"/>
  <c r="O148" i="332"/>
  <c r="O162" i="332" s="1"/>
  <c r="L148" i="332"/>
  <c r="K148" i="332"/>
  <c r="K162" i="332" s="1"/>
  <c r="J148" i="332"/>
  <c r="J162" i="332" s="1"/>
  <c r="M147" i="332"/>
  <c r="M161" i="332" s="1"/>
  <c r="M352" i="332" s="1"/>
  <c r="K147" i="332"/>
  <c r="K161" i="332" s="1"/>
  <c r="J147" i="332"/>
  <c r="L147" i="332" s="1"/>
  <c r="L161" i="332" s="1"/>
  <c r="F147" i="332"/>
  <c r="N144" i="332"/>
  <c r="M144" i="332"/>
  <c r="J144" i="332"/>
  <c r="I144" i="332"/>
  <c r="H144" i="332"/>
  <c r="G144" i="332"/>
  <c r="F144" i="332"/>
  <c r="E144" i="332"/>
  <c r="D144" i="332"/>
  <c r="C144" i="332"/>
  <c r="N143" i="332"/>
  <c r="M143" i="332"/>
  <c r="K143" i="332"/>
  <c r="I143" i="332"/>
  <c r="H143" i="332"/>
  <c r="G143" i="332"/>
  <c r="F143" i="332"/>
  <c r="E143" i="332"/>
  <c r="D143" i="332"/>
  <c r="C143" i="332"/>
  <c r="N142" i="332"/>
  <c r="I142" i="332"/>
  <c r="H142" i="332"/>
  <c r="G142" i="332"/>
  <c r="E142" i="332"/>
  <c r="D142" i="332"/>
  <c r="C142" i="332"/>
  <c r="L141" i="332"/>
  <c r="O141" i="332" s="1"/>
  <c r="K141" i="332"/>
  <c r="J141" i="332"/>
  <c r="L139" i="332"/>
  <c r="O139" i="332" s="1"/>
  <c r="K139" i="332"/>
  <c r="J139" i="332"/>
  <c r="L138" i="332"/>
  <c r="O138" i="332" s="1"/>
  <c r="K138" i="332"/>
  <c r="J138" i="332"/>
  <c r="L137" i="332"/>
  <c r="O137" i="332" s="1"/>
  <c r="K137" i="332"/>
  <c r="J137" i="332"/>
  <c r="L136" i="332"/>
  <c r="O136" i="332" s="1"/>
  <c r="K136" i="332"/>
  <c r="J136" i="332"/>
  <c r="L135" i="332"/>
  <c r="O135" i="332" s="1"/>
  <c r="K135" i="332"/>
  <c r="J135" i="332"/>
  <c r="L134" i="332"/>
  <c r="O134" i="332" s="1"/>
  <c r="K134" i="332"/>
  <c r="J134" i="332"/>
  <c r="L133" i="332"/>
  <c r="O133" i="332" s="1"/>
  <c r="K133" i="332"/>
  <c r="J133" i="332"/>
  <c r="L131" i="332"/>
  <c r="K131" i="332"/>
  <c r="K144" i="332" s="1"/>
  <c r="J131" i="332"/>
  <c r="L130" i="332"/>
  <c r="K130" i="332"/>
  <c r="J130" i="332"/>
  <c r="J143" i="332" s="1"/>
  <c r="M129" i="332"/>
  <c r="M142" i="332" s="1"/>
  <c r="K129" i="332"/>
  <c r="K142" i="332" s="1"/>
  <c r="F129" i="332"/>
  <c r="N127" i="332"/>
  <c r="M127" i="332"/>
  <c r="I127" i="332"/>
  <c r="H127" i="332"/>
  <c r="G127" i="332"/>
  <c r="F127" i="332"/>
  <c r="E127" i="332"/>
  <c r="D127" i="332"/>
  <c r="C127" i="332"/>
  <c r="N126" i="332"/>
  <c r="M126" i="332"/>
  <c r="I126" i="332"/>
  <c r="H126" i="332"/>
  <c r="G126" i="332"/>
  <c r="F126" i="332"/>
  <c r="E126" i="332"/>
  <c r="D126" i="332"/>
  <c r="C126" i="332"/>
  <c r="N125" i="332"/>
  <c r="K125" i="332"/>
  <c r="I125" i="332"/>
  <c r="H125" i="332"/>
  <c r="G125" i="332"/>
  <c r="E125" i="332"/>
  <c r="D125" i="332"/>
  <c r="C125" i="332"/>
  <c r="K124" i="332"/>
  <c r="J124" i="332"/>
  <c r="L124" i="332" s="1"/>
  <c r="O124" i="332" s="1"/>
  <c r="K122" i="332"/>
  <c r="J122" i="332"/>
  <c r="L122" i="332" s="1"/>
  <c r="O122" i="332" s="1"/>
  <c r="K121" i="332"/>
  <c r="J121" i="332"/>
  <c r="L121" i="332" s="1"/>
  <c r="O121" i="332" s="1"/>
  <c r="K120" i="332"/>
  <c r="J120" i="332"/>
  <c r="L120" i="332" s="1"/>
  <c r="O120" i="332" s="1"/>
  <c r="K119" i="332"/>
  <c r="J119" i="332"/>
  <c r="L119" i="332" s="1"/>
  <c r="O119" i="332" s="1"/>
  <c r="K118" i="332"/>
  <c r="J118" i="332"/>
  <c r="L118" i="332" s="1"/>
  <c r="O118" i="332" s="1"/>
  <c r="K117" i="332"/>
  <c r="J117" i="332"/>
  <c r="L117" i="332" s="1"/>
  <c r="O117" i="332" s="1"/>
  <c r="K116" i="332"/>
  <c r="J116" i="332"/>
  <c r="L116" i="332" s="1"/>
  <c r="O116" i="332" s="1"/>
  <c r="K115" i="332"/>
  <c r="J115" i="332"/>
  <c r="L115" i="332" s="1"/>
  <c r="O115" i="332" s="1"/>
  <c r="K113" i="332"/>
  <c r="K127" i="332" s="1"/>
  <c r="J113" i="332"/>
  <c r="K112" i="332"/>
  <c r="K126" i="332" s="1"/>
  <c r="J112" i="332"/>
  <c r="M111" i="332"/>
  <c r="M125" i="332" s="1"/>
  <c r="K111" i="332"/>
  <c r="J111" i="332"/>
  <c r="F111" i="332"/>
  <c r="F125" i="332" s="1"/>
  <c r="N109" i="332"/>
  <c r="M109" i="332"/>
  <c r="J109" i="332"/>
  <c r="I109" i="332"/>
  <c r="H109" i="332"/>
  <c r="G109" i="332"/>
  <c r="F109" i="332"/>
  <c r="E109" i="332"/>
  <c r="D109" i="332"/>
  <c r="C109" i="332"/>
  <c r="N108" i="332"/>
  <c r="M108" i="332"/>
  <c r="K108" i="332"/>
  <c r="I108" i="332"/>
  <c r="H108" i="332"/>
  <c r="G108" i="332"/>
  <c r="F108" i="332"/>
  <c r="E108" i="332"/>
  <c r="D108" i="332"/>
  <c r="C108" i="332"/>
  <c r="N107" i="332"/>
  <c r="I107" i="332"/>
  <c r="H107" i="332"/>
  <c r="G107" i="332"/>
  <c r="E107" i="332"/>
  <c r="D107" i="332"/>
  <c r="C107" i="332"/>
  <c r="L106" i="332"/>
  <c r="O106" i="332" s="1"/>
  <c r="K106" i="332"/>
  <c r="J106" i="332"/>
  <c r="L104" i="332"/>
  <c r="O104" i="332" s="1"/>
  <c r="K104" i="332"/>
  <c r="J104" i="332"/>
  <c r="L103" i="332"/>
  <c r="O103" i="332" s="1"/>
  <c r="K103" i="332"/>
  <c r="J103" i="332"/>
  <c r="L102" i="332"/>
  <c r="O102" i="332" s="1"/>
  <c r="K102" i="332"/>
  <c r="J102" i="332"/>
  <c r="L101" i="332"/>
  <c r="O101" i="332" s="1"/>
  <c r="K101" i="332"/>
  <c r="J101" i="332"/>
  <c r="L100" i="332"/>
  <c r="O100" i="332" s="1"/>
  <c r="K100" i="332"/>
  <c r="J100" i="332"/>
  <c r="L99" i="332"/>
  <c r="O99" i="332" s="1"/>
  <c r="K99" i="332"/>
  <c r="J99" i="332"/>
  <c r="L97" i="332"/>
  <c r="K97" i="332"/>
  <c r="K109" i="332" s="1"/>
  <c r="J97" i="332"/>
  <c r="L96" i="332"/>
  <c r="K96" i="332"/>
  <c r="J96" i="332"/>
  <c r="J108" i="332" s="1"/>
  <c r="M95" i="332"/>
  <c r="M107" i="332" s="1"/>
  <c r="K95" i="332"/>
  <c r="K107" i="332" s="1"/>
  <c r="F95" i="332"/>
  <c r="N93" i="332"/>
  <c r="M93" i="332"/>
  <c r="I93" i="332"/>
  <c r="H93" i="332"/>
  <c r="G93" i="332"/>
  <c r="F93" i="332"/>
  <c r="E93" i="332"/>
  <c r="D93" i="332"/>
  <c r="C93" i="332"/>
  <c r="N92" i="332"/>
  <c r="M92" i="332"/>
  <c r="I92" i="332"/>
  <c r="H92" i="332"/>
  <c r="G92" i="332"/>
  <c r="F92" i="332"/>
  <c r="E92" i="332"/>
  <c r="D92" i="332"/>
  <c r="C92" i="332"/>
  <c r="N91" i="332"/>
  <c r="I91" i="332"/>
  <c r="H91" i="332"/>
  <c r="G91" i="332"/>
  <c r="E91" i="332"/>
  <c r="E145" i="332" s="1"/>
  <c r="D91" i="332"/>
  <c r="C91" i="332"/>
  <c r="K90" i="332"/>
  <c r="J90" i="332"/>
  <c r="L90" i="332" s="1"/>
  <c r="O90" i="332" s="1"/>
  <c r="K88" i="332"/>
  <c r="J88" i="332"/>
  <c r="L88" i="332" s="1"/>
  <c r="O88" i="332" s="1"/>
  <c r="K87" i="332"/>
  <c r="J87" i="332"/>
  <c r="L87" i="332" s="1"/>
  <c r="O87" i="332" s="1"/>
  <c r="K86" i="332"/>
  <c r="J86" i="332"/>
  <c r="L86" i="332" s="1"/>
  <c r="O86" i="332" s="1"/>
  <c r="K85" i="332"/>
  <c r="J85" i="332"/>
  <c r="L85" i="332" s="1"/>
  <c r="O85" i="332" s="1"/>
  <c r="K84" i="332"/>
  <c r="J84" i="332"/>
  <c r="L84" i="332" s="1"/>
  <c r="O84" i="332" s="1"/>
  <c r="K83" i="332"/>
  <c r="J83" i="332"/>
  <c r="L83" i="332" s="1"/>
  <c r="O83" i="332" s="1"/>
  <c r="K82" i="332"/>
  <c r="J82" i="332"/>
  <c r="L82" i="332" s="1"/>
  <c r="O82" i="332" s="1"/>
  <c r="K80" i="332"/>
  <c r="K93" i="332" s="1"/>
  <c r="J80" i="332"/>
  <c r="K79" i="332"/>
  <c r="K92" i="332" s="1"/>
  <c r="J79" i="332"/>
  <c r="M78" i="332"/>
  <c r="M91" i="332" s="1"/>
  <c r="K78" i="332"/>
  <c r="J78" i="332"/>
  <c r="F78" i="332"/>
  <c r="F91" i="332" s="1"/>
  <c r="N76" i="332"/>
  <c r="M76" i="332"/>
  <c r="J76" i="332"/>
  <c r="I76" i="332"/>
  <c r="H76" i="332"/>
  <c r="G76" i="332"/>
  <c r="F76" i="332"/>
  <c r="E76" i="332"/>
  <c r="D76" i="332"/>
  <c r="C76" i="332"/>
  <c r="N75" i="332"/>
  <c r="M75" i="332"/>
  <c r="K75" i="332"/>
  <c r="I75" i="332"/>
  <c r="H75" i="332"/>
  <c r="G75" i="332"/>
  <c r="F75" i="332"/>
  <c r="E75" i="332"/>
  <c r="D75" i="332"/>
  <c r="C75" i="332"/>
  <c r="N74" i="332"/>
  <c r="I74" i="332"/>
  <c r="H74" i="332"/>
  <c r="G74" i="332"/>
  <c r="E74" i="332"/>
  <c r="D74" i="332"/>
  <c r="C74" i="332"/>
  <c r="L73" i="332"/>
  <c r="O73" i="332" s="1"/>
  <c r="K73" i="332"/>
  <c r="J73" i="332"/>
  <c r="L71" i="332"/>
  <c r="K71" i="332"/>
  <c r="K590" i="332" s="1"/>
  <c r="J71" i="332"/>
  <c r="J590" i="332" s="1"/>
  <c r="L70" i="332"/>
  <c r="O70" i="332" s="1"/>
  <c r="K70" i="332"/>
  <c r="J70" i="332"/>
  <c r="L69" i="332"/>
  <c r="O69" i="332" s="1"/>
  <c r="K69" i="332"/>
  <c r="J69" i="332"/>
  <c r="L68" i="332"/>
  <c r="O68" i="332" s="1"/>
  <c r="K68" i="332"/>
  <c r="J68" i="332"/>
  <c r="L67" i="332"/>
  <c r="O67" i="332" s="1"/>
  <c r="K67" i="332"/>
  <c r="J67" i="332"/>
  <c r="L66" i="332"/>
  <c r="O66" i="332" s="1"/>
  <c r="K66" i="332"/>
  <c r="J66" i="332"/>
  <c r="L65" i="332"/>
  <c r="O65" i="332" s="1"/>
  <c r="K65" i="332"/>
  <c r="J65" i="332"/>
  <c r="L64" i="332"/>
  <c r="O64" i="332" s="1"/>
  <c r="K64" i="332"/>
  <c r="J64" i="332"/>
  <c r="L62" i="332"/>
  <c r="K62" i="332"/>
  <c r="K76" i="332" s="1"/>
  <c r="J62" i="332"/>
  <c r="L61" i="332"/>
  <c r="K61" i="332"/>
  <c r="J61" i="332"/>
  <c r="J75" i="332" s="1"/>
  <c r="M60" i="332"/>
  <c r="M74" i="332" s="1"/>
  <c r="K60" i="332"/>
  <c r="K74" i="332" s="1"/>
  <c r="F60" i="332"/>
  <c r="N58" i="332"/>
  <c r="M58" i="332"/>
  <c r="I58" i="332"/>
  <c r="H58" i="332"/>
  <c r="G58" i="332"/>
  <c r="F58" i="332"/>
  <c r="E58" i="332"/>
  <c r="D58" i="332"/>
  <c r="C58" i="332"/>
  <c r="N57" i="332"/>
  <c r="M57" i="332"/>
  <c r="I57" i="332"/>
  <c r="H57" i="332"/>
  <c r="G57" i="332"/>
  <c r="F57" i="332"/>
  <c r="E57" i="332"/>
  <c r="D57" i="332"/>
  <c r="C57" i="332"/>
  <c r="N56" i="332"/>
  <c r="N145" i="332" s="1"/>
  <c r="M56" i="332"/>
  <c r="I56" i="332"/>
  <c r="I145" i="332" s="1"/>
  <c r="H56" i="332"/>
  <c r="G56" i="332"/>
  <c r="F56" i="332"/>
  <c r="E56" i="332"/>
  <c r="D56" i="332"/>
  <c r="C56" i="332"/>
  <c r="O55" i="332"/>
  <c r="L55" i="332"/>
  <c r="K55" i="332"/>
  <c r="J55" i="332"/>
  <c r="O53" i="332"/>
  <c r="L53" i="332"/>
  <c r="K53" i="332"/>
  <c r="J53" i="332"/>
  <c r="O52" i="332"/>
  <c r="L52" i="332"/>
  <c r="K52" i="332"/>
  <c r="J52" i="332"/>
  <c r="O51" i="332"/>
  <c r="O581" i="332" s="1"/>
  <c r="L51" i="332"/>
  <c r="K51" i="332"/>
  <c r="K581" i="332" s="1"/>
  <c r="J51" i="332"/>
  <c r="K50" i="332"/>
  <c r="L50" i="332" s="1"/>
  <c r="O50" i="332" s="1"/>
  <c r="J50" i="332"/>
  <c r="K49" i="332"/>
  <c r="L49" i="332" s="1"/>
  <c r="O49" i="332" s="1"/>
  <c r="J49" i="332"/>
  <c r="K48" i="332"/>
  <c r="L48" i="332" s="1"/>
  <c r="O48" i="332" s="1"/>
  <c r="J48" i="332"/>
  <c r="K47" i="332"/>
  <c r="L47" i="332" s="1"/>
  <c r="O47" i="332" s="1"/>
  <c r="J47" i="332"/>
  <c r="K46" i="332"/>
  <c r="L46" i="332" s="1"/>
  <c r="O46" i="332" s="1"/>
  <c r="J46" i="332"/>
  <c r="K44" i="332"/>
  <c r="K58" i="332" s="1"/>
  <c r="J44" i="332"/>
  <c r="J58" i="332" s="1"/>
  <c r="K43" i="332"/>
  <c r="K57" i="332" s="1"/>
  <c r="J43" i="332"/>
  <c r="J57" i="332" s="1"/>
  <c r="M42" i="332"/>
  <c r="K42" i="332"/>
  <c r="K56" i="332" s="1"/>
  <c r="J42" i="332"/>
  <c r="L42" i="332" s="1"/>
  <c r="F42" i="332"/>
  <c r="N39" i="332"/>
  <c r="M39" i="332"/>
  <c r="J39" i="332"/>
  <c r="I39" i="332"/>
  <c r="H39" i="332"/>
  <c r="G39" i="332"/>
  <c r="F39" i="332"/>
  <c r="E39" i="332"/>
  <c r="D39" i="332"/>
  <c r="C39" i="332"/>
  <c r="N38" i="332"/>
  <c r="M38" i="332"/>
  <c r="K38" i="332"/>
  <c r="I38" i="332"/>
  <c r="H38" i="332"/>
  <c r="G38" i="332"/>
  <c r="F38" i="332"/>
  <c r="E38" i="332"/>
  <c r="D38" i="332"/>
  <c r="C38" i="332"/>
  <c r="N37" i="332"/>
  <c r="I37" i="332"/>
  <c r="I40" i="332" s="1"/>
  <c r="H37" i="332"/>
  <c r="H40" i="332" s="1"/>
  <c r="G37" i="332"/>
  <c r="E37" i="332"/>
  <c r="E40" i="332" s="1"/>
  <c r="D37" i="332"/>
  <c r="C37" i="332"/>
  <c r="L36" i="332"/>
  <c r="O36" i="332" s="1"/>
  <c r="K36" i="332"/>
  <c r="J36" i="332"/>
  <c r="L34" i="332"/>
  <c r="O34" i="332" s="1"/>
  <c r="K34" i="332"/>
  <c r="J34" i="332"/>
  <c r="L33" i="332"/>
  <c r="O33" i="332" s="1"/>
  <c r="K33" i="332"/>
  <c r="J33" i="332"/>
  <c r="L32" i="332"/>
  <c r="O32" i="332" s="1"/>
  <c r="K32" i="332"/>
  <c r="J32" i="332"/>
  <c r="L31" i="332"/>
  <c r="O31" i="332" s="1"/>
  <c r="K31" i="332"/>
  <c r="J31" i="332"/>
  <c r="L30" i="332"/>
  <c r="O30" i="332" s="1"/>
  <c r="K30" i="332"/>
  <c r="K576" i="332" s="1"/>
  <c r="J30" i="332"/>
  <c r="L29" i="332"/>
  <c r="O29" i="332" s="1"/>
  <c r="K29" i="332"/>
  <c r="J29" i="332"/>
  <c r="L28" i="332"/>
  <c r="O28" i="332" s="1"/>
  <c r="K28" i="332"/>
  <c r="J28" i="332"/>
  <c r="L26" i="332"/>
  <c r="L39" i="332" s="1"/>
  <c r="K26" i="332"/>
  <c r="K39" i="332" s="1"/>
  <c r="J26" i="332"/>
  <c r="L25" i="332"/>
  <c r="L38" i="332" s="1"/>
  <c r="K25" i="332"/>
  <c r="J25" i="332"/>
  <c r="J38" i="332" s="1"/>
  <c r="M24" i="332"/>
  <c r="M37" i="332" s="1"/>
  <c r="K24" i="332"/>
  <c r="K37" i="332" s="1"/>
  <c r="F24" i="332"/>
  <c r="F37" i="332" s="1"/>
  <c r="N22" i="332"/>
  <c r="M22" i="332"/>
  <c r="K22" i="332"/>
  <c r="I22" i="332"/>
  <c r="H22" i="332"/>
  <c r="H618" i="332" s="1"/>
  <c r="H626" i="332" s="1"/>
  <c r="G22" i="332"/>
  <c r="G618" i="332" s="1"/>
  <c r="G626" i="332" s="1"/>
  <c r="F22" i="332"/>
  <c r="E22" i="332"/>
  <c r="D22" i="332"/>
  <c r="D618" i="332" s="1"/>
  <c r="C22" i="332"/>
  <c r="C618" i="332" s="1"/>
  <c r="C626" i="332" s="1"/>
  <c r="N21" i="332"/>
  <c r="M21" i="332"/>
  <c r="M617" i="332" s="1"/>
  <c r="M625" i="332" s="1"/>
  <c r="K21" i="332"/>
  <c r="I21" i="332"/>
  <c r="H21" i="332"/>
  <c r="G21" i="332"/>
  <c r="F21" i="332"/>
  <c r="E21" i="332"/>
  <c r="D21" i="332"/>
  <c r="C21" i="332"/>
  <c r="N20" i="332"/>
  <c r="N40" i="332" s="1"/>
  <c r="I20" i="332"/>
  <c r="H20" i="332"/>
  <c r="G20" i="332"/>
  <c r="G40" i="332" s="1"/>
  <c r="E20" i="332"/>
  <c r="C20" i="332"/>
  <c r="C40" i="332" s="1"/>
  <c r="K19" i="332"/>
  <c r="J19" i="332"/>
  <c r="J600" i="332" s="1"/>
  <c r="K17" i="332"/>
  <c r="K591" i="332" s="1"/>
  <c r="J17" i="332"/>
  <c r="J591" i="332" s="1"/>
  <c r="K16" i="332"/>
  <c r="J16" i="332"/>
  <c r="J589" i="332" s="1"/>
  <c r="K15" i="332"/>
  <c r="J15" i="332"/>
  <c r="J584" i="332" s="1"/>
  <c r="K14" i="332"/>
  <c r="K582" i="332" s="1"/>
  <c r="J14" i="332"/>
  <c r="J582" i="332" s="1"/>
  <c r="K13" i="332"/>
  <c r="J13" i="332"/>
  <c r="J580" i="332" s="1"/>
  <c r="K12" i="332"/>
  <c r="J12" i="332"/>
  <c r="J579" i="332" s="1"/>
  <c r="K11" i="332"/>
  <c r="J11" i="332"/>
  <c r="J575" i="332" s="1"/>
  <c r="K10" i="332"/>
  <c r="J10" i="332"/>
  <c r="J572" i="332" s="1"/>
  <c r="K8" i="332"/>
  <c r="J8" i="332"/>
  <c r="J22" i="332" s="1"/>
  <c r="K7" i="332"/>
  <c r="J7" i="332"/>
  <c r="L7" i="332" s="1"/>
  <c r="M6" i="332"/>
  <c r="F6" i="332"/>
  <c r="E6" i="332"/>
  <c r="E570" i="332" s="1"/>
  <c r="E616" i="332" s="1"/>
  <c r="D6" i="332"/>
  <c r="D570" i="332" s="1"/>
  <c r="D616" i="332" s="1"/>
  <c r="C6" i="332"/>
  <c r="J6" i="332" s="1"/>
  <c r="H635" i="332" l="1"/>
  <c r="D635" i="332"/>
  <c r="C635" i="332"/>
  <c r="D617" i="332"/>
  <c r="D625" i="332" s="1"/>
  <c r="H617" i="332"/>
  <c r="H625" i="332" s="1"/>
  <c r="O576" i="332"/>
  <c r="J91" i="332"/>
  <c r="E617" i="332"/>
  <c r="I617" i="332"/>
  <c r="I625" i="332" s="1"/>
  <c r="I353" i="332"/>
  <c r="I548" i="332" s="1"/>
  <c r="I569" i="332" s="1"/>
  <c r="K91" i="332"/>
  <c r="K145" i="332" s="1"/>
  <c r="I616" i="332"/>
  <c r="I624" i="332" s="1"/>
  <c r="N353" i="332"/>
  <c r="E353" i="332"/>
  <c r="E548" i="332" s="1"/>
  <c r="E569" i="332" s="1"/>
  <c r="D145" i="332"/>
  <c r="H145" i="332"/>
  <c r="C631" i="332"/>
  <c r="M635" i="332"/>
  <c r="O7" i="332"/>
  <c r="L56" i="332"/>
  <c r="O42" i="332"/>
  <c r="O56" i="332" s="1"/>
  <c r="M145" i="332"/>
  <c r="J20" i="332"/>
  <c r="L6" i="332"/>
  <c r="D622" i="332"/>
  <c r="D630" i="332" s="1"/>
  <c r="D624" i="332"/>
  <c r="F145" i="332"/>
  <c r="L76" i="332"/>
  <c r="O62" i="332"/>
  <c r="O76" i="332" s="1"/>
  <c r="L590" i="332"/>
  <c r="O71" i="332"/>
  <c r="O590" i="332" s="1"/>
  <c r="L112" i="332"/>
  <c r="J126" i="332"/>
  <c r="L427" i="332"/>
  <c r="J437" i="332"/>
  <c r="C565" i="332"/>
  <c r="J550" i="332"/>
  <c r="G565" i="332"/>
  <c r="K550" i="332"/>
  <c r="K565" i="332" s="1"/>
  <c r="L566" i="332"/>
  <c r="O551" i="332"/>
  <c r="L574" i="332"/>
  <c r="O556" i="332"/>
  <c r="O574" i="332" s="1"/>
  <c r="L607" i="332"/>
  <c r="O561" i="332"/>
  <c r="O607" i="332" s="1"/>
  <c r="C570" i="332"/>
  <c r="C616" i="332" s="1"/>
  <c r="E624" i="332"/>
  <c r="E622" i="332"/>
  <c r="E630" i="332" s="1"/>
  <c r="K572" i="332"/>
  <c r="K575" i="332"/>
  <c r="K579" i="332"/>
  <c r="K580" i="332"/>
  <c r="K584" i="332"/>
  <c r="K589" i="332"/>
  <c r="K600" i="332"/>
  <c r="D20" i="332"/>
  <c r="D40" i="332" s="1"/>
  <c r="F617" i="332"/>
  <c r="F625" i="332" s="1"/>
  <c r="J21" i="332"/>
  <c r="N617" i="332"/>
  <c r="N625" i="332" s="1"/>
  <c r="E618" i="332"/>
  <c r="I618" i="332"/>
  <c r="I626" i="332" s="1"/>
  <c r="M618" i="332"/>
  <c r="M626" i="332" s="1"/>
  <c r="J24" i="332"/>
  <c r="O25" i="332"/>
  <c r="O38" i="332" s="1"/>
  <c r="O26" i="332"/>
  <c r="O39" i="332" s="1"/>
  <c r="J581" i="332"/>
  <c r="C145" i="332"/>
  <c r="C353" i="332" s="1"/>
  <c r="C548" i="332" s="1"/>
  <c r="C569" i="332" s="1"/>
  <c r="G145" i="332"/>
  <c r="G353" i="332" s="1"/>
  <c r="L75" i="332"/>
  <c r="O61" i="332"/>
  <c r="L79" i="332"/>
  <c r="J92" i="332"/>
  <c r="F107" i="332"/>
  <c r="J95" i="332"/>
  <c r="L109" i="332"/>
  <c r="O97" i="332"/>
  <c r="O109" i="332" s="1"/>
  <c r="J125" i="332"/>
  <c r="K282" i="332"/>
  <c r="K618" i="332" s="1"/>
  <c r="J297" i="332"/>
  <c r="L284" i="332"/>
  <c r="K332" i="332"/>
  <c r="K352" i="332" s="1"/>
  <c r="J351" i="332"/>
  <c r="L338" i="332"/>
  <c r="F371" i="332"/>
  <c r="J355" i="332"/>
  <c r="K490" i="332"/>
  <c r="G570" i="332"/>
  <c r="G616" i="332" s="1"/>
  <c r="G500" i="332"/>
  <c r="J56" i="332"/>
  <c r="F74" i="332"/>
  <c r="J60" i="332"/>
  <c r="L336" i="332"/>
  <c r="J349" i="332"/>
  <c r="J409" i="332"/>
  <c r="L396" i="332"/>
  <c r="F570" i="332"/>
  <c r="F616" i="332" s="1"/>
  <c r="M570" i="332"/>
  <c r="M616" i="332" s="1"/>
  <c r="L8" i="332"/>
  <c r="L10" i="332"/>
  <c r="L11" i="332"/>
  <c r="L12" i="332"/>
  <c r="L13" i="332"/>
  <c r="L14" i="332"/>
  <c r="L15" i="332"/>
  <c r="L16" i="332"/>
  <c r="L17" i="332"/>
  <c r="L19" i="332"/>
  <c r="M20" i="332"/>
  <c r="M40" i="332" s="1"/>
  <c r="C617" i="332"/>
  <c r="C625" i="332" s="1"/>
  <c r="G617" i="332"/>
  <c r="G625" i="332" s="1"/>
  <c r="F618" i="332"/>
  <c r="F626" i="332" s="1"/>
  <c r="N618" i="332"/>
  <c r="N626" i="332" s="1"/>
  <c r="J576" i="332"/>
  <c r="J631" i="332" s="1"/>
  <c r="L108" i="332"/>
  <c r="O96" i="332"/>
  <c r="O108" i="332" s="1"/>
  <c r="J127" i="332"/>
  <c r="L113" i="332"/>
  <c r="F142" i="332"/>
  <c r="J129" i="332"/>
  <c r="L144" i="332"/>
  <c r="O131" i="332"/>
  <c r="O144" i="332" s="1"/>
  <c r="O166" i="332"/>
  <c r="L213" i="332"/>
  <c r="O200" i="332"/>
  <c r="O213" i="332" s="1"/>
  <c r="L245" i="332"/>
  <c r="O234" i="332"/>
  <c r="O245" i="332" s="1"/>
  <c r="L281" i="332"/>
  <c r="O267" i="332"/>
  <c r="O281" i="332" s="1"/>
  <c r="L333" i="332"/>
  <c r="O320" i="332"/>
  <c r="O333" i="332" s="1"/>
  <c r="K410" i="332"/>
  <c r="O412" i="332"/>
  <c r="L459" i="332"/>
  <c r="O442" i="332"/>
  <c r="L592" i="332"/>
  <c r="O451" i="332"/>
  <c r="O592" i="332" s="1"/>
  <c r="O456" i="332"/>
  <c r="K6" i="332"/>
  <c r="L576" i="332"/>
  <c r="F20" i="332"/>
  <c r="F40" i="332" s="1"/>
  <c r="L43" i="332"/>
  <c r="L44" i="332"/>
  <c r="L581" i="332"/>
  <c r="J93" i="332"/>
  <c r="J618" i="332" s="1"/>
  <c r="J626" i="332" s="1"/>
  <c r="L80" i="332"/>
  <c r="L143" i="332"/>
  <c r="O130" i="332"/>
  <c r="O143" i="332" s="1"/>
  <c r="O147" i="332"/>
  <c r="O161" i="332" s="1"/>
  <c r="J161" i="332"/>
  <c r="O301" i="332"/>
  <c r="O315" i="332" s="1"/>
  <c r="F315" i="332"/>
  <c r="J315" i="332"/>
  <c r="J350" i="332"/>
  <c r="L337" i="332"/>
  <c r="L78" i="332"/>
  <c r="L111" i="332"/>
  <c r="L167" i="332"/>
  <c r="L175" i="332"/>
  <c r="L179" i="332" s="1"/>
  <c r="L201" i="332"/>
  <c r="L235" i="332"/>
  <c r="L268" i="332"/>
  <c r="J372" i="332"/>
  <c r="J373" i="332"/>
  <c r="L593" i="332"/>
  <c r="O387" i="332"/>
  <c r="O593" i="332" s="1"/>
  <c r="L458" i="332"/>
  <c r="O441" i="332"/>
  <c r="L578" i="332"/>
  <c r="O446" i="332"/>
  <c r="O578" i="332" s="1"/>
  <c r="O462" i="332"/>
  <c r="O504" i="332"/>
  <c r="D352" i="332"/>
  <c r="H352" i="332"/>
  <c r="H353" i="332" s="1"/>
  <c r="H548" i="332" s="1"/>
  <c r="H569" i="332" s="1"/>
  <c r="J165" i="332"/>
  <c r="J199" i="332"/>
  <c r="J233" i="332"/>
  <c r="J266" i="332"/>
  <c r="F332" i="332"/>
  <c r="F352" i="332" s="1"/>
  <c r="J319" i="332"/>
  <c r="F390" i="332"/>
  <c r="J375" i="332"/>
  <c r="L392" i="332"/>
  <c r="O377" i="332"/>
  <c r="O392" i="332" s="1"/>
  <c r="L395" i="332"/>
  <c r="J408" i="332"/>
  <c r="L413" i="332"/>
  <c r="L416" i="332"/>
  <c r="O416" i="332" s="1"/>
  <c r="L418" i="332"/>
  <c r="O418" i="332" s="1"/>
  <c r="L420" i="332"/>
  <c r="O420" i="332" s="1"/>
  <c r="N570" i="332"/>
  <c r="N616" i="332" s="1"/>
  <c r="N457" i="332"/>
  <c r="N547" i="332" s="1"/>
  <c r="N548" i="332" s="1"/>
  <c r="N569" i="332" s="1"/>
  <c r="L583" i="332"/>
  <c r="O449" i="332"/>
  <c r="O583" i="332" s="1"/>
  <c r="L473" i="332"/>
  <c r="O473" i="332" s="1"/>
  <c r="K476" i="332"/>
  <c r="K515" i="332"/>
  <c r="F544" i="332"/>
  <c r="J531" i="332"/>
  <c r="L546" i="332"/>
  <c r="O533" i="332"/>
  <c r="O546" i="332" s="1"/>
  <c r="M410" i="332"/>
  <c r="L372" i="332"/>
  <c r="L391" i="332"/>
  <c r="O376" i="332"/>
  <c r="J407" i="332"/>
  <c r="F547" i="332"/>
  <c r="L440" i="332"/>
  <c r="J457" i="332"/>
  <c r="K474" i="332"/>
  <c r="J476" i="332"/>
  <c r="L463" i="332"/>
  <c r="L478" i="332"/>
  <c r="J487" i="332"/>
  <c r="O491" i="332"/>
  <c r="O518" i="332"/>
  <c r="O519" i="332"/>
  <c r="J529" i="332"/>
  <c r="L394" i="332"/>
  <c r="L414" i="332"/>
  <c r="J597" i="332"/>
  <c r="J601" i="332"/>
  <c r="C547" i="332"/>
  <c r="G547" i="332"/>
  <c r="L461" i="332"/>
  <c r="K475" i="332"/>
  <c r="K617" i="332" s="1"/>
  <c r="K625" i="332" s="1"/>
  <c r="K487" i="332"/>
  <c r="L484" i="332"/>
  <c r="O484" i="332" s="1"/>
  <c r="O601" i="332" s="1"/>
  <c r="L499" i="332"/>
  <c r="J503" i="332"/>
  <c r="L508" i="332"/>
  <c r="O508" i="332" s="1"/>
  <c r="L512" i="332"/>
  <c r="F515" i="332"/>
  <c r="L525" i="332"/>
  <c r="L545" i="332"/>
  <c r="O532" i="332"/>
  <c r="O545" i="332" s="1"/>
  <c r="L573" i="332"/>
  <c r="O555" i="332"/>
  <c r="O573" i="332" s="1"/>
  <c r="K595" i="332"/>
  <c r="K597" i="332"/>
  <c r="K601" i="332"/>
  <c r="K609" i="332"/>
  <c r="H547" i="332"/>
  <c r="J578" i="332"/>
  <c r="J608" i="332"/>
  <c r="L469" i="332"/>
  <c r="O469" i="332" s="1"/>
  <c r="L483" i="332"/>
  <c r="O483" i="332" s="1"/>
  <c r="J500" i="332"/>
  <c r="L511" i="332"/>
  <c r="O511" i="332" s="1"/>
  <c r="L568" i="332"/>
  <c r="L619" i="332" s="1"/>
  <c r="L627" i="332" s="1"/>
  <c r="O553" i="332"/>
  <c r="L585" i="332"/>
  <c r="O558" i="332"/>
  <c r="O585" i="332" s="1"/>
  <c r="L614" i="332"/>
  <c r="L633" i="332" s="1"/>
  <c r="O564" i="332"/>
  <c r="O614" i="332" s="1"/>
  <c r="O633" i="332" s="1"/>
  <c r="L602" i="332"/>
  <c r="K608" i="332"/>
  <c r="L468" i="332"/>
  <c r="O468" i="332" s="1"/>
  <c r="L482" i="332"/>
  <c r="O482" i="332" s="1"/>
  <c r="O597" i="332" s="1"/>
  <c r="L486" i="332"/>
  <c r="O486" i="332" s="1"/>
  <c r="O609" i="332" s="1"/>
  <c r="L603" i="332"/>
  <c r="O497" i="332"/>
  <c r="O603" i="332" s="1"/>
  <c r="L506" i="332"/>
  <c r="O506" i="332" s="1"/>
  <c r="O595" i="332" s="1"/>
  <c r="L510" i="332"/>
  <c r="O510" i="332" s="1"/>
  <c r="L514" i="332"/>
  <c r="O514" i="332" s="1"/>
  <c r="J528" i="332"/>
  <c r="L612" i="332"/>
  <c r="O527" i="332"/>
  <c r="O612" i="332" s="1"/>
  <c r="L567" i="332"/>
  <c r="O552" i="332"/>
  <c r="O567" i="332" s="1"/>
  <c r="L610" i="332"/>
  <c r="O562" i="332"/>
  <c r="O610" i="332" s="1"/>
  <c r="L479" i="332"/>
  <c r="J516" i="332"/>
  <c r="H570" i="332"/>
  <c r="H616" i="332" s="1"/>
  <c r="F635" i="332"/>
  <c r="G635" i="332"/>
  <c r="L470" i="332"/>
  <c r="K611" i="332"/>
  <c r="L507" i="332"/>
  <c r="L513" i="332"/>
  <c r="E631" i="332"/>
  <c r="E635" i="332" s="1"/>
  <c r="I631" i="332"/>
  <c r="I635" i="332" s="1"/>
  <c r="N631" i="332"/>
  <c r="N635" i="332" s="1"/>
  <c r="I622" i="332"/>
  <c r="I630" i="332" s="1"/>
  <c r="M353" i="332" l="1"/>
  <c r="M548" i="332" s="1"/>
  <c r="M569" i="332" s="1"/>
  <c r="H622" i="332"/>
  <c r="H630" i="332" s="1"/>
  <c r="H624" i="332"/>
  <c r="L425" i="332"/>
  <c r="O414" i="332"/>
  <c r="O425" i="332" s="1"/>
  <c r="O501" i="332"/>
  <c r="L531" i="332"/>
  <c r="J544" i="332"/>
  <c r="L516" i="332"/>
  <c r="J352" i="332"/>
  <c r="L129" i="332"/>
  <c r="J142" i="332"/>
  <c r="F624" i="332"/>
  <c r="F622" i="332"/>
  <c r="F630" i="332" s="1"/>
  <c r="K500" i="332"/>
  <c r="K547" i="332" s="1"/>
  <c r="L490" i="332"/>
  <c r="L92" i="332"/>
  <c r="O79" i="332"/>
  <c r="O92" i="332" s="1"/>
  <c r="L24" i="332"/>
  <c r="J37" i="332"/>
  <c r="L601" i="332"/>
  <c r="O394" i="332"/>
  <c r="O407" i="332" s="1"/>
  <c r="L407" i="332"/>
  <c r="O528" i="332"/>
  <c r="L375" i="332"/>
  <c r="J390" i="332"/>
  <c r="J280" i="332"/>
  <c r="L266" i="332"/>
  <c r="L475" i="332"/>
  <c r="O458" i="332"/>
  <c r="L246" i="332"/>
  <c r="O235" i="332"/>
  <c r="O246" i="332" s="1"/>
  <c r="O111" i="332"/>
  <c r="O125" i="332" s="1"/>
  <c r="L125" i="332"/>
  <c r="O44" i="332"/>
  <c r="O58" i="332" s="1"/>
  <c r="L58" i="332"/>
  <c r="L600" i="332"/>
  <c r="O19" i="332"/>
  <c r="O600" i="332" s="1"/>
  <c r="L582" i="332"/>
  <c r="O14" i="332"/>
  <c r="O582" i="332" s="1"/>
  <c r="L572" i="332"/>
  <c r="O10" i="332"/>
  <c r="O572" i="332" s="1"/>
  <c r="O396" i="332"/>
  <c r="O409" i="332" s="1"/>
  <c r="L409" i="332"/>
  <c r="L355" i="332"/>
  <c r="J371" i="332"/>
  <c r="J410" i="332" s="1"/>
  <c r="L95" i="332"/>
  <c r="J107" i="332"/>
  <c r="O75" i="332"/>
  <c r="J617" i="332"/>
  <c r="J625" i="332" s="1"/>
  <c r="C624" i="332"/>
  <c r="C622" i="332"/>
  <c r="C630" i="332" s="1"/>
  <c r="L437" i="332"/>
  <c r="O427" i="332"/>
  <c r="O437" i="332" s="1"/>
  <c r="J40" i="332"/>
  <c r="J353" i="332" s="1"/>
  <c r="L596" i="332"/>
  <c r="O507" i="332"/>
  <c r="O596" i="332" s="1"/>
  <c r="L424" i="332"/>
  <c r="O413" i="332"/>
  <c r="O424" i="332" s="1"/>
  <c r="L282" i="332"/>
  <c r="O268" i="332"/>
  <c r="O282" i="332" s="1"/>
  <c r="L180" i="332"/>
  <c r="O167" i="332"/>
  <c r="O180" i="332" s="1"/>
  <c r="F353" i="332"/>
  <c r="L584" i="332"/>
  <c r="O15" i="332"/>
  <c r="O584" i="332" s="1"/>
  <c r="L575" i="332"/>
  <c r="O11" i="332"/>
  <c r="O575" i="332" s="1"/>
  <c r="L349" i="332"/>
  <c r="O336" i="332"/>
  <c r="O349" i="332" s="1"/>
  <c r="O6" i="332"/>
  <c r="L20" i="332"/>
  <c r="L588" i="332"/>
  <c r="O470" i="332"/>
  <c r="O588" i="332" s="1"/>
  <c r="L488" i="332"/>
  <c r="O479" i="332"/>
  <c r="O488" i="332" s="1"/>
  <c r="L597" i="332"/>
  <c r="L604" i="332"/>
  <c r="O525" i="332"/>
  <c r="O604" i="332" s="1"/>
  <c r="L503" i="332"/>
  <c r="J515" i="332"/>
  <c r="J547" i="332" s="1"/>
  <c r="L528" i="332"/>
  <c r="L487" i="332"/>
  <c r="O478" i="332"/>
  <c r="O487" i="332" s="1"/>
  <c r="O391" i="332"/>
  <c r="L408" i="332"/>
  <c r="O395" i="332"/>
  <c r="O408" i="332" s="1"/>
  <c r="J244" i="332"/>
  <c r="L233" i="332"/>
  <c r="O475" i="332"/>
  <c r="L214" i="332"/>
  <c r="O201" i="332"/>
  <c r="O214" i="332" s="1"/>
  <c r="O78" i="332"/>
  <c r="O91" i="332" s="1"/>
  <c r="L91" i="332"/>
  <c r="O80" i="332"/>
  <c r="O93" i="332" s="1"/>
  <c r="L93" i="332"/>
  <c r="L57" i="332"/>
  <c r="O43" i="332"/>
  <c r="O57" i="332" s="1"/>
  <c r="K570" i="332"/>
  <c r="K616" i="332" s="1"/>
  <c r="K20" i="332"/>
  <c r="K40" i="332" s="1"/>
  <c r="K353" i="332" s="1"/>
  <c r="L423" i="332"/>
  <c r="O113" i="332"/>
  <c r="O127" i="332" s="1"/>
  <c r="L127" i="332"/>
  <c r="L591" i="332"/>
  <c r="O17" i="332"/>
  <c r="O591" i="332" s="1"/>
  <c r="L580" i="332"/>
  <c r="O13" i="332"/>
  <c r="O580" i="332" s="1"/>
  <c r="O8" i="332"/>
  <c r="O22" i="332" s="1"/>
  <c r="L22" i="332"/>
  <c r="L618" i="332" s="1"/>
  <c r="L626" i="332" s="1"/>
  <c r="L60" i="332"/>
  <c r="J74" i="332"/>
  <c r="F410" i="332"/>
  <c r="L297" i="332"/>
  <c r="O284" i="332"/>
  <c r="O297" i="332" s="1"/>
  <c r="K631" i="332"/>
  <c r="K635" i="332" s="1"/>
  <c r="O566" i="332"/>
  <c r="L550" i="332"/>
  <c r="J565" i="332"/>
  <c r="J570" i="332"/>
  <c r="J616" i="332" s="1"/>
  <c r="L21" i="332"/>
  <c r="L617" i="332" s="1"/>
  <c r="L625" i="332" s="1"/>
  <c r="O568" i="332"/>
  <c r="O619" i="332" s="1"/>
  <c r="O627" i="332" s="1"/>
  <c r="L606" i="332"/>
  <c r="O512" i="332"/>
  <c r="O606" i="332" s="1"/>
  <c r="N624" i="332"/>
  <c r="N622" i="332"/>
  <c r="N630" i="332" s="1"/>
  <c r="J178" i="332"/>
  <c r="L165" i="332"/>
  <c r="L608" i="332"/>
  <c r="J145" i="332"/>
  <c r="G548" i="332"/>
  <c r="G569" i="332" s="1"/>
  <c r="L605" i="332"/>
  <c r="O513" i="332"/>
  <c r="O605" i="332" s="1"/>
  <c r="L609" i="332"/>
  <c r="L595" i="332"/>
  <c r="L611" i="332"/>
  <c r="O499" i="332"/>
  <c r="O611" i="332" s="1"/>
  <c r="O461" i="332"/>
  <c r="L474" i="332"/>
  <c r="J635" i="332"/>
  <c r="L529" i="332"/>
  <c r="L501" i="332"/>
  <c r="L476" i="332"/>
  <c r="O463" i="332"/>
  <c r="O476" i="332" s="1"/>
  <c r="L457" i="332"/>
  <c r="O440" i="332"/>
  <c r="O457" i="332" s="1"/>
  <c r="J332" i="332"/>
  <c r="L319" i="332"/>
  <c r="L570" i="332" s="1"/>
  <c r="J212" i="332"/>
  <c r="L199" i="332"/>
  <c r="L587" i="332"/>
  <c r="O175" i="332"/>
  <c r="O587" i="332" s="1"/>
  <c r="O337" i="332"/>
  <c r="O350" i="332" s="1"/>
  <c r="L350" i="332"/>
  <c r="O608" i="332"/>
  <c r="O459" i="332"/>
  <c r="O423" i="332"/>
  <c r="L589" i="332"/>
  <c r="O16" i="332"/>
  <c r="O589" i="332" s="1"/>
  <c r="L579" i="332"/>
  <c r="O12" i="332"/>
  <c r="O579" i="332" s="1"/>
  <c r="M624" i="332"/>
  <c r="M622" i="332"/>
  <c r="M630" i="332" s="1"/>
  <c r="G624" i="332"/>
  <c r="G622" i="332"/>
  <c r="G630" i="332" s="1"/>
  <c r="O338" i="332"/>
  <c r="O351" i="332" s="1"/>
  <c r="L351" i="332"/>
  <c r="D353" i="332"/>
  <c r="D548" i="332" s="1"/>
  <c r="D569" i="332" s="1"/>
  <c r="L126" i="332"/>
  <c r="O112" i="332"/>
  <c r="O126" i="332" s="1"/>
  <c r="L616" i="332" l="1"/>
  <c r="L622" i="332"/>
  <c r="L630" i="332" s="1"/>
  <c r="L624" i="332"/>
  <c r="J548" i="332"/>
  <c r="J569" i="332" s="1"/>
  <c r="O516" i="332"/>
  <c r="O165" i="332"/>
  <c r="O178" i="332" s="1"/>
  <c r="O352" i="332" s="1"/>
  <c r="L178" i="332"/>
  <c r="O233" i="332"/>
  <c r="O244" i="332" s="1"/>
  <c r="L244" i="332"/>
  <c r="O631" i="332"/>
  <c r="O635" i="332" s="1"/>
  <c r="O319" i="332"/>
  <c r="O332" i="332" s="1"/>
  <c r="L332" i="332"/>
  <c r="L565" i="332"/>
  <c r="O550" i="332"/>
  <c r="O565" i="332" s="1"/>
  <c r="L107" i="332"/>
  <c r="O95" i="332"/>
  <c r="O107" i="332" s="1"/>
  <c r="O199" i="332"/>
  <c r="O212" i="332" s="1"/>
  <c r="L212" i="332"/>
  <c r="O474" i="332"/>
  <c r="O547" i="332" s="1"/>
  <c r="J624" i="332"/>
  <c r="J622" i="332"/>
  <c r="J630" i="332" s="1"/>
  <c r="K548" i="332"/>
  <c r="K569" i="332" s="1"/>
  <c r="O503" i="332"/>
  <c r="O515" i="332" s="1"/>
  <c r="L515" i="332"/>
  <c r="O529" i="332"/>
  <c r="O618" i="332" s="1"/>
  <c r="O626" i="332" s="1"/>
  <c r="O21" i="332"/>
  <c r="L371" i="332"/>
  <c r="O355" i="332"/>
  <c r="O371" i="332" s="1"/>
  <c r="O410" i="332" s="1"/>
  <c r="L631" i="332"/>
  <c r="L500" i="332"/>
  <c r="O490" i="332"/>
  <c r="O500" i="332" s="1"/>
  <c r="O266" i="332"/>
  <c r="O280" i="332" s="1"/>
  <c r="L280" i="332"/>
  <c r="O179" i="332"/>
  <c r="L74" i="332"/>
  <c r="O60" i="332"/>
  <c r="O74" i="332" s="1"/>
  <c r="K624" i="332"/>
  <c r="K622" i="332"/>
  <c r="K630" i="332" s="1"/>
  <c r="O20" i="332"/>
  <c r="O40" i="332" s="1"/>
  <c r="F548" i="332"/>
  <c r="F569" i="332" s="1"/>
  <c r="L390" i="332"/>
  <c r="O375" i="332"/>
  <c r="O390" i="332" s="1"/>
  <c r="L37" i="332"/>
  <c r="L40" i="332" s="1"/>
  <c r="O24" i="332"/>
  <c r="O37" i="332" s="1"/>
  <c r="L142" i="332"/>
  <c r="O129" i="332"/>
  <c r="O142" i="332" s="1"/>
  <c r="L544" i="332"/>
  <c r="L547" i="332" s="1"/>
  <c r="O531" i="332"/>
  <c r="O544" i="332" s="1"/>
  <c r="L145" i="332" l="1"/>
  <c r="O570" i="332"/>
  <c r="O616" i="332" s="1"/>
  <c r="O145" i="332"/>
  <c r="O353" i="332" s="1"/>
  <c r="O548" i="332" s="1"/>
  <c r="O569" i="332" s="1"/>
  <c r="O617" i="332"/>
  <c r="L635" i="332"/>
  <c r="L410" i="332"/>
  <c r="L352" i="332"/>
  <c r="L353" i="332" s="1"/>
  <c r="L548" i="332" s="1"/>
  <c r="L569" i="332" s="1"/>
  <c r="O624" i="332" l="1"/>
  <c r="O622" i="332"/>
  <c r="O630" i="332" s="1"/>
  <c r="O625" i="332"/>
  <c r="E44" i="331" l="1"/>
  <c r="G44" i="331" s="1"/>
  <c r="F42" i="331"/>
  <c r="D42" i="331"/>
  <c r="B42" i="331"/>
  <c r="G41" i="331"/>
  <c r="E41" i="331"/>
  <c r="E40" i="331"/>
  <c r="G40" i="331" s="1"/>
  <c r="G39" i="331"/>
  <c r="E39" i="331"/>
  <c r="E38" i="331"/>
  <c r="G38" i="331" s="1"/>
  <c r="E37" i="331"/>
  <c r="G37" i="331" s="1"/>
  <c r="C36" i="331"/>
  <c r="C42" i="331" s="1"/>
  <c r="B36" i="331"/>
  <c r="E35" i="331"/>
  <c r="G35" i="331" s="1"/>
  <c r="G34" i="331"/>
  <c r="E34" i="331"/>
  <c r="E33" i="331"/>
  <c r="G33" i="331" s="1"/>
  <c r="F32" i="331"/>
  <c r="D32" i="331"/>
  <c r="E32" i="331" s="1"/>
  <c r="C32" i="331"/>
  <c r="B32" i="331"/>
  <c r="E31" i="331"/>
  <c r="G31" i="331" s="1"/>
  <c r="E30" i="331"/>
  <c r="E29" i="331"/>
  <c r="G29" i="331" s="1"/>
  <c r="F27" i="331"/>
  <c r="D27" i="331"/>
  <c r="C27" i="331"/>
  <c r="B27" i="331"/>
  <c r="E26" i="331"/>
  <c r="G26" i="331" s="1"/>
  <c r="E25" i="331"/>
  <c r="G25" i="331" s="1"/>
  <c r="E24" i="331"/>
  <c r="G24" i="331" s="1"/>
  <c r="E23" i="331"/>
  <c r="G23" i="331" s="1"/>
  <c r="E22" i="331"/>
  <c r="G22" i="331" s="1"/>
  <c r="E21" i="331"/>
  <c r="G21" i="331" s="1"/>
  <c r="E20" i="331"/>
  <c r="G20" i="331" s="1"/>
  <c r="E19" i="331"/>
  <c r="G19" i="331" s="1"/>
  <c r="E18" i="331"/>
  <c r="G18" i="331" s="1"/>
  <c r="E17" i="331"/>
  <c r="G17" i="331" s="1"/>
  <c r="E16" i="331"/>
  <c r="G16" i="331" s="1"/>
  <c r="E15" i="331"/>
  <c r="G15" i="331" s="1"/>
  <c r="F14" i="331"/>
  <c r="D14" i="331"/>
  <c r="C14" i="331"/>
  <c r="C28" i="331" s="1"/>
  <c r="B14" i="331"/>
  <c r="E13" i="331"/>
  <c r="G13" i="331" s="1"/>
  <c r="E12" i="331"/>
  <c r="G12" i="331" s="1"/>
  <c r="E11" i="331"/>
  <c r="G11" i="331" s="1"/>
  <c r="E10" i="331"/>
  <c r="G10" i="331" s="1"/>
  <c r="E9" i="331"/>
  <c r="G9" i="331" s="1"/>
  <c r="E8" i="331"/>
  <c r="G8" i="331" s="1"/>
  <c r="F7" i="331"/>
  <c r="D7" i="331"/>
  <c r="E7" i="331" s="1"/>
  <c r="C7" i="331"/>
  <c r="B7" i="331"/>
  <c r="E6" i="331"/>
  <c r="G6" i="331" s="1"/>
  <c r="E5" i="331"/>
  <c r="G5" i="331" s="1"/>
  <c r="E14" i="331" l="1"/>
  <c r="D28" i="331"/>
  <c r="E28" i="331" s="1"/>
  <c r="F28" i="331"/>
  <c r="F43" i="331" s="1"/>
  <c r="F45" i="331" s="1"/>
  <c r="G7" i="331"/>
  <c r="B28" i="331"/>
  <c r="G27" i="331"/>
  <c r="G32" i="331"/>
  <c r="C43" i="331"/>
  <c r="C45" i="331" s="1"/>
  <c r="E42" i="331"/>
  <c r="B43" i="331"/>
  <c r="B45" i="331" s="1"/>
  <c r="G14" i="331"/>
  <c r="G28" i="331" s="1"/>
  <c r="E27" i="331"/>
  <c r="E36" i="331"/>
  <c r="G36" i="331" s="1"/>
  <c r="G42" i="331" s="1"/>
  <c r="D43" i="331"/>
  <c r="E43" i="331" l="1"/>
  <c r="D45" i="331"/>
  <c r="E45" i="331" s="1"/>
  <c r="G43" i="331"/>
  <c r="G45" i="331" s="1"/>
  <c r="K40" i="239" l="1"/>
  <c r="AI40" i="239" s="1"/>
  <c r="L40" i="239"/>
  <c r="AJ40" i="239" s="1"/>
  <c r="M40" i="239"/>
  <c r="J40" i="239"/>
  <c r="F40" i="239"/>
  <c r="AK40" i="239"/>
  <c r="AE40" i="239"/>
  <c r="AH40" i="239" s="1"/>
  <c r="AF40" i="239"/>
  <c r="AG40" i="239"/>
  <c r="AA40" i="239"/>
  <c r="AD40" i="239" s="1"/>
  <c r="AB40" i="239"/>
  <c r="AC40" i="239"/>
  <c r="Z40" i="239"/>
  <c r="V40" i="239"/>
  <c r="R40" i="239"/>
  <c r="I40" i="261"/>
  <c r="J40" i="261"/>
  <c r="K40" i="261"/>
  <c r="H40" i="261"/>
  <c r="D40" i="261"/>
  <c r="E40" i="261" s="1"/>
  <c r="AL40" i="239" l="1"/>
  <c r="N40" i="239"/>
  <c r="L187" i="317" l="1"/>
  <c r="E187" i="317"/>
  <c r="H187" i="317" s="1"/>
  <c r="P187" i="317" s="1"/>
  <c r="H188" i="317"/>
  <c r="L188" i="317"/>
  <c r="G90" i="318"/>
  <c r="D90" i="318"/>
  <c r="G88" i="318"/>
  <c r="D88" i="318"/>
  <c r="P426" i="317"/>
  <c r="P188" i="317" l="1"/>
  <c r="B33" i="322" l="1"/>
  <c r="C33" i="322"/>
  <c r="D33" i="322"/>
  <c r="E33" i="322"/>
  <c r="F33" i="322"/>
  <c r="G33" i="322"/>
  <c r="G646" i="329" l="1"/>
  <c r="H640" i="329"/>
  <c r="H650" i="329" s="1"/>
  <c r="I633" i="329"/>
  <c r="I640" i="329" s="1"/>
  <c r="I650" i="329" s="1"/>
  <c r="N628" i="329"/>
  <c r="K628" i="329"/>
  <c r="J628" i="329"/>
  <c r="I628" i="329"/>
  <c r="G628" i="329"/>
  <c r="F628" i="329"/>
  <c r="E628" i="329"/>
  <c r="D628" i="329"/>
  <c r="C628" i="329"/>
  <c r="N627" i="329"/>
  <c r="K627" i="329"/>
  <c r="K646" i="329" s="1"/>
  <c r="J627" i="329"/>
  <c r="J646" i="329" s="1"/>
  <c r="I627" i="329"/>
  <c r="I646" i="329" s="1"/>
  <c r="G627" i="329"/>
  <c r="F627" i="329"/>
  <c r="E627" i="329"/>
  <c r="E646" i="329" s="1"/>
  <c r="D627" i="329"/>
  <c r="D646" i="329" s="1"/>
  <c r="C627" i="329"/>
  <c r="C646" i="329" s="1"/>
  <c r="N625" i="329"/>
  <c r="K625" i="329"/>
  <c r="J625" i="329"/>
  <c r="I625" i="329"/>
  <c r="G625" i="329"/>
  <c r="F625" i="329"/>
  <c r="E625" i="329"/>
  <c r="D625" i="329"/>
  <c r="C625" i="329"/>
  <c r="N624" i="329"/>
  <c r="K624" i="329"/>
  <c r="J624" i="329"/>
  <c r="I624" i="329"/>
  <c r="G624" i="329"/>
  <c r="F624" i="329"/>
  <c r="E624" i="329"/>
  <c r="D624" i="329"/>
  <c r="C624" i="329"/>
  <c r="N623" i="329"/>
  <c r="K623" i="329"/>
  <c r="J623" i="329"/>
  <c r="I623" i="329"/>
  <c r="G623" i="329"/>
  <c r="F623" i="329"/>
  <c r="E623" i="329"/>
  <c r="D623" i="329"/>
  <c r="C623" i="329"/>
  <c r="N622" i="329"/>
  <c r="K622" i="329"/>
  <c r="J622" i="329"/>
  <c r="I622" i="329"/>
  <c r="G622" i="329"/>
  <c r="F622" i="329"/>
  <c r="E622" i="329"/>
  <c r="D622" i="329"/>
  <c r="C622" i="329"/>
  <c r="N621" i="329"/>
  <c r="K621" i="329"/>
  <c r="J621" i="329"/>
  <c r="I621" i="329"/>
  <c r="G621" i="329"/>
  <c r="F621" i="329"/>
  <c r="E621" i="329"/>
  <c r="D621" i="329"/>
  <c r="C621" i="329"/>
  <c r="N620" i="329"/>
  <c r="K620" i="329"/>
  <c r="J620" i="329"/>
  <c r="I620" i="329"/>
  <c r="G620" i="329"/>
  <c r="F620" i="329"/>
  <c r="E620" i="329"/>
  <c r="D620" i="329"/>
  <c r="C620" i="329"/>
  <c r="N619" i="329"/>
  <c r="K619" i="329"/>
  <c r="J619" i="329"/>
  <c r="I619" i="329"/>
  <c r="G619" i="329"/>
  <c r="F619" i="329"/>
  <c r="E619" i="329"/>
  <c r="D619" i="329"/>
  <c r="C619" i="329"/>
  <c r="N618" i="329"/>
  <c r="K618" i="329"/>
  <c r="J618" i="329"/>
  <c r="I618" i="329"/>
  <c r="G618" i="329"/>
  <c r="F618" i="329"/>
  <c r="E618" i="329"/>
  <c r="D618" i="329"/>
  <c r="C618" i="329"/>
  <c r="N617" i="329"/>
  <c r="K617" i="329"/>
  <c r="J617" i="329"/>
  <c r="I617" i="329"/>
  <c r="G617" i="329"/>
  <c r="F617" i="329"/>
  <c r="E617" i="329"/>
  <c r="D617" i="329"/>
  <c r="C617" i="329"/>
  <c r="N616" i="329"/>
  <c r="K616" i="329"/>
  <c r="J616" i="329"/>
  <c r="I616" i="329"/>
  <c r="G616" i="329"/>
  <c r="F616" i="329"/>
  <c r="E616" i="329"/>
  <c r="D616" i="329"/>
  <c r="C616" i="329"/>
  <c r="N615" i="329"/>
  <c r="K615" i="329"/>
  <c r="J615" i="329"/>
  <c r="I615" i="329"/>
  <c r="G615" i="329"/>
  <c r="F615" i="329"/>
  <c r="E615" i="329"/>
  <c r="D615" i="329"/>
  <c r="C615" i="329"/>
  <c r="N614" i="329"/>
  <c r="K614" i="329"/>
  <c r="J614" i="329"/>
  <c r="I614" i="329"/>
  <c r="G614" i="329"/>
  <c r="F614" i="329"/>
  <c r="E614" i="329"/>
  <c r="D614" i="329"/>
  <c r="C614" i="329"/>
  <c r="N613" i="329"/>
  <c r="L613" i="329"/>
  <c r="K613" i="329"/>
  <c r="J613" i="329"/>
  <c r="I613" i="329"/>
  <c r="H613" i="329"/>
  <c r="G613" i="329"/>
  <c r="F613" i="329"/>
  <c r="E613" i="329"/>
  <c r="D613" i="329"/>
  <c r="D645" i="329" s="1"/>
  <c r="C613" i="329"/>
  <c r="N612" i="329"/>
  <c r="K612" i="329"/>
  <c r="J612" i="329"/>
  <c r="I612" i="329"/>
  <c r="G612" i="329"/>
  <c r="F612" i="329"/>
  <c r="E612" i="329"/>
  <c r="D612" i="329"/>
  <c r="C612" i="329"/>
  <c r="N611" i="329"/>
  <c r="K611" i="329"/>
  <c r="J611" i="329"/>
  <c r="I611" i="329"/>
  <c r="G611" i="329"/>
  <c r="F611" i="329"/>
  <c r="E611" i="329"/>
  <c r="D611" i="329"/>
  <c r="C611" i="329"/>
  <c r="N610" i="329"/>
  <c r="K610" i="329"/>
  <c r="J610" i="329"/>
  <c r="I610" i="329"/>
  <c r="G610" i="329"/>
  <c r="F610" i="329"/>
  <c r="E610" i="329"/>
  <c r="D610" i="329"/>
  <c r="C610" i="329"/>
  <c r="N609" i="329"/>
  <c r="K609" i="329"/>
  <c r="K645" i="329" s="1"/>
  <c r="J609" i="329"/>
  <c r="J645" i="329" s="1"/>
  <c r="I609" i="329"/>
  <c r="G609" i="329"/>
  <c r="F609" i="329"/>
  <c r="F645" i="329" s="1"/>
  <c r="E609" i="329"/>
  <c r="D609" i="329"/>
  <c r="C609" i="329"/>
  <c r="N607" i="329"/>
  <c r="K607" i="329"/>
  <c r="J607" i="329"/>
  <c r="I607" i="329"/>
  <c r="G607" i="329"/>
  <c r="F607" i="329"/>
  <c r="E607" i="329"/>
  <c r="D607" i="329"/>
  <c r="C607" i="329"/>
  <c r="N606" i="329"/>
  <c r="K606" i="329"/>
  <c r="J606" i="329"/>
  <c r="I606" i="329"/>
  <c r="G606" i="329"/>
  <c r="F606" i="329"/>
  <c r="E606" i="329"/>
  <c r="D606" i="329"/>
  <c r="C606" i="329"/>
  <c r="N605" i="329"/>
  <c r="K605" i="329"/>
  <c r="J605" i="329"/>
  <c r="I605" i="329"/>
  <c r="G605" i="329"/>
  <c r="F605" i="329"/>
  <c r="E605" i="329"/>
  <c r="D605" i="329"/>
  <c r="C605" i="329"/>
  <c r="N604" i="329"/>
  <c r="K604" i="329"/>
  <c r="J604" i="329"/>
  <c r="I604" i="329"/>
  <c r="G604" i="329"/>
  <c r="F604" i="329"/>
  <c r="E604" i="329"/>
  <c r="D604" i="329"/>
  <c r="C604" i="329"/>
  <c r="N603" i="329"/>
  <c r="K603" i="329"/>
  <c r="J603" i="329"/>
  <c r="I603" i="329"/>
  <c r="G603" i="329"/>
  <c r="F603" i="329"/>
  <c r="E603" i="329"/>
  <c r="D603" i="329"/>
  <c r="C603" i="329"/>
  <c r="N602" i="329"/>
  <c r="K602" i="329"/>
  <c r="J602" i="329"/>
  <c r="I602" i="329"/>
  <c r="G602" i="329"/>
  <c r="F602" i="329"/>
  <c r="E602" i="329"/>
  <c r="D602" i="329"/>
  <c r="C602" i="329"/>
  <c r="N601" i="329"/>
  <c r="K601" i="329"/>
  <c r="J601" i="329"/>
  <c r="I601" i="329"/>
  <c r="G601" i="329"/>
  <c r="F601" i="329"/>
  <c r="E601" i="329"/>
  <c r="D601" i="329"/>
  <c r="C601" i="329"/>
  <c r="N600" i="329"/>
  <c r="K600" i="329"/>
  <c r="J600" i="329"/>
  <c r="I600" i="329"/>
  <c r="G600" i="329"/>
  <c r="F600" i="329"/>
  <c r="E600" i="329"/>
  <c r="D600" i="329"/>
  <c r="C600" i="329"/>
  <c r="N599" i="329"/>
  <c r="K599" i="329"/>
  <c r="J599" i="329"/>
  <c r="I599" i="329"/>
  <c r="G599" i="329"/>
  <c r="F599" i="329"/>
  <c r="E599" i="329"/>
  <c r="D599" i="329"/>
  <c r="C599" i="329"/>
  <c r="N598" i="329"/>
  <c r="K598" i="329"/>
  <c r="J598" i="329"/>
  <c r="I598" i="329"/>
  <c r="H598" i="329"/>
  <c r="G598" i="329"/>
  <c r="F598" i="329"/>
  <c r="E598" i="329"/>
  <c r="D598" i="329"/>
  <c r="C598" i="329"/>
  <c r="N597" i="329"/>
  <c r="K597" i="329"/>
  <c r="J597" i="329"/>
  <c r="I597" i="329"/>
  <c r="G597" i="329"/>
  <c r="F597" i="329"/>
  <c r="E597" i="329"/>
  <c r="D597" i="329"/>
  <c r="C597" i="329"/>
  <c r="N596" i="329"/>
  <c r="K596" i="329"/>
  <c r="J596" i="329"/>
  <c r="I596" i="329"/>
  <c r="G596" i="329"/>
  <c r="F596" i="329"/>
  <c r="E596" i="329"/>
  <c r="D596" i="329"/>
  <c r="C596" i="329"/>
  <c r="N595" i="329"/>
  <c r="K595" i="329"/>
  <c r="J595" i="329"/>
  <c r="I595" i="329"/>
  <c r="G595" i="329"/>
  <c r="F595" i="329"/>
  <c r="E595" i="329"/>
  <c r="D595" i="329"/>
  <c r="C595" i="329"/>
  <c r="N594" i="329"/>
  <c r="K594" i="329"/>
  <c r="J594" i="329"/>
  <c r="I594" i="329"/>
  <c r="G594" i="329"/>
  <c r="F594" i="329"/>
  <c r="E594" i="329"/>
  <c r="D594" i="329"/>
  <c r="C594" i="329"/>
  <c r="N593" i="329"/>
  <c r="K593" i="329"/>
  <c r="J593" i="329"/>
  <c r="I593" i="329"/>
  <c r="G593" i="329"/>
  <c r="F593" i="329"/>
  <c r="E593" i="329"/>
  <c r="D593" i="329"/>
  <c r="C593" i="329"/>
  <c r="N592" i="329"/>
  <c r="K592" i="329"/>
  <c r="J592" i="329"/>
  <c r="I592" i="329"/>
  <c r="G592" i="329"/>
  <c r="F592" i="329"/>
  <c r="E592" i="329"/>
  <c r="D592" i="329"/>
  <c r="C592" i="329"/>
  <c r="N591" i="329"/>
  <c r="K591" i="329"/>
  <c r="J591" i="329"/>
  <c r="I591" i="329"/>
  <c r="G591" i="329"/>
  <c r="F591" i="329"/>
  <c r="E591" i="329"/>
  <c r="D591" i="329"/>
  <c r="C591" i="329"/>
  <c r="N590" i="329"/>
  <c r="L590" i="329"/>
  <c r="K590" i="329"/>
  <c r="J590" i="329"/>
  <c r="I590" i="329"/>
  <c r="H590" i="329"/>
  <c r="G590" i="329"/>
  <c r="F590" i="329"/>
  <c r="E590" i="329"/>
  <c r="D590" i="329"/>
  <c r="C590" i="329"/>
  <c r="N589" i="329"/>
  <c r="K589" i="329"/>
  <c r="J589" i="329"/>
  <c r="I589" i="329"/>
  <c r="G589" i="329"/>
  <c r="F589" i="329"/>
  <c r="E589" i="329"/>
  <c r="D589" i="329"/>
  <c r="C589" i="329"/>
  <c r="N588" i="329"/>
  <c r="K588" i="329"/>
  <c r="J588" i="329"/>
  <c r="I588" i="329"/>
  <c r="G588" i="329"/>
  <c r="F588" i="329"/>
  <c r="E588" i="329"/>
  <c r="D588" i="329"/>
  <c r="C588" i="329"/>
  <c r="N587" i="329"/>
  <c r="K587" i="329"/>
  <c r="J587" i="329"/>
  <c r="I587" i="329"/>
  <c r="G587" i="329"/>
  <c r="F587" i="329"/>
  <c r="E587" i="329"/>
  <c r="D587" i="329"/>
  <c r="C587" i="329"/>
  <c r="N586" i="329"/>
  <c r="K586" i="329"/>
  <c r="J586" i="329"/>
  <c r="I586" i="329"/>
  <c r="H586" i="329"/>
  <c r="G586" i="329"/>
  <c r="F586" i="329"/>
  <c r="E586" i="329"/>
  <c r="D586" i="329"/>
  <c r="C586" i="329"/>
  <c r="N585" i="329"/>
  <c r="K585" i="329"/>
  <c r="J585" i="329"/>
  <c r="I585" i="329"/>
  <c r="G585" i="329"/>
  <c r="F585" i="329"/>
  <c r="E585" i="329"/>
  <c r="D585" i="329"/>
  <c r="C585" i="329"/>
  <c r="N583" i="329"/>
  <c r="G583" i="329"/>
  <c r="F583" i="329"/>
  <c r="N581" i="329"/>
  <c r="N633" i="329" s="1"/>
  <c r="N640" i="329" s="1"/>
  <c r="K581" i="329"/>
  <c r="K633" i="329" s="1"/>
  <c r="K640" i="329" s="1"/>
  <c r="J581" i="329"/>
  <c r="J633" i="329" s="1"/>
  <c r="J640" i="329" s="1"/>
  <c r="I581" i="329"/>
  <c r="H581" i="329"/>
  <c r="H633" i="329" s="1"/>
  <c r="G581" i="329"/>
  <c r="G633" i="329" s="1"/>
  <c r="G640" i="329" s="1"/>
  <c r="F581" i="329"/>
  <c r="F633" i="329" s="1"/>
  <c r="F640" i="329" s="1"/>
  <c r="E581" i="329"/>
  <c r="E633" i="329" s="1"/>
  <c r="E640" i="329" s="1"/>
  <c r="E650" i="329" s="1"/>
  <c r="D581" i="329"/>
  <c r="D633" i="329" s="1"/>
  <c r="D640" i="329" s="1"/>
  <c r="D650" i="329" s="1"/>
  <c r="C581" i="329"/>
  <c r="C633" i="329" s="1"/>
  <c r="C640" i="329" s="1"/>
  <c r="N580" i="329"/>
  <c r="K580" i="329"/>
  <c r="J580" i="329"/>
  <c r="I580" i="329"/>
  <c r="G580" i="329"/>
  <c r="F580" i="329"/>
  <c r="E580" i="329"/>
  <c r="D580" i="329"/>
  <c r="C580" i="329"/>
  <c r="N579" i="329"/>
  <c r="K579" i="329"/>
  <c r="J579" i="329"/>
  <c r="I579" i="329"/>
  <c r="G579" i="329"/>
  <c r="F579" i="329"/>
  <c r="E579" i="329"/>
  <c r="D579" i="329"/>
  <c r="C579" i="329"/>
  <c r="N578" i="329"/>
  <c r="K578" i="329"/>
  <c r="J578" i="329"/>
  <c r="G578" i="329"/>
  <c r="F578" i="329"/>
  <c r="L577" i="329"/>
  <c r="L628" i="329" s="1"/>
  <c r="H577" i="329"/>
  <c r="H628" i="329" s="1"/>
  <c r="L576" i="329"/>
  <c r="L627" i="329" s="1"/>
  <c r="H576" i="329"/>
  <c r="H627" i="329" s="1"/>
  <c r="H646" i="329" s="1"/>
  <c r="L574" i="329"/>
  <c r="L624" i="329" s="1"/>
  <c r="H574" i="329"/>
  <c r="H624" i="329" s="1"/>
  <c r="L573" i="329"/>
  <c r="L623" i="329" s="1"/>
  <c r="H573" i="329"/>
  <c r="H623" i="329" s="1"/>
  <c r="L572" i="329"/>
  <c r="L620" i="329" s="1"/>
  <c r="H572" i="329"/>
  <c r="H620" i="329" s="1"/>
  <c r="L571" i="329"/>
  <c r="H571" i="329"/>
  <c r="L570" i="329"/>
  <c r="H570" i="329"/>
  <c r="M570" i="329" s="1"/>
  <c r="O570" i="329" s="1"/>
  <c r="L569" i="329"/>
  <c r="L599" i="329" s="1"/>
  <c r="H569" i="329"/>
  <c r="H599" i="329" s="1"/>
  <c r="L568" i="329"/>
  <c r="L598" i="329" s="1"/>
  <c r="H568" i="329"/>
  <c r="M568" i="329" s="1"/>
  <c r="L567" i="329"/>
  <c r="H567" i="329"/>
  <c r="L566" i="329"/>
  <c r="L586" i="329" s="1"/>
  <c r="H566" i="329"/>
  <c r="M566" i="329" s="1"/>
  <c r="L564" i="329"/>
  <c r="H564" i="329"/>
  <c r="L563" i="329"/>
  <c r="L580" i="329" s="1"/>
  <c r="H563" i="329"/>
  <c r="H580" i="329" s="1"/>
  <c r="L562" i="329"/>
  <c r="H562" i="329"/>
  <c r="H579" i="329" s="1"/>
  <c r="L561" i="329"/>
  <c r="L578" i="329" s="1"/>
  <c r="I561" i="329"/>
  <c r="I578" i="329" s="1"/>
  <c r="E561" i="329"/>
  <c r="E578" i="329" s="1"/>
  <c r="D561" i="329"/>
  <c r="D578" i="329" s="1"/>
  <c r="C561" i="329"/>
  <c r="C578" i="329" s="1"/>
  <c r="N557" i="329"/>
  <c r="K557" i="329"/>
  <c r="J557" i="329"/>
  <c r="I557" i="329"/>
  <c r="G557" i="329"/>
  <c r="F557" i="329"/>
  <c r="E557" i="329"/>
  <c r="D557" i="329"/>
  <c r="C557" i="329"/>
  <c r="N556" i="329"/>
  <c r="L556" i="329"/>
  <c r="K556" i="329"/>
  <c r="J556" i="329"/>
  <c r="I556" i="329"/>
  <c r="H556" i="329"/>
  <c r="G556" i="329"/>
  <c r="F556" i="329"/>
  <c r="E556" i="329"/>
  <c r="D556" i="329"/>
  <c r="C556" i="329"/>
  <c r="N555" i="329"/>
  <c r="K555" i="329"/>
  <c r="J555" i="329"/>
  <c r="I555" i="329"/>
  <c r="G555" i="329"/>
  <c r="F555" i="329"/>
  <c r="O554" i="329"/>
  <c r="M554" i="329"/>
  <c r="L554" i="329"/>
  <c r="H554" i="329"/>
  <c r="O553" i="329"/>
  <c r="M553" i="329"/>
  <c r="L553" i="329"/>
  <c r="H553" i="329"/>
  <c r="O552" i="329"/>
  <c r="M552" i="329"/>
  <c r="L552" i="329"/>
  <c r="H552" i="329"/>
  <c r="O551" i="329"/>
  <c r="M551" i="329"/>
  <c r="L551" i="329"/>
  <c r="H551" i="329"/>
  <c r="O550" i="329"/>
  <c r="M550" i="329"/>
  <c r="L550" i="329"/>
  <c r="H550" i="329"/>
  <c r="O548" i="329"/>
  <c r="M548" i="329"/>
  <c r="L548" i="329"/>
  <c r="H548" i="329"/>
  <c r="O547" i="329"/>
  <c r="M547" i="329"/>
  <c r="L547" i="329"/>
  <c r="H547" i="329"/>
  <c r="O546" i="329"/>
  <c r="M546" i="329"/>
  <c r="L546" i="329"/>
  <c r="H546" i="329"/>
  <c r="O545" i="329"/>
  <c r="M545" i="329"/>
  <c r="L545" i="329"/>
  <c r="H545" i="329"/>
  <c r="O543" i="329"/>
  <c r="O557" i="329" s="1"/>
  <c r="M543" i="329"/>
  <c r="M557" i="329" s="1"/>
  <c r="L543" i="329"/>
  <c r="L557" i="329" s="1"/>
  <c r="H543" i="329"/>
  <c r="H557" i="329" s="1"/>
  <c r="O542" i="329"/>
  <c r="O556" i="329" s="1"/>
  <c r="M542" i="329"/>
  <c r="M556" i="329" s="1"/>
  <c r="L542" i="329"/>
  <c r="H542" i="329"/>
  <c r="L541" i="329"/>
  <c r="L555" i="329" s="1"/>
  <c r="E541" i="329"/>
  <c r="E555" i="329" s="1"/>
  <c r="D541" i="329"/>
  <c r="D555" i="329" s="1"/>
  <c r="C541" i="329"/>
  <c r="C555" i="329" s="1"/>
  <c r="N539" i="329"/>
  <c r="K539" i="329"/>
  <c r="J539" i="329"/>
  <c r="I539" i="329"/>
  <c r="G539" i="329"/>
  <c r="F539" i="329"/>
  <c r="E539" i="329"/>
  <c r="D539" i="329"/>
  <c r="C539" i="329"/>
  <c r="N538" i="329"/>
  <c r="K538" i="329"/>
  <c r="J538" i="329"/>
  <c r="I538" i="329"/>
  <c r="G538" i="329"/>
  <c r="F538" i="329"/>
  <c r="L537" i="329"/>
  <c r="H537" i="329"/>
  <c r="M537" i="329" s="1"/>
  <c r="O537" i="329" s="1"/>
  <c r="L536" i="329"/>
  <c r="H536" i="329"/>
  <c r="M536" i="329" s="1"/>
  <c r="O536" i="329" s="1"/>
  <c r="L535" i="329"/>
  <c r="H535" i="329"/>
  <c r="M535" i="329" s="1"/>
  <c r="O535" i="329" s="1"/>
  <c r="L534" i="329"/>
  <c r="H534" i="329"/>
  <c r="M534" i="329" s="1"/>
  <c r="O534" i="329" s="1"/>
  <c r="L533" i="329"/>
  <c r="H533" i="329"/>
  <c r="L532" i="329"/>
  <c r="H532" i="329"/>
  <c r="L530" i="329"/>
  <c r="L539" i="329" s="1"/>
  <c r="H530" i="329"/>
  <c r="L529" i="329"/>
  <c r="E529" i="329"/>
  <c r="E538" i="329" s="1"/>
  <c r="D529" i="329"/>
  <c r="D538" i="329" s="1"/>
  <c r="C529" i="329"/>
  <c r="C538" i="329" s="1"/>
  <c r="N527" i="329"/>
  <c r="K527" i="329"/>
  <c r="J527" i="329"/>
  <c r="I527" i="329"/>
  <c r="H527" i="329"/>
  <c r="G527" i="329"/>
  <c r="F527" i="329"/>
  <c r="E527" i="329"/>
  <c r="D527" i="329"/>
  <c r="C527" i="329"/>
  <c r="N526" i="329"/>
  <c r="K526" i="329"/>
  <c r="J526" i="329"/>
  <c r="I526" i="329"/>
  <c r="G526" i="329"/>
  <c r="F526" i="329"/>
  <c r="E526" i="329"/>
  <c r="L525" i="329"/>
  <c r="H525" i="329"/>
  <c r="M524" i="329"/>
  <c r="L524" i="329"/>
  <c r="L619" i="329" s="1"/>
  <c r="H524" i="329"/>
  <c r="H619" i="329" s="1"/>
  <c r="M523" i="329"/>
  <c r="O523" i="329" s="1"/>
  <c r="L523" i="329"/>
  <c r="H523" i="329"/>
  <c r="L522" i="329"/>
  <c r="M522" i="329" s="1"/>
  <c r="O522" i="329" s="1"/>
  <c r="H522" i="329"/>
  <c r="L521" i="329"/>
  <c r="M521" i="329" s="1"/>
  <c r="O521" i="329" s="1"/>
  <c r="H521" i="329"/>
  <c r="M520" i="329"/>
  <c r="O520" i="329" s="1"/>
  <c r="L520" i="329"/>
  <c r="H520" i="329"/>
  <c r="M519" i="329"/>
  <c r="O519" i="329" s="1"/>
  <c r="L519" i="329"/>
  <c r="H519" i="329"/>
  <c r="M518" i="329"/>
  <c r="L518" i="329"/>
  <c r="L610" i="329" s="1"/>
  <c r="H518" i="329"/>
  <c r="H610" i="329" s="1"/>
  <c r="L517" i="329"/>
  <c r="M517" i="329" s="1"/>
  <c r="O517" i="329" s="1"/>
  <c r="H517" i="329"/>
  <c r="M515" i="329"/>
  <c r="L515" i="329"/>
  <c r="H515" i="329"/>
  <c r="L514" i="329"/>
  <c r="E514" i="329"/>
  <c r="D514" i="329"/>
  <c r="D526" i="329" s="1"/>
  <c r="C514" i="329"/>
  <c r="N512" i="329"/>
  <c r="L512" i="329"/>
  <c r="K512" i="329"/>
  <c r="J512" i="329"/>
  <c r="I512" i="329"/>
  <c r="H512" i="329"/>
  <c r="G512" i="329"/>
  <c r="F512" i="329"/>
  <c r="E512" i="329"/>
  <c r="D512" i="329"/>
  <c r="C512" i="329"/>
  <c r="N511" i="329"/>
  <c r="J511" i="329"/>
  <c r="I511" i="329"/>
  <c r="G511" i="329"/>
  <c r="F511" i="329"/>
  <c r="E511" i="329"/>
  <c r="O510" i="329"/>
  <c r="O625" i="329" s="1"/>
  <c r="M510" i="329"/>
  <c r="L510" i="329"/>
  <c r="H510" i="329"/>
  <c r="H625" i="329" s="1"/>
  <c r="O509" i="329"/>
  <c r="M509" i="329"/>
  <c r="L509" i="329"/>
  <c r="H509" i="329"/>
  <c r="O508" i="329"/>
  <c r="O618" i="329" s="1"/>
  <c r="M508" i="329"/>
  <c r="M618" i="329" s="1"/>
  <c r="L508" i="329"/>
  <c r="L618" i="329" s="1"/>
  <c r="H508" i="329"/>
  <c r="H618" i="329" s="1"/>
  <c r="O507" i="329"/>
  <c r="M507" i="329"/>
  <c r="L507" i="329"/>
  <c r="H507" i="329"/>
  <c r="O506" i="329"/>
  <c r="M506" i="329"/>
  <c r="L506" i="329"/>
  <c r="H506" i="329"/>
  <c r="O505" i="329"/>
  <c r="M505" i="329"/>
  <c r="L505" i="329"/>
  <c r="H505" i="329"/>
  <c r="O504" i="329"/>
  <c r="M504" i="329"/>
  <c r="L504" i="329"/>
  <c r="H504" i="329"/>
  <c r="O503" i="329"/>
  <c r="M503" i="329"/>
  <c r="L503" i="329"/>
  <c r="H503" i="329"/>
  <c r="O502" i="329"/>
  <c r="M502" i="329"/>
  <c r="L502" i="329"/>
  <c r="H502" i="329"/>
  <c r="O500" i="329"/>
  <c r="O512" i="329" s="1"/>
  <c r="M500" i="329"/>
  <c r="M512" i="329" s="1"/>
  <c r="L500" i="329"/>
  <c r="H500" i="329"/>
  <c r="L499" i="329"/>
  <c r="L511" i="329" s="1"/>
  <c r="K499" i="329"/>
  <c r="K511" i="329" s="1"/>
  <c r="H499" i="329"/>
  <c r="E499" i="329"/>
  <c r="D499" i="329"/>
  <c r="D511" i="329" s="1"/>
  <c r="C499" i="329"/>
  <c r="C511" i="329" s="1"/>
  <c r="N497" i="329"/>
  <c r="K497" i="329"/>
  <c r="J497" i="329"/>
  <c r="I497" i="329"/>
  <c r="G497" i="329"/>
  <c r="F497" i="329"/>
  <c r="E497" i="329"/>
  <c r="D497" i="329"/>
  <c r="C497" i="329"/>
  <c r="N496" i="329"/>
  <c r="K496" i="329"/>
  <c r="J496" i="329"/>
  <c r="I496" i="329"/>
  <c r="G496" i="329"/>
  <c r="F496" i="329"/>
  <c r="D496" i="329"/>
  <c r="L495" i="329"/>
  <c r="H495" i="329"/>
  <c r="L494" i="329"/>
  <c r="H494" i="329"/>
  <c r="L493" i="329"/>
  <c r="H493" i="329"/>
  <c r="L492" i="329"/>
  <c r="H492" i="329"/>
  <c r="L491" i="329"/>
  <c r="H491" i="329"/>
  <c r="L490" i="329"/>
  <c r="H490" i="329"/>
  <c r="L488" i="329"/>
  <c r="H488" i="329"/>
  <c r="L487" i="329"/>
  <c r="L496" i="329" s="1"/>
  <c r="E487" i="329"/>
  <c r="E496" i="329" s="1"/>
  <c r="D487" i="329"/>
  <c r="C487" i="329"/>
  <c r="C496" i="329" s="1"/>
  <c r="N485" i="329"/>
  <c r="L485" i="329"/>
  <c r="K485" i="329"/>
  <c r="J485" i="329"/>
  <c r="I485" i="329"/>
  <c r="G485" i="329"/>
  <c r="F485" i="329"/>
  <c r="E485" i="329"/>
  <c r="D485" i="329"/>
  <c r="C485" i="329"/>
  <c r="N484" i="329"/>
  <c r="L484" i="329"/>
  <c r="K484" i="329"/>
  <c r="J484" i="329"/>
  <c r="I484" i="329"/>
  <c r="G484" i="329"/>
  <c r="F484" i="329"/>
  <c r="E484" i="329"/>
  <c r="D484" i="329"/>
  <c r="C484" i="329"/>
  <c r="N483" i="329"/>
  <c r="K483" i="329"/>
  <c r="J483" i="329"/>
  <c r="I483" i="329"/>
  <c r="G483" i="329"/>
  <c r="F483" i="329"/>
  <c r="C483" i="329"/>
  <c r="O482" i="329"/>
  <c r="L482" i="329"/>
  <c r="H482" i="329"/>
  <c r="M482" i="329" s="1"/>
  <c r="O481" i="329"/>
  <c r="L481" i="329"/>
  <c r="H481" i="329"/>
  <c r="M481" i="329" s="1"/>
  <c r="L479" i="329"/>
  <c r="L602" i="329" s="1"/>
  <c r="H479" i="329"/>
  <c r="L478" i="329"/>
  <c r="H478" i="329"/>
  <c r="M478" i="329" s="1"/>
  <c r="O478" i="329" s="1"/>
  <c r="O477" i="329"/>
  <c r="L477" i="329"/>
  <c r="H477" i="329"/>
  <c r="M477" i="329" s="1"/>
  <c r="O476" i="329"/>
  <c r="L476" i="329"/>
  <c r="H476" i="329"/>
  <c r="M476" i="329" s="1"/>
  <c r="L475" i="329"/>
  <c r="H475" i="329"/>
  <c r="M475" i="329" s="1"/>
  <c r="O475" i="329" s="1"/>
  <c r="L474" i="329"/>
  <c r="H474" i="329"/>
  <c r="M474" i="329" s="1"/>
  <c r="O474" i="329" s="1"/>
  <c r="O473" i="329"/>
  <c r="L473" i="329"/>
  <c r="H473" i="329"/>
  <c r="M473" i="329" s="1"/>
  <c r="O472" i="329"/>
  <c r="O485" i="329" s="1"/>
  <c r="L472" i="329"/>
  <c r="H472" i="329"/>
  <c r="M472" i="329" s="1"/>
  <c r="M485" i="329" s="1"/>
  <c r="L471" i="329"/>
  <c r="H471" i="329"/>
  <c r="L470" i="329"/>
  <c r="L483" i="329" s="1"/>
  <c r="E470" i="329"/>
  <c r="E483" i="329" s="1"/>
  <c r="D470" i="329"/>
  <c r="D483" i="329" s="1"/>
  <c r="C470" i="329"/>
  <c r="O468" i="329"/>
  <c r="N468" i="329"/>
  <c r="K468" i="329"/>
  <c r="J468" i="329"/>
  <c r="I468" i="329"/>
  <c r="G468" i="329"/>
  <c r="F468" i="329"/>
  <c r="E468" i="329"/>
  <c r="D468" i="329"/>
  <c r="C468" i="329"/>
  <c r="N467" i="329"/>
  <c r="L467" i="329"/>
  <c r="K467" i="329"/>
  <c r="J467" i="329"/>
  <c r="I467" i="329"/>
  <c r="H467" i="329"/>
  <c r="G467" i="329"/>
  <c r="F467" i="329"/>
  <c r="E467" i="329"/>
  <c r="D467" i="329"/>
  <c r="C467" i="329"/>
  <c r="N466" i="329"/>
  <c r="G466" i="329"/>
  <c r="F466" i="329"/>
  <c r="E466" i="329"/>
  <c r="O465" i="329"/>
  <c r="M465" i="329"/>
  <c r="L465" i="329"/>
  <c r="H465" i="329"/>
  <c r="O464" i="329"/>
  <c r="M464" i="329"/>
  <c r="L464" i="329"/>
  <c r="H464" i="329"/>
  <c r="O463" i="329"/>
  <c r="M463" i="329"/>
  <c r="L463" i="329"/>
  <c r="H463" i="329"/>
  <c r="O462" i="329"/>
  <c r="M462" i="329"/>
  <c r="L462" i="329"/>
  <c r="H462" i="329"/>
  <c r="O460" i="329"/>
  <c r="O606" i="329" s="1"/>
  <c r="M460" i="329"/>
  <c r="M606" i="329" s="1"/>
  <c r="L460" i="329"/>
  <c r="L606" i="329" s="1"/>
  <c r="H460" i="329"/>
  <c r="H606" i="329" s="1"/>
  <c r="O459" i="329"/>
  <c r="M459" i="329"/>
  <c r="L459" i="329"/>
  <c r="H459" i="329"/>
  <c r="O458" i="329"/>
  <c r="M458" i="329"/>
  <c r="L458" i="329"/>
  <c r="H458" i="329"/>
  <c r="O457" i="329"/>
  <c r="O595" i="329" s="1"/>
  <c r="M457" i="329"/>
  <c r="M595" i="329" s="1"/>
  <c r="L457" i="329"/>
  <c r="L595" i="329" s="1"/>
  <c r="H457" i="329"/>
  <c r="H595" i="329" s="1"/>
  <c r="O456" i="329"/>
  <c r="M456" i="329"/>
  <c r="L456" i="329"/>
  <c r="H456" i="329"/>
  <c r="O455" i="329"/>
  <c r="M455" i="329"/>
  <c r="L455" i="329"/>
  <c r="H455" i="329"/>
  <c r="O454" i="329"/>
  <c r="M454" i="329"/>
  <c r="M590" i="329" s="1"/>
  <c r="L454" i="329"/>
  <c r="H454" i="329"/>
  <c r="O453" i="329"/>
  <c r="M453" i="329"/>
  <c r="L453" i="329"/>
  <c r="H453" i="329"/>
  <c r="O452" i="329"/>
  <c r="M452" i="329"/>
  <c r="L452" i="329"/>
  <c r="H452" i="329"/>
  <c r="O450" i="329"/>
  <c r="M450" i="329"/>
  <c r="M468" i="329" s="1"/>
  <c r="L450" i="329"/>
  <c r="L468" i="329" s="1"/>
  <c r="H450" i="329"/>
  <c r="H468" i="329" s="1"/>
  <c r="O449" i="329"/>
  <c r="O467" i="329" s="1"/>
  <c r="M449" i="329"/>
  <c r="M467" i="329" s="1"/>
  <c r="L449" i="329"/>
  <c r="H449" i="329"/>
  <c r="K448" i="329"/>
  <c r="K583" i="329" s="1"/>
  <c r="J448" i="329"/>
  <c r="J583" i="329" s="1"/>
  <c r="I448" i="329"/>
  <c r="I466" i="329" s="1"/>
  <c r="E448" i="329"/>
  <c r="D448" i="329"/>
  <c r="D466" i="329" s="1"/>
  <c r="C448" i="329"/>
  <c r="N446" i="329"/>
  <c r="L446" i="329"/>
  <c r="K446" i="329"/>
  <c r="J446" i="329"/>
  <c r="I446" i="329"/>
  <c r="H446" i="329"/>
  <c r="G446" i="329"/>
  <c r="F446" i="329"/>
  <c r="E446" i="329"/>
  <c r="D446" i="329"/>
  <c r="C446" i="329"/>
  <c r="N445" i="329"/>
  <c r="N558" i="329" s="1"/>
  <c r="K445" i="329"/>
  <c r="J445" i="329"/>
  <c r="I445" i="329"/>
  <c r="G445" i="329"/>
  <c r="F445" i="329"/>
  <c r="O444" i="329"/>
  <c r="M444" i="329"/>
  <c r="L444" i="329"/>
  <c r="H444" i="329"/>
  <c r="O443" i="329"/>
  <c r="M443" i="329"/>
  <c r="L443" i="329"/>
  <c r="H443" i="329"/>
  <c r="H617" i="329" s="1"/>
  <c r="O442" i="329"/>
  <c r="M442" i="329"/>
  <c r="L442" i="329"/>
  <c r="H442" i="329"/>
  <c r="O441" i="329"/>
  <c r="M441" i="329"/>
  <c r="L441" i="329"/>
  <c r="H441" i="329"/>
  <c r="O440" i="329"/>
  <c r="M440" i="329"/>
  <c r="L440" i="329"/>
  <c r="H440" i="329"/>
  <c r="O439" i="329"/>
  <c r="O613" i="329" s="1"/>
  <c r="M439" i="329"/>
  <c r="M613" i="329" s="1"/>
  <c r="L439" i="329"/>
  <c r="H439" i="329"/>
  <c r="O438" i="329"/>
  <c r="M438" i="329"/>
  <c r="L438" i="329"/>
  <c r="H438" i="329"/>
  <c r="O437" i="329"/>
  <c r="M437" i="329"/>
  <c r="L437" i="329"/>
  <c r="H437" i="329"/>
  <c r="H609" i="329" s="1"/>
  <c r="O435" i="329"/>
  <c r="O446" i="329" s="1"/>
  <c r="M435" i="329"/>
  <c r="M446" i="329" s="1"/>
  <c r="L435" i="329"/>
  <c r="H435" i="329"/>
  <c r="L434" i="329"/>
  <c r="L445" i="329" s="1"/>
  <c r="E434" i="329"/>
  <c r="E445" i="329" s="1"/>
  <c r="E558" i="329" s="1"/>
  <c r="D434" i="329"/>
  <c r="D445" i="329" s="1"/>
  <c r="C434" i="329"/>
  <c r="C445" i="329" s="1"/>
  <c r="N432" i="329"/>
  <c r="K432" i="329"/>
  <c r="J432" i="329"/>
  <c r="I432" i="329"/>
  <c r="G432" i="329"/>
  <c r="F432" i="329"/>
  <c r="E432" i="329"/>
  <c r="D432" i="329"/>
  <c r="C432" i="329"/>
  <c r="N431" i="329"/>
  <c r="K431" i="329"/>
  <c r="J431" i="329"/>
  <c r="I431" i="329"/>
  <c r="G431" i="329"/>
  <c r="F431" i="329"/>
  <c r="E431" i="329"/>
  <c r="D431" i="329"/>
  <c r="C431" i="329"/>
  <c r="N430" i="329"/>
  <c r="K430" i="329"/>
  <c r="J430" i="329"/>
  <c r="I430" i="329"/>
  <c r="G430" i="329"/>
  <c r="F430" i="329"/>
  <c r="E430" i="329"/>
  <c r="L429" i="329"/>
  <c r="M429" i="329" s="1"/>
  <c r="O429" i="329" s="1"/>
  <c r="H429" i="329"/>
  <c r="M427" i="329"/>
  <c r="O427" i="329" s="1"/>
  <c r="L427" i="329"/>
  <c r="H427" i="329"/>
  <c r="M426" i="329"/>
  <c r="O426" i="329" s="1"/>
  <c r="L426" i="329"/>
  <c r="H426" i="329"/>
  <c r="M425" i="329"/>
  <c r="O425" i="329" s="1"/>
  <c r="L425" i="329"/>
  <c r="H425" i="329"/>
  <c r="L424" i="329"/>
  <c r="M424" i="329" s="1"/>
  <c r="O424" i="329" s="1"/>
  <c r="H424" i="329"/>
  <c r="M423" i="329"/>
  <c r="O423" i="329" s="1"/>
  <c r="L423" i="329"/>
  <c r="H423" i="329"/>
  <c r="M422" i="329"/>
  <c r="O422" i="329" s="1"/>
  <c r="L422" i="329"/>
  <c r="H422" i="329"/>
  <c r="L420" i="329"/>
  <c r="L432" i="329" s="1"/>
  <c r="H420" i="329"/>
  <c r="H432" i="329" s="1"/>
  <c r="L419" i="329"/>
  <c r="H419" i="329"/>
  <c r="H431" i="329" s="1"/>
  <c r="L418" i="329"/>
  <c r="E418" i="329"/>
  <c r="D418" i="329"/>
  <c r="D430" i="329" s="1"/>
  <c r="C418" i="329"/>
  <c r="I416" i="329"/>
  <c r="N415" i="329"/>
  <c r="K415" i="329"/>
  <c r="J415" i="329"/>
  <c r="I415" i="329"/>
  <c r="G415" i="329"/>
  <c r="F415" i="329"/>
  <c r="E415" i="329"/>
  <c r="D415" i="329"/>
  <c r="C415" i="329"/>
  <c r="N414" i="329"/>
  <c r="K414" i="329"/>
  <c r="J414" i="329"/>
  <c r="I414" i="329"/>
  <c r="G414" i="329"/>
  <c r="F414" i="329"/>
  <c r="E414" i="329"/>
  <c r="D414" i="329"/>
  <c r="C414" i="329"/>
  <c r="N413" i="329"/>
  <c r="K413" i="329"/>
  <c r="J413" i="329"/>
  <c r="I413" i="329"/>
  <c r="G413" i="329"/>
  <c r="F413" i="329"/>
  <c r="E413" i="329"/>
  <c r="D413" i="329"/>
  <c r="M412" i="329"/>
  <c r="O412" i="329" s="1"/>
  <c r="L412" i="329"/>
  <c r="H412" i="329"/>
  <c r="L410" i="329"/>
  <c r="M410" i="329" s="1"/>
  <c r="O410" i="329" s="1"/>
  <c r="H410" i="329"/>
  <c r="L409" i="329"/>
  <c r="M409" i="329" s="1"/>
  <c r="O409" i="329" s="1"/>
  <c r="H409" i="329"/>
  <c r="M408" i="329"/>
  <c r="O408" i="329" s="1"/>
  <c r="L408" i="329"/>
  <c r="H408" i="329"/>
  <c r="M407" i="329"/>
  <c r="O407" i="329" s="1"/>
  <c r="L407" i="329"/>
  <c r="H407" i="329"/>
  <c r="L406" i="329"/>
  <c r="M406" i="329" s="1"/>
  <c r="O406" i="329" s="1"/>
  <c r="H406" i="329"/>
  <c r="L405" i="329"/>
  <c r="M405" i="329" s="1"/>
  <c r="O405" i="329" s="1"/>
  <c r="H405" i="329"/>
  <c r="M404" i="329"/>
  <c r="O404" i="329" s="1"/>
  <c r="L404" i="329"/>
  <c r="H404" i="329"/>
  <c r="M402" i="329"/>
  <c r="L402" i="329"/>
  <c r="L415" i="329" s="1"/>
  <c r="H402" i="329"/>
  <c r="H415" i="329" s="1"/>
  <c r="M401" i="329"/>
  <c r="L401" i="329"/>
  <c r="H401" i="329"/>
  <c r="H414" i="329" s="1"/>
  <c r="L400" i="329"/>
  <c r="L413" i="329" s="1"/>
  <c r="E400" i="329"/>
  <c r="D400" i="329"/>
  <c r="C400" i="329"/>
  <c r="N398" i="329"/>
  <c r="K398" i="329"/>
  <c r="J398" i="329"/>
  <c r="I398" i="329"/>
  <c r="H398" i="329"/>
  <c r="G398" i="329"/>
  <c r="F398" i="329"/>
  <c r="E398" i="329"/>
  <c r="D398" i="329"/>
  <c r="C398" i="329"/>
  <c r="N397" i="329"/>
  <c r="K397" i="329"/>
  <c r="J397" i="329"/>
  <c r="I397" i="329"/>
  <c r="G397" i="329"/>
  <c r="F397" i="329"/>
  <c r="E397" i="329"/>
  <c r="D397" i="329"/>
  <c r="C397" i="329"/>
  <c r="N396" i="329"/>
  <c r="K396" i="329"/>
  <c r="J396" i="329"/>
  <c r="I396" i="329"/>
  <c r="G396" i="329"/>
  <c r="F396" i="329"/>
  <c r="D396" i="329"/>
  <c r="D416" i="329" s="1"/>
  <c r="C396" i="329"/>
  <c r="L395" i="329"/>
  <c r="H395" i="329"/>
  <c r="L393" i="329"/>
  <c r="L607" i="329" s="1"/>
  <c r="H393" i="329"/>
  <c r="L392" i="329"/>
  <c r="H392" i="329"/>
  <c r="L391" i="329"/>
  <c r="H391" i="329"/>
  <c r="L390" i="329"/>
  <c r="H390" i="329"/>
  <c r="L389" i="329"/>
  <c r="H389" i="329"/>
  <c r="L388" i="329"/>
  <c r="H388" i="329"/>
  <c r="L387" i="329"/>
  <c r="H387" i="329"/>
  <c r="L386" i="329"/>
  <c r="H386" i="329"/>
  <c r="L385" i="329"/>
  <c r="L396" i="329" s="1"/>
  <c r="H385" i="329"/>
  <c r="L383" i="329"/>
  <c r="L398" i="329" s="1"/>
  <c r="H383" i="329"/>
  <c r="L382" i="329"/>
  <c r="L397" i="329" s="1"/>
  <c r="H382" i="329"/>
  <c r="L381" i="329"/>
  <c r="E381" i="329"/>
  <c r="E396" i="329" s="1"/>
  <c r="D381" i="329"/>
  <c r="C381" i="329"/>
  <c r="H381" i="329" s="1"/>
  <c r="M381" i="329" s="1"/>
  <c r="N379" i="329"/>
  <c r="L379" i="329"/>
  <c r="K379" i="329"/>
  <c r="J379" i="329"/>
  <c r="I379" i="329"/>
  <c r="H379" i="329"/>
  <c r="G379" i="329"/>
  <c r="F379" i="329"/>
  <c r="E379" i="329"/>
  <c r="D379" i="329"/>
  <c r="C379" i="329"/>
  <c r="N378" i="329"/>
  <c r="L378" i="329"/>
  <c r="K378" i="329"/>
  <c r="J378" i="329"/>
  <c r="I378" i="329"/>
  <c r="G378" i="329"/>
  <c r="F378" i="329"/>
  <c r="E378" i="329"/>
  <c r="D378" i="329"/>
  <c r="C378" i="329"/>
  <c r="N377" i="329"/>
  <c r="N416" i="329" s="1"/>
  <c r="K377" i="329"/>
  <c r="K416" i="329" s="1"/>
  <c r="J377" i="329"/>
  <c r="J416" i="329" s="1"/>
  <c r="I377" i="329"/>
  <c r="G377" i="329"/>
  <c r="G416" i="329" s="1"/>
  <c r="F377" i="329"/>
  <c r="F416" i="329" s="1"/>
  <c r="C377" i="329"/>
  <c r="L376" i="329"/>
  <c r="H376" i="329"/>
  <c r="M376" i="329" s="1"/>
  <c r="O376" i="329" s="1"/>
  <c r="L374" i="329"/>
  <c r="H374" i="329"/>
  <c r="M374" i="329" s="1"/>
  <c r="O374" i="329" s="1"/>
  <c r="O373" i="329"/>
  <c r="L373" i="329"/>
  <c r="H373" i="329"/>
  <c r="M373" i="329" s="1"/>
  <c r="L372" i="329"/>
  <c r="L600" i="329" s="1"/>
  <c r="H372" i="329"/>
  <c r="L371" i="329"/>
  <c r="H371" i="329"/>
  <c r="M371" i="329" s="1"/>
  <c r="O371" i="329" s="1"/>
  <c r="L370" i="329"/>
  <c r="H370" i="329"/>
  <c r="M370" i="329" s="1"/>
  <c r="O370" i="329" s="1"/>
  <c r="O369" i="329"/>
  <c r="L369" i="329"/>
  <c r="H369" i="329"/>
  <c r="M369" i="329" s="1"/>
  <c r="L368" i="329"/>
  <c r="L589" i="329" s="1"/>
  <c r="H368" i="329"/>
  <c r="L367" i="329"/>
  <c r="H367" i="329"/>
  <c r="M367" i="329" s="1"/>
  <c r="O367" i="329" s="1"/>
  <c r="L366" i="329"/>
  <c r="H366" i="329"/>
  <c r="M366" i="329" s="1"/>
  <c r="O366" i="329" s="1"/>
  <c r="O365" i="329"/>
  <c r="L365" i="329"/>
  <c r="H365" i="329"/>
  <c r="M365" i="329" s="1"/>
  <c r="O363" i="329"/>
  <c r="O379" i="329" s="1"/>
  <c r="L363" i="329"/>
  <c r="H363" i="329"/>
  <c r="M363" i="329" s="1"/>
  <c r="L362" i="329"/>
  <c r="H362" i="329"/>
  <c r="M362" i="329" s="1"/>
  <c r="O362" i="329" s="1"/>
  <c r="L361" i="329"/>
  <c r="L377" i="329" s="1"/>
  <c r="E361" i="329"/>
  <c r="E377" i="329" s="1"/>
  <c r="D361" i="329"/>
  <c r="D377" i="329" s="1"/>
  <c r="C361" i="329"/>
  <c r="N357" i="329"/>
  <c r="K357" i="329"/>
  <c r="J357" i="329"/>
  <c r="I357" i="329"/>
  <c r="G357" i="329"/>
  <c r="F357" i="329"/>
  <c r="E357" i="329"/>
  <c r="D357" i="329"/>
  <c r="C357" i="329"/>
  <c r="N356" i="329"/>
  <c r="K356" i="329"/>
  <c r="J356" i="329"/>
  <c r="I356" i="329"/>
  <c r="G356" i="329"/>
  <c r="F356" i="329"/>
  <c r="E356" i="329"/>
  <c r="D356" i="329"/>
  <c r="C356" i="329"/>
  <c r="N355" i="329"/>
  <c r="K355" i="329"/>
  <c r="J355" i="329"/>
  <c r="I355" i="329"/>
  <c r="G355" i="329"/>
  <c r="F355" i="329"/>
  <c r="D355" i="329"/>
  <c r="L354" i="329"/>
  <c r="H354" i="329"/>
  <c r="M354" i="329" s="1"/>
  <c r="O354" i="329" s="1"/>
  <c r="L352" i="329"/>
  <c r="H352" i="329"/>
  <c r="L351" i="329"/>
  <c r="H351" i="329"/>
  <c r="M351" i="329" s="1"/>
  <c r="O351" i="329" s="1"/>
  <c r="L350" i="329"/>
  <c r="H350" i="329"/>
  <c r="L349" i="329"/>
  <c r="H349" i="329"/>
  <c r="M349" i="329" s="1"/>
  <c r="O349" i="329" s="1"/>
  <c r="L348" i="329"/>
  <c r="H348" i="329"/>
  <c r="L347" i="329"/>
  <c r="H347" i="329"/>
  <c r="M347" i="329" s="1"/>
  <c r="O347" i="329" s="1"/>
  <c r="L346" i="329"/>
  <c r="H346" i="329"/>
  <c r="L344" i="329"/>
  <c r="L357" i="329" s="1"/>
  <c r="H344" i="329"/>
  <c r="M344" i="329" s="1"/>
  <c r="L343" i="329"/>
  <c r="H343" i="329"/>
  <c r="L342" i="329"/>
  <c r="L355" i="329" s="1"/>
  <c r="H342" i="329"/>
  <c r="E342" i="329"/>
  <c r="E355" i="329" s="1"/>
  <c r="D342" i="329"/>
  <c r="C342" i="329"/>
  <c r="C355" i="329" s="1"/>
  <c r="O340" i="329"/>
  <c r="N340" i="329"/>
  <c r="L340" i="329"/>
  <c r="K340" i="329"/>
  <c r="J340" i="329"/>
  <c r="I340" i="329"/>
  <c r="G340" i="329"/>
  <c r="F340" i="329"/>
  <c r="E340" i="329"/>
  <c r="D340" i="329"/>
  <c r="C340" i="329"/>
  <c r="N339" i="329"/>
  <c r="L339" i="329"/>
  <c r="K339" i="329"/>
  <c r="J339" i="329"/>
  <c r="I339" i="329"/>
  <c r="G339" i="329"/>
  <c r="F339" i="329"/>
  <c r="E339" i="329"/>
  <c r="D339" i="329"/>
  <c r="C339" i="329"/>
  <c r="N338" i="329"/>
  <c r="K338" i="329"/>
  <c r="J338" i="329"/>
  <c r="I338" i="329"/>
  <c r="G338" i="329"/>
  <c r="F338" i="329"/>
  <c r="C338" i="329"/>
  <c r="O337" i="329"/>
  <c r="L337" i="329"/>
  <c r="H337" i="329"/>
  <c r="M337" i="329" s="1"/>
  <c r="O335" i="329"/>
  <c r="L335" i="329"/>
  <c r="H335" i="329"/>
  <c r="M335" i="329" s="1"/>
  <c r="L334" i="329"/>
  <c r="H334" i="329"/>
  <c r="M334" i="329" s="1"/>
  <c r="O334" i="329" s="1"/>
  <c r="L333" i="329"/>
  <c r="H333" i="329"/>
  <c r="M333" i="329" s="1"/>
  <c r="O333" i="329" s="1"/>
  <c r="O332" i="329"/>
  <c r="L332" i="329"/>
  <c r="H332" i="329"/>
  <c r="M332" i="329" s="1"/>
  <c r="O331" i="329"/>
  <c r="L331" i="329"/>
  <c r="H331" i="329"/>
  <c r="M331" i="329" s="1"/>
  <c r="L330" i="329"/>
  <c r="H330" i="329"/>
  <c r="M330" i="329" s="1"/>
  <c r="O330" i="329" s="1"/>
  <c r="L329" i="329"/>
  <c r="H329" i="329"/>
  <c r="M329" i="329" s="1"/>
  <c r="O329" i="329" s="1"/>
  <c r="O327" i="329"/>
  <c r="L327" i="329"/>
  <c r="H327" i="329"/>
  <c r="M327" i="329" s="1"/>
  <c r="M340" i="329" s="1"/>
  <c r="O326" i="329"/>
  <c r="O339" i="329" s="1"/>
  <c r="L326" i="329"/>
  <c r="H326" i="329"/>
  <c r="M326" i="329" s="1"/>
  <c r="L325" i="329"/>
  <c r="L338" i="329" s="1"/>
  <c r="H325" i="329"/>
  <c r="E325" i="329"/>
  <c r="E338" i="329" s="1"/>
  <c r="D325" i="329"/>
  <c r="D338" i="329" s="1"/>
  <c r="C325" i="329"/>
  <c r="N323" i="329"/>
  <c r="K323" i="329"/>
  <c r="J323" i="329"/>
  <c r="I323" i="329"/>
  <c r="G323" i="329"/>
  <c r="F323" i="329"/>
  <c r="E323" i="329"/>
  <c r="D323" i="329"/>
  <c r="C323" i="329"/>
  <c r="N322" i="329"/>
  <c r="L322" i="329"/>
  <c r="K322" i="329"/>
  <c r="J322" i="329"/>
  <c r="I322" i="329"/>
  <c r="H322" i="329"/>
  <c r="G322" i="329"/>
  <c r="F322" i="329"/>
  <c r="E322" i="329"/>
  <c r="D322" i="329"/>
  <c r="C322" i="329"/>
  <c r="N321" i="329"/>
  <c r="K321" i="329"/>
  <c r="J321" i="329"/>
  <c r="I321" i="329"/>
  <c r="G321" i="329"/>
  <c r="F321" i="329"/>
  <c r="M320" i="329"/>
  <c r="O320" i="329" s="1"/>
  <c r="L320" i="329"/>
  <c r="H320" i="329"/>
  <c r="M318" i="329"/>
  <c r="O318" i="329" s="1"/>
  <c r="L318" i="329"/>
  <c r="H318" i="329"/>
  <c r="M317" i="329"/>
  <c r="O317" i="329" s="1"/>
  <c r="L317" i="329"/>
  <c r="H317" i="329"/>
  <c r="M316" i="329"/>
  <c r="O316" i="329" s="1"/>
  <c r="L316" i="329"/>
  <c r="H316" i="329"/>
  <c r="M315" i="329"/>
  <c r="O315" i="329" s="1"/>
  <c r="L315" i="329"/>
  <c r="H315" i="329"/>
  <c r="M314" i="329"/>
  <c r="O314" i="329" s="1"/>
  <c r="L314" i="329"/>
  <c r="H314" i="329"/>
  <c r="M313" i="329"/>
  <c r="O313" i="329" s="1"/>
  <c r="L313" i="329"/>
  <c r="H313" i="329"/>
  <c r="M312" i="329"/>
  <c r="O312" i="329" s="1"/>
  <c r="L312" i="329"/>
  <c r="H312" i="329"/>
  <c r="M311" i="329"/>
  <c r="O311" i="329" s="1"/>
  <c r="L311" i="329"/>
  <c r="H311" i="329"/>
  <c r="M309" i="329"/>
  <c r="L309" i="329"/>
  <c r="L323" i="329" s="1"/>
  <c r="H309" i="329"/>
  <c r="H323" i="329" s="1"/>
  <c r="M308" i="329"/>
  <c r="L308" i="329"/>
  <c r="H308" i="329"/>
  <c r="L307" i="329"/>
  <c r="L321" i="329" s="1"/>
  <c r="E307" i="329"/>
  <c r="E321" i="329" s="1"/>
  <c r="D307" i="329"/>
  <c r="D321" i="329" s="1"/>
  <c r="C307" i="329"/>
  <c r="C321" i="329" s="1"/>
  <c r="N305" i="329"/>
  <c r="K305" i="329"/>
  <c r="J305" i="329"/>
  <c r="I305" i="329"/>
  <c r="G305" i="329"/>
  <c r="F305" i="329"/>
  <c r="E305" i="329"/>
  <c r="D305" i="329"/>
  <c r="C305" i="329"/>
  <c r="N304" i="329"/>
  <c r="K304" i="329"/>
  <c r="J304" i="329"/>
  <c r="I304" i="329"/>
  <c r="G304" i="329"/>
  <c r="F304" i="329"/>
  <c r="E304" i="329"/>
  <c r="D304" i="329"/>
  <c r="C304" i="329"/>
  <c r="N303" i="329"/>
  <c r="K303" i="329"/>
  <c r="J303" i="329"/>
  <c r="I303" i="329"/>
  <c r="G303" i="329"/>
  <c r="F303" i="329"/>
  <c r="E303" i="329"/>
  <c r="D303" i="329"/>
  <c r="M302" i="329"/>
  <c r="O302" i="329" s="1"/>
  <c r="L302" i="329"/>
  <c r="H302" i="329"/>
  <c r="L300" i="329"/>
  <c r="M300" i="329" s="1"/>
  <c r="O300" i="329" s="1"/>
  <c r="H300" i="329"/>
  <c r="L299" i="329"/>
  <c r="M299" i="329" s="1"/>
  <c r="O299" i="329" s="1"/>
  <c r="H299" i="329"/>
  <c r="M298" i="329"/>
  <c r="O298" i="329" s="1"/>
  <c r="L298" i="329"/>
  <c r="H298" i="329"/>
  <c r="M297" i="329"/>
  <c r="O297" i="329" s="1"/>
  <c r="L297" i="329"/>
  <c r="H297" i="329"/>
  <c r="M296" i="329"/>
  <c r="O296" i="329" s="1"/>
  <c r="L296" i="329"/>
  <c r="H296" i="329"/>
  <c r="L295" i="329"/>
  <c r="M295" i="329" s="1"/>
  <c r="O295" i="329" s="1"/>
  <c r="H295" i="329"/>
  <c r="M294" i="329"/>
  <c r="O294" i="329" s="1"/>
  <c r="L294" i="329"/>
  <c r="H294" i="329"/>
  <c r="M292" i="329"/>
  <c r="L292" i="329"/>
  <c r="L305" i="329" s="1"/>
  <c r="H292" i="329"/>
  <c r="H305" i="329" s="1"/>
  <c r="M291" i="329"/>
  <c r="L291" i="329"/>
  <c r="H291" i="329"/>
  <c r="H304" i="329" s="1"/>
  <c r="L290" i="329"/>
  <c r="L303" i="329" s="1"/>
  <c r="E290" i="329"/>
  <c r="D290" i="329"/>
  <c r="C290" i="329"/>
  <c r="N288" i="329"/>
  <c r="L288" i="329"/>
  <c r="K288" i="329"/>
  <c r="J288" i="329"/>
  <c r="I288" i="329"/>
  <c r="G288" i="329"/>
  <c r="F288" i="329"/>
  <c r="E288" i="329"/>
  <c r="D288" i="329"/>
  <c r="C288" i="329"/>
  <c r="N287" i="329"/>
  <c r="K287" i="329"/>
  <c r="J287" i="329"/>
  <c r="I287" i="329"/>
  <c r="G287" i="329"/>
  <c r="F287" i="329"/>
  <c r="E287" i="329"/>
  <c r="D287" i="329"/>
  <c r="C287" i="329"/>
  <c r="N286" i="329"/>
  <c r="K286" i="329"/>
  <c r="J286" i="329"/>
  <c r="I286" i="329"/>
  <c r="G286" i="329"/>
  <c r="F286" i="329"/>
  <c r="D286" i="329"/>
  <c r="C286" i="329"/>
  <c r="L285" i="329"/>
  <c r="H285" i="329"/>
  <c r="M285" i="329" s="1"/>
  <c r="O285" i="329" s="1"/>
  <c r="L283" i="329"/>
  <c r="H283" i="329"/>
  <c r="L282" i="329"/>
  <c r="H282" i="329"/>
  <c r="L281" i="329"/>
  <c r="L286" i="329" s="1"/>
  <c r="H281" i="329"/>
  <c r="M281" i="329" s="1"/>
  <c r="O281" i="329" s="1"/>
  <c r="L280" i="329"/>
  <c r="H280" i="329"/>
  <c r="M280" i="329" s="1"/>
  <c r="O280" i="329" s="1"/>
  <c r="L279" i="329"/>
  <c r="H279" i="329"/>
  <c r="M279" i="329" s="1"/>
  <c r="O279" i="329" s="1"/>
  <c r="L278" i="329"/>
  <c r="H278" i="329"/>
  <c r="M278" i="329" s="1"/>
  <c r="O278" i="329" s="1"/>
  <c r="O277" i="329"/>
  <c r="L277" i="329"/>
  <c r="H277" i="329"/>
  <c r="M277" i="329" s="1"/>
  <c r="O276" i="329"/>
  <c r="L276" i="329"/>
  <c r="H276" i="329"/>
  <c r="M276" i="329" s="1"/>
  <c r="L274" i="329"/>
  <c r="H274" i="329"/>
  <c r="L273" i="329"/>
  <c r="H273" i="329"/>
  <c r="L272" i="329"/>
  <c r="E272" i="329"/>
  <c r="E286" i="329" s="1"/>
  <c r="D272" i="329"/>
  <c r="C272" i="329"/>
  <c r="N270" i="329"/>
  <c r="K270" i="329"/>
  <c r="J270" i="329"/>
  <c r="I270" i="329"/>
  <c r="G270" i="329"/>
  <c r="F270" i="329"/>
  <c r="E270" i="329"/>
  <c r="D270" i="329"/>
  <c r="C270" i="329"/>
  <c r="N269" i="329"/>
  <c r="L269" i="329"/>
  <c r="K269" i="329"/>
  <c r="J269" i="329"/>
  <c r="I269" i="329"/>
  <c r="H269" i="329"/>
  <c r="G269" i="329"/>
  <c r="F269" i="329"/>
  <c r="E269" i="329"/>
  <c r="D269" i="329"/>
  <c r="C269" i="329"/>
  <c r="N268" i="329"/>
  <c r="K268" i="329"/>
  <c r="J268" i="329"/>
  <c r="I268" i="329"/>
  <c r="G268" i="329"/>
  <c r="F268" i="329"/>
  <c r="O267" i="329"/>
  <c r="M267" i="329"/>
  <c r="L267" i="329"/>
  <c r="H267" i="329"/>
  <c r="O265" i="329"/>
  <c r="M265" i="329"/>
  <c r="L265" i="329"/>
  <c r="H265" i="329"/>
  <c r="O264" i="329"/>
  <c r="M264" i="329"/>
  <c r="L264" i="329"/>
  <c r="H264" i="329"/>
  <c r="O263" i="329"/>
  <c r="M263" i="329"/>
  <c r="L263" i="329"/>
  <c r="H263" i="329"/>
  <c r="O262" i="329"/>
  <c r="M262" i="329"/>
  <c r="L262" i="329"/>
  <c r="H262" i="329"/>
  <c r="O261" i="329"/>
  <c r="M261" i="329"/>
  <c r="L261" i="329"/>
  <c r="H261" i="329"/>
  <c r="O260" i="329"/>
  <c r="M260" i="329"/>
  <c r="L260" i="329"/>
  <c r="H260" i="329"/>
  <c r="O259" i="329"/>
  <c r="M259" i="329"/>
  <c r="L259" i="329"/>
  <c r="H259" i="329"/>
  <c r="O258" i="329"/>
  <c r="M258" i="329"/>
  <c r="L258" i="329"/>
  <c r="H258" i="329"/>
  <c r="O256" i="329"/>
  <c r="O270" i="329" s="1"/>
  <c r="M256" i="329"/>
  <c r="M270" i="329" s="1"/>
  <c r="L256" i="329"/>
  <c r="L270" i="329" s="1"/>
  <c r="H256" i="329"/>
  <c r="H270" i="329" s="1"/>
  <c r="O255" i="329"/>
  <c r="O269" i="329" s="1"/>
  <c r="M255" i="329"/>
  <c r="M269" i="329" s="1"/>
  <c r="L255" i="329"/>
  <c r="H255" i="329"/>
  <c r="L254" i="329"/>
  <c r="L268" i="329" s="1"/>
  <c r="E254" i="329"/>
  <c r="E268" i="329" s="1"/>
  <c r="D254" i="329"/>
  <c r="D268" i="329" s="1"/>
  <c r="C254" i="329"/>
  <c r="C268" i="329" s="1"/>
  <c r="N252" i="329"/>
  <c r="K252" i="329"/>
  <c r="J252" i="329"/>
  <c r="I252" i="329"/>
  <c r="G252" i="329"/>
  <c r="F252" i="329"/>
  <c r="E252" i="329"/>
  <c r="D252" i="329"/>
  <c r="C252" i="329"/>
  <c r="N251" i="329"/>
  <c r="K251" i="329"/>
  <c r="J251" i="329"/>
  <c r="I251" i="329"/>
  <c r="G251" i="329"/>
  <c r="F251" i="329"/>
  <c r="E251" i="329"/>
  <c r="D251" i="329"/>
  <c r="C251" i="329"/>
  <c r="N250" i="329"/>
  <c r="K250" i="329"/>
  <c r="J250" i="329"/>
  <c r="I250" i="329"/>
  <c r="G250" i="329"/>
  <c r="F250" i="329"/>
  <c r="E250" i="329"/>
  <c r="L249" i="329"/>
  <c r="M249" i="329" s="1"/>
  <c r="O249" i="329" s="1"/>
  <c r="H249" i="329"/>
  <c r="M247" i="329"/>
  <c r="O247" i="329" s="1"/>
  <c r="L247" i="329"/>
  <c r="H247" i="329"/>
  <c r="M246" i="329"/>
  <c r="O246" i="329" s="1"/>
  <c r="L246" i="329"/>
  <c r="H246" i="329"/>
  <c r="L245" i="329"/>
  <c r="M245" i="329" s="1"/>
  <c r="O245" i="329" s="1"/>
  <c r="H245" i="329"/>
  <c r="L244" i="329"/>
  <c r="M244" i="329" s="1"/>
  <c r="O244" i="329" s="1"/>
  <c r="H244" i="329"/>
  <c r="M243" i="329"/>
  <c r="O243" i="329" s="1"/>
  <c r="L243" i="329"/>
  <c r="H243" i="329"/>
  <c r="M241" i="329"/>
  <c r="O241" i="329" s="1"/>
  <c r="L241" i="329"/>
  <c r="H241" i="329"/>
  <c r="H252" i="329" s="1"/>
  <c r="L240" i="329"/>
  <c r="L251" i="329" s="1"/>
  <c r="H240" i="329"/>
  <c r="H251" i="329" s="1"/>
  <c r="L239" i="329"/>
  <c r="L250" i="329" s="1"/>
  <c r="E239" i="329"/>
  <c r="D239" i="329"/>
  <c r="D250" i="329" s="1"/>
  <c r="C239" i="329"/>
  <c r="N237" i="329"/>
  <c r="K237" i="329"/>
  <c r="J237" i="329"/>
  <c r="I237" i="329"/>
  <c r="H237" i="329"/>
  <c r="G237" i="329"/>
  <c r="F237" i="329"/>
  <c r="E237" i="329"/>
  <c r="D237" i="329"/>
  <c r="C237" i="329"/>
  <c r="N236" i="329"/>
  <c r="K236" i="329"/>
  <c r="J236" i="329"/>
  <c r="I236" i="329"/>
  <c r="G236" i="329"/>
  <c r="F236" i="329"/>
  <c r="E236" i="329"/>
  <c r="D236" i="329"/>
  <c r="C236" i="329"/>
  <c r="N235" i="329"/>
  <c r="L235" i="329"/>
  <c r="K235" i="329"/>
  <c r="J235" i="329"/>
  <c r="I235" i="329"/>
  <c r="G235" i="329"/>
  <c r="F235" i="329"/>
  <c r="D235" i="329"/>
  <c r="C235" i="329"/>
  <c r="L234" i="329"/>
  <c r="H234" i="329"/>
  <c r="L232" i="329"/>
  <c r="H232" i="329"/>
  <c r="M232" i="329" s="1"/>
  <c r="O232" i="329" s="1"/>
  <c r="L231" i="329"/>
  <c r="H231" i="329"/>
  <c r="L230" i="329"/>
  <c r="H230" i="329"/>
  <c r="M230" i="329" s="1"/>
  <c r="O230" i="329" s="1"/>
  <c r="L229" i="329"/>
  <c r="H229" i="329"/>
  <c r="L228" i="329"/>
  <c r="H228" i="329"/>
  <c r="M228" i="329" s="1"/>
  <c r="O228" i="329" s="1"/>
  <c r="L227" i="329"/>
  <c r="H227" i="329"/>
  <c r="L226" i="329"/>
  <c r="H226" i="329"/>
  <c r="M226" i="329" s="1"/>
  <c r="O226" i="329" s="1"/>
  <c r="L224" i="329"/>
  <c r="L237" i="329" s="1"/>
  <c r="H224" i="329"/>
  <c r="L223" i="329"/>
  <c r="L236" i="329" s="1"/>
  <c r="H223" i="329"/>
  <c r="L222" i="329"/>
  <c r="E222" i="329"/>
  <c r="E235" i="329" s="1"/>
  <c r="D222" i="329"/>
  <c r="C222" i="329"/>
  <c r="H222" i="329" s="1"/>
  <c r="N220" i="329"/>
  <c r="L220" i="329"/>
  <c r="K220" i="329"/>
  <c r="J220" i="329"/>
  <c r="I220" i="329"/>
  <c r="G220" i="329"/>
  <c r="F220" i="329"/>
  <c r="E220" i="329"/>
  <c r="D220" i="329"/>
  <c r="C220" i="329"/>
  <c r="N219" i="329"/>
  <c r="K219" i="329"/>
  <c r="J219" i="329"/>
  <c r="I219" i="329"/>
  <c r="G219" i="329"/>
  <c r="F219" i="329"/>
  <c r="E219" i="329"/>
  <c r="D219" i="329"/>
  <c r="C219" i="329"/>
  <c r="N218" i="329"/>
  <c r="K218" i="329"/>
  <c r="J218" i="329"/>
  <c r="I218" i="329"/>
  <c r="G218" i="329"/>
  <c r="F218" i="329"/>
  <c r="C218" i="329"/>
  <c r="L217" i="329"/>
  <c r="H217" i="329"/>
  <c r="M217" i="329" s="1"/>
  <c r="O217" i="329" s="1"/>
  <c r="L215" i="329"/>
  <c r="H215" i="329"/>
  <c r="M215" i="329" s="1"/>
  <c r="O215" i="329" s="1"/>
  <c r="L214" i="329"/>
  <c r="H214" i="329"/>
  <c r="L213" i="329"/>
  <c r="L219" i="329" s="1"/>
  <c r="H213" i="329"/>
  <c r="M213" i="329" s="1"/>
  <c r="O213" i="329" s="1"/>
  <c r="L212" i="329"/>
  <c r="H212" i="329"/>
  <c r="M212" i="329" s="1"/>
  <c r="O212" i="329" s="1"/>
  <c r="L211" i="329"/>
  <c r="H211" i="329"/>
  <c r="M211" i="329" s="1"/>
  <c r="O211" i="329" s="1"/>
  <c r="O210" i="329"/>
  <c r="L210" i="329"/>
  <c r="H210" i="329"/>
  <c r="M210" i="329" s="1"/>
  <c r="O209" i="329"/>
  <c r="L209" i="329"/>
  <c r="H209" i="329"/>
  <c r="M209" i="329" s="1"/>
  <c r="L207" i="329"/>
  <c r="H207" i="329"/>
  <c r="M207" i="329" s="1"/>
  <c r="M220" i="329" s="1"/>
  <c r="L206" i="329"/>
  <c r="H206" i="329"/>
  <c r="M206" i="329" s="1"/>
  <c r="O206" i="329" s="1"/>
  <c r="L205" i="329"/>
  <c r="E205" i="329"/>
  <c r="E218" i="329" s="1"/>
  <c r="D205" i="329"/>
  <c r="D218" i="329" s="1"/>
  <c r="C205" i="329"/>
  <c r="N203" i="329"/>
  <c r="K203" i="329"/>
  <c r="J203" i="329"/>
  <c r="I203" i="329"/>
  <c r="G203" i="329"/>
  <c r="F203" i="329"/>
  <c r="E203" i="329"/>
  <c r="D203" i="329"/>
  <c r="C203" i="329"/>
  <c r="N202" i="329"/>
  <c r="K202" i="329"/>
  <c r="J202" i="329"/>
  <c r="I202" i="329"/>
  <c r="H202" i="329"/>
  <c r="G202" i="329"/>
  <c r="F202" i="329"/>
  <c r="E202" i="329"/>
  <c r="D202" i="329"/>
  <c r="C202" i="329"/>
  <c r="N201" i="329"/>
  <c r="K201" i="329"/>
  <c r="J201" i="329"/>
  <c r="I201" i="329"/>
  <c r="G201" i="329"/>
  <c r="F201" i="329"/>
  <c r="O200" i="329"/>
  <c r="M200" i="329"/>
  <c r="L200" i="329"/>
  <c r="H200" i="329"/>
  <c r="O198" i="329"/>
  <c r="M198" i="329"/>
  <c r="L198" i="329"/>
  <c r="H198" i="329"/>
  <c r="O197" i="329"/>
  <c r="M197" i="329"/>
  <c r="L197" i="329"/>
  <c r="H197" i="329"/>
  <c r="O196" i="329"/>
  <c r="M196" i="329"/>
  <c r="L196" i="329"/>
  <c r="H196" i="329"/>
  <c r="O195" i="329"/>
  <c r="M195" i="329"/>
  <c r="L195" i="329"/>
  <c r="H195" i="329"/>
  <c r="O194" i="329"/>
  <c r="M194" i="329"/>
  <c r="L194" i="329"/>
  <c r="H194" i="329"/>
  <c r="O193" i="329"/>
  <c r="M193" i="329"/>
  <c r="L193" i="329"/>
  <c r="H193" i="329"/>
  <c r="O192" i="329"/>
  <c r="M192" i="329"/>
  <c r="L192" i="329"/>
  <c r="H192" i="329"/>
  <c r="O190" i="329"/>
  <c r="O203" i="329" s="1"/>
  <c r="M190" i="329"/>
  <c r="M203" i="329" s="1"/>
  <c r="L190" i="329"/>
  <c r="L203" i="329" s="1"/>
  <c r="H190" i="329"/>
  <c r="H203" i="329" s="1"/>
  <c r="O189" i="329"/>
  <c r="O202" i="329" s="1"/>
  <c r="M189" i="329"/>
  <c r="M202" i="329" s="1"/>
  <c r="L189" i="329"/>
  <c r="L202" i="329" s="1"/>
  <c r="H189" i="329"/>
  <c r="L188" i="329"/>
  <c r="L201" i="329" s="1"/>
  <c r="E188" i="329"/>
  <c r="E201" i="329" s="1"/>
  <c r="D188" i="329"/>
  <c r="D201" i="329" s="1"/>
  <c r="C188" i="329"/>
  <c r="N186" i="329"/>
  <c r="K186" i="329"/>
  <c r="J186" i="329"/>
  <c r="I186" i="329"/>
  <c r="G186" i="329"/>
  <c r="F186" i="329"/>
  <c r="E186" i="329"/>
  <c r="D186" i="329"/>
  <c r="C186" i="329"/>
  <c r="N185" i="329"/>
  <c r="K185" i="329"/>
  <c r="J185" i="329"/>
  <c r="I185" i="329"/>
  <c r="G185" i="329"/>
  <c r="F185" i="329"/>
  <c r="E185" i="329"/>
  <c r="D185" i="329"/>
  <c r="C185" i="329"/>
  <c r="N184" i="329"/>
  <c r="K184" i="329"/>
  <c r="J184" i="329"/>
  <c r="I184" i="329"/>
  <c r="G184" i="329"/>
  <c r="F184" i="329"/>
  <c r="E184" i="329"/>
  <c r="L183" i="329"/>
  <c r="M183" i="329" s="1"/>
  <c r="O183" i="329" s="1"/>
  <c r="H183" i="329"/>
  <c r="L181" i="329"/>
  <c r="L601" i="329" s="1"/>
  <c r="H181" i="329"/>
  <c r="H601" i="329" s="1"/>
  <c r="L180" i="329"/>
  <c r="H180" i="329"/>
  <c r="M180" i="329" s="1"/>
  <c r="O180" i="329" s="1"/>
  <c r="M179" i="329"/>
  <c r="O179" i="329" s="1"/>
  <c r="L179" i="329"/>
  <c r="H179" i="329"/>
  <c r="L178" i="329"/>
  <c r="M178" i="329" s="1"/>
  <c r="O178" i="329" s="1"/>
  <c r="H178" i="329"/>
  <c r="L177" i="329"/>
  <c r="H177" i="329"/>
  <c r="M177" i="329" s="1"/>
  <c r="O177" i="329" s="1"/>
  <c r="L176" i="329"/>
  <c r="H176" i="329"/>
  <c r="M176" i="329" s="1"/>
  <c r="O176" i="329" s="1"/>
  <c r="M175" i="329"/>
  <c r="O175" i="329" s="1"/>
  <c r="L175" i="329"/>
  <c r="H175" i="329"/>
  <c r="L174" i="329"/>
  <c r="M174" i="329" s="1"/>
  <c r="O174" i="329" s="1"/>
  <c r="H174" i="329"/>
  <c r="L172" i="329"/>
  <c r="H172" i="329"/>
  <c r="M172" i="329" s="1"/>
  <c r="L171" i="329"/>
  <c r="H171" i="329"/>
  <c r="L170" i="329"/>
  <c r="L184" i="329" s="1"/>
  <c r="E170" i="329"/>
  <c r="D170" i="329"/>
  <c r="D184" i="329" s="1"/>
  <c r="C170" i="329"/>
  <c r="C184" i="329" s="1"/>
  <c r="N168" i="329"/>
  <c r="K168" i="329"/>
  <c r="J168" i="329"/>
  <c r="I168" i="329"/>
  <c r="G168" i="329"/>
  <c r="F168" i="329"/>
  <c r="E168" i="329"/>
  <c r="D168" i="329"/>
  <c r="C168" i="329"/>
  <c r="N167" i="329"/>
  <c r="K167" i="329"/>
  <c r="J167" i="329"/>
  <c r="I167" i="329"/>
  <c r="G167" i="329"/>
  <c r="F167" i="329"/>
  <c r="E167" i="329"/>
  <c r="D167" i="329"/>
  <c r="C167" i="329"/>
  <c r="N166" i="329"/>
  <c r="K166" i="329"/>
  <c r="K358" i="329" s="1"/>
  <c r="J166" i="329"/>
  <c r="J358" i="329" s="1"/>
  <c r="I166" i="329"/>
  <c r="G166" i="329"/>
  <c r="F166" i="329"/>
  <c r="F358" i="329" s="1"/>
  <c r="L165" i="329"/>
  <c r="H165" i="329"/>
  <c r="L164" i="329"/>
  <c r="L612" i="329" s="1"/>
  <c r="H164" i="329"/>
  <c r="L162" i="329"/>
  <c r="H162" i="329"/>
  <c r="M162" i="329" s="1"/>
  <c r="O162" i="329" s="1"/>
  <c r="L161" i="329"/>
  <c r="H161" i="329"/>
  <c r="L160" i="329"/>
  <c r="H160" i="329"/>
  <c r="L159" i="329"/>
  <c r="H159" i="329"/>
  <c r="M159" i="329" s="1"/>
  <c r="O159" i="329" s="1"/>
  <c r="L158" i="329"/>
  <c r="H158" i="329"/>
  <c r="M158" i="329" s="1"/>
  <c r="O158" i="329" s="1"/>
  <c r="L157" i="329"/>
  <c r="H157" i="329"/>
  <c r="L156" i="329"/>
  <c r="H156" i="329"/>
  <c r="L155" i="329"/>
  <c r="M155" i="329" s="1"/>
  <c r="O155" i="329" s="1"/>
  <c r="H155" i="329"/>
  <c r="L153" i="329"/>
  <c r="L168" i="329" s="1"/>
  <c r="H153" i="329"/>
  <c r="H168" i="329" s="1"/>
  <c r="L152" i="329"/>
  <c r="L167" i="329" s="1"/>
  <c r="H152" i="329"/>
  <c r="H167" i="329" s="1"/>
  <c r="L151" i="329"/>
  <c r="L166" i="329" s="1"/>
  <c r="E151" i="329"/>
  <c r="E166" i="329" s="1"/>
  <c r="D151" i="329"/>
  <c r="D166" i="329" s="1"/>
  <c r="D358" i="329" s="1"/>
  <c r="C151" i="329"/>
  <c r="H151" i="329" s="1"/>
  <c r="N148" i="329"/>
  <c r="K148" i="329"/>
  <c r="J148" i="329"/>
  <c r="I148" i="329"/>
  <c r="G148" i="329"/>
  <c r="F148" i="329"/>
  <c r="E148" i="329"/>
  <c r="D148" i="329"/>
  <c r="C148" i="329"/>
  <c r="N147" i="329"/>
  <c r="K147" i="329"/>
  <c r="J147" i="329"/>
  <c r="I147" i="329"/>
  <c r="G147" i="329"/>
  <c r="F147" i="329"/>
  <c r="E147" i="329"/>
  <c r="D147" i="329"/>
  <c r="C147" i="329"/>
  <c r="N146" i="329"/>
  <c r="K146" i="329"/>
  <c r="J146" i="329"/>
  <c r="I146" i="329"/>
  <c r="G146" i="329"/>
  <c r="F146" i="329"/>
  <c r="E146" i="329"/>
  <c r="D146" i="329"/>
  <c r="L145" i="329"/>
  <c r="M145" i="329" s="1"/>
  <c r="O145" i="329" s="1"/>
  <c r="H145" i="329"/>
  <c r="L143" i="329"/>
  <c r="M143" i="329" s="1"/>
  <c r="O143" i="329" s="1"/>
  <c r="H143" i="329"/>
  <c r="L142" i="329"/>
  <c r="H142" i="329"/>
  <c r="L141" i="329"/>
  <c r="M141" i="329" s="1"/>
  <c r="O141" i="329" s="1"/>
  <c r="H141" i="329"/>
  <c r="L140" i="329"/>
  <c r="M140" i="329" s="1"/>
  <c r="O140" i="329" s="1"/>
  <c r="H140" i="329"/>
  <c r="L139" i="329"/>
  <c r="M139" i="329" s="1"/>
  <c r="O139" i="329" s="1"/>
  <c r="H139" i="329"/>
  <c r="L138" i="329"/>
  <c r="M138" i="329" s="1"/>
  <c r="O138" i="329" s="1"/>
  <c r="H138" i="329"/>
  <c r="L137" i="329"/>
  <c r="M137" i="329" s="1"/>
  <c r="O137" i="329" s="1"/>
  <c r="H137" i="329"/>
  <c r="L135" i="329"/>
  <c r="L148" i="329" s="1"/>
  <c r="H135" i="329"/>
  <c r="H148" i="329" s="1"/>
  <c r="L134" i="329"/>
  <c r="H134" i="329"/>
  <c r="L133" i="329"/>
  <c r="L146" i="329" s="1"/>
  <c r="E133" i="329"/>
  <c r="D133" i="329"/>
  <c r="C133" i="329"/>
  <c r="C146" i="329" s="1"/>
  <c r="N131" i="329"/>
  <c r="L131" i="329"/>
  <c r="K131" i="329"/>
  <c r="J131" i="329"/>
  <c r="I131" i="329"/>
  <c r="G131" i="329"/>
  <c r="F131" i="329"/>
  <c r="E131" i="329"/>
  <c r="D131" i="329"/>
  <c r="C131" i="329"/>
  <c r="N130" i="329"/>
  <c r="K130" i="329"/>
  <c r="J130" i="329"/>
  <c r="I130" i="329"/>
  <c r="G130" i="329"/>
  <c r="F130" i="329"/>
  <c r="E130" i="329"/>
  <c r="D130" i="329"/>
  <c r="C130" i="329"/>
  <c r="N129" i="329"/>
  <c r="K129" i="329"/>
  <c r="J129" i="329"/>
  <c r="I129" i="329"/>
  <c r="G129" i="329"/>
  <c r="F129" i="329"/>
  <c r="D129" i="329"/>
  <c r="C129" i="329"/>
  <c r="L128" i="329"/>
  <c r="H128" i="329"/>
  <c r="M128" i="329" s="1"/>
  <c r="O128" i="329" s="1"/>
  <c r="L126" i="329"/>
  <c r="H126" i="329"/>
  <c r="M126" i="329" s="1"/>
  <c r="O126" i="329" s="1"/>
  <c r="L125" i="329"/>
  <c r="H125" i="329"/>
  <c r="M125" i="329" s="1"/>
  <c r="O125" i="329" s="1"/>
  <c r="L124" i="329"/>
  <c r="H124" i="329"/>
  <c r="M124" i="329" s="1"/>
  <c r="O124" i="329" s="1"/>
  <c r="L123" i="329"/>
  <c r="H123" i="329"/>
  <c r="M123" i="329" s="1"/>
  <c r="O123" i="329" s="1"/>
  <c r="L122" i="329"/>
  <c r="H122" i="329"/>
  <c r="M122" i="329" s="1"/>
  <c r="O122" i="329" s="1"/>
  <c r="L121" i="329"/>
  <c r="H121" i="329"/>
  <c r="M121" i="329" s="1"/>
  <c r="O121" i="329" s="1"/>
  <c r="L120" i="329"/>
  <c r="H120" i="329"/>
  <c r="M120" i="329" s="1"/>
  <c r="O120" i="329" s="1"/>
  <c r="L119" i="329"/>
  <c r="H119" i="329"/>
  <c r="M119" i="329" s="1"/>
  <c r="O119" i="329" s="1"/>
  <c r="L117" i="329"/>
  <c r="H117" i="329"/>
  <c r="M117" i="329" s="1"/>
  <c r="L116" i="329"/>
  <c r="L130" i="329" s="1"/>
  <c r="H116" i="329"/>
  <c r="H130" i="329" s="1"/>
  <c r="L115" i="329"/>
  <c r="L129" i="329" s="1"/>
  <c r="H115" i="329"/>
  <c r="H129" i="329" s="1"/>
  <c r="E115" i="329"/>
  <c r="E129" i="329" s="1"/>
  <c r="D115" i="329"/>
  <c r="C115" i="329"/>
  <c r="N113" i="329"/>
  <c r="L113" i="329"/>
  <c r="K113" i="329"/>
  <c r="J113" i="329"/>
  <c r="I113" i="329"/>
  <c r="G113" i="329"/>
  <c r="F113" i="329"/>
  <c r="E113" i="329"/>
  <c r="D113" i="329"/>
  <c r="C113" i="329"/>
  <c r="N112" i="329"/>
  <c r="L112" i="329"/>
  <c r="K112" i="329"/>
  <c r="J112" i="329"/>
  <c r="I112" i="329"/>
  <c r="H112" i="329"/>
  <c r="G112" i="329"/>
  <c r="F112" i="329"/>
  <c r="E112" i="329"/>
  <c r="D112" i="329"/>
  <c r="C112" i="329"/>
  <c r="N111" i="329"/>
  <c r="K111" i="329"/>
  <c r="J111" i="329"/>
  <c r="I111" i="329"/>
  <c r="G111" i="329"/>
  <c r="F111" i="329"/>
  <c r="C111" i="329"/>
  <c r="L110" i="329"/>
  <c r="H110" i="329"/>
  <c r="M110" i="329" s="1"/>
  <c r="O110" i="329" s="1"/>
  <c r="L108" i="329"/>
  <c r="H108" i="329"/>
  <c r="M108" i="329" s="1"/>
  <c r="O108" i="329" s="1"/>
  <c r="L107" i="329"/>
  <c r="H107" i="329"/>
  <c r="M107" i="329" s="1"/>
  <c r="O107" i="329" s="1"/>
  <c r="L106" i="329"/>
  <c r="H106" i="329"/>
  <c r="M106" i="329" s="1"/>
  <c r="O106" i="329" s="1"/>
  <c r="L105" i="329"/>
  <c r="H105" i="329"/>
  <c r="M105" i="329" s="1"/>
  <c r="O105" i="329" s="1"/>
  <c r="L104" i="329"/>
  <c r="H104" i="329"/>
  <c r="M104" i="329" s="1"/>
  <c r="O104" i="329" s="1"/>
  <c r="L103" i="329"/>
  <c r="H103" i="329"/>
  <c r="M103" i="329" s="1"/>
  <c r="O103" i="329" s="1"/>
  <c r="L101" i="329"/>
  <c r="H101" i="329"/>
  <c r="M101" i="329" s="1"/>
  <c r="L100" i="329"/>
  <c r="H100" i="329"/>
  <c r="M100" i="329" s="1"/>
  <c r="L99" i="329"/>
  <c r="L111" i="329" s="1"/>
  <c r="E99" i="329"/>
  <c r="E111" i="329" s="1"/>
  <c r="D99" i="329"/>
  <c r="D111" i="329" s="1"/>
  <c r="C99" i="329"/>
  <c r="N97" i="329"/>
  <c r="K97" i="329"/>
  <c r="J97" i="329"/>
  <c r="I97" i="329"/>
  <c r="G97" i="329"/>
  <c r="F97" i="329"/>
  <c r="E97" i="329"/>
  <c r="D97" i="329"/>
  <c r="C97" i="329"/>
  <c r="N96" i="329"/>
  <c r="K96" i="329"/>
  <c r="J96" i="329"/>
  <c r="I96" i="329"/>
  <c r="G96" i="329"/>
  <c r="F96" i="329"/>
  <c r="E96" i="329"/>
  <c r="D96" i="329"/>
  <c r="C96" i="329"/>
  <c r="N95" i="329"/>
  <c r="K95" i="329"/>
  <c r="J95" i="329"/>
  <c r="I95" i="329"/>
  <c r="G95" i="329"/>
  <c r="F95" i="329"/>
  <c r="E95" i="329"/>
  <c r="M94" i="329"/>
  <c r="O94" i="329" s="1"/>
  <c r="L94" i="329"/>
  <c r="H94" i="329"/>
  <c r="M92" i="329"/>
  <c r="O92" i="329" s="1"/>
  <c r="L92" i="329"/>
  <c r="H92" i="329"/>
  <c r="M91" i="329"/>
  <c r="O91" i="329" s="1"/>
  <c r="L91" i="329"/>
  <c r="H91" i="329"/>
  <c r="M90" i="329"/>
  <c r="O90" i="329" s="1"/>
  <c r="L90" i="329"/>
  <c r="H90" i="329"/>
  <c r="M89" i="329"/>
  <c r="O89" i="329" s="1"/>
  <c r="L89" i="329"/>
  <c r="H89" i="329"/>
  <c r="L88" i="329"/>
  <c r="H88" i="329"/>
  <c r="M88" i="329" s="1"/>
  <c r="O88" i="329" s="1"/>
  <c r="M87" i="329"/>
  <c r="O87" i="329" s="1"/>
  <c r="L87" i="329"/>
  <c r="L96" i="329" s="1"/>
  <c r="H87" i="329"/>
  <c r="H96" i="329" s="1"/>
  <c r="M86" i="329"/>
  <c r="O86" i="329" s="1"/>
  <c r="L86" i="329"/>
  <c r="H86" i="329"/>
  <c r="M84" i="329"/>
  <c r="M97" i="329" s="1"/>
  <c r="L84" i="329"/>
  <c r="L97" i="329" s="1"/>
  <c r="H84" i="329"/>
  <c r="H97" i="329" s="1"/>
  <c r="M83" i="329"/>
  <c r="O83" i="329" s="1"/>
  <c r="L83" i="329"/>
  <c r="H83" i="329"/>
  <c r="L82" i="329"/>
  <c r="L95" i="329" s="1"/>
  <c r="E82" i="329"/>
  <c r="D82" i="329"/>
  <c r="D95" i="329" s="1"/>
  <c r="C82" i="329"/>
  <c r="C95" i="329" s="1"/>
  <c r="N80" i="329"/>
  <c r="K80" i="329"/>
  <c r="J80" i="329"/>
  <c r="I80" i="329"/>
  <c r="G80" i="329"/>
  <c r="F80" i="329"/>
  <c r="E80" i="329"/>
  <c r="D80" i="329"/>
  <c r="C80" i="329"/>
  <c r="N79" i="329"/>
  <c r="K79" i="329"/>
  <c r="J79" i="329"/>
  <c r="I79" i="329"/>
  <c r="G79" i="329"/>
  <c r="F79" i="329"/>
  <c r="E79" i="329"/>
  <c r="D79" i="329"/>
  <c r="C79" i="329"/>
  <c r="N78" i="329"/>
  <c r="K78" i="329"/>
  <c r="J78" i="329"/>
  <c r="I78" i="329"/>
  <c r="I149" i="329" s="1"/>
  <c r="G78" i="329"/>
  <c r="F78" i="329"/>
  <c r="E78" i="329"/>
  <c r="D78" i="329"/>
  <c r="D149" i="329" s="1"/>
  <c r="L77" i="329"/>
  <c r="M77" i="329" s="1"/>
  <c r="O77" i="329" s="1"/>
  <c r="H77" i="329"/>
  <c r="L75" i="329"/>
  <c r="L604" i="329" s="1"/>
  <c r="H75" i="329"/>
  <c r="H604" i="329" s="1"/>
  <c r="L74" i="329"/>
  <c r="M74" i="329" s="1"/>
  <c r="O74" i="329" s="1"/>
  <c r="H74" i="329"/>
  <c r="L73" i="329"/>
  <c r="M73" i="329" s="1"/>
  <c r="O73" i="329" s="1"/>
  <c r="H73" i="329"/>
  <c r="L72" i="329"/>
  <c r="M72" i="329" s="1"/>
  <c r="O72" i="329" s="1"/>
  <c r="H72" i="329"/>
  <c r="L71" i="329"/>
  <c r="M71" i="329" s="1"/>
  <c r="O71" i="329" s="1"/>
  <c r="H71" i="329"/>
  <c r="L70" i="329"/>
  <c r="M70" i="329" s="1"/>
  <c r="O70" i="329" s="1"/>
  <c r="H70" i="329"/>
  <c r="L69" i="329"/>
  <c r="M69" i="329" s="1"/>
  <c r="O69" i="329" s="1"/>
  <c r="H69" i="329"/>
  <c r="L68" i="329"/>
  <c r="M68" i="329" s="1"/>
  <c r="O68" i="329" s="1"/>
  <c r="H68" i="329"/>
  <c r="L66" i="329"/>
  <c r="L80" i="329" s="1"/>
  <c r="H66" i="329"/>
  <c r="H80" i="329" s="1"/>
  <c r="L65" i="329"/>
  <c r="M65" i="329" s="1"/>
  <c r="H65" i="329"/>
  <c r="H79" i="329" s="1"/>
  <c r="L64" i="329"/>
  <c r="L78" i="329" s="1"/>
  <c r="E64" i="329"/>
  <c r="D64" i="329"/>
  <c r="C64" i="329"/>
  <c r="C78" i="329" s="1"/>
  <c r="N62" i="329"/>
  <c r="L62" i="329"/>
  <c r="K62" i="329"/>
  <c r="J62" i="329"/>
  <c r="I62" i="329"/>
  <c r="G62" i="329"/>
  <c r="F62" i="329"/>
  <c r="E62" i="329"/>
  <c r="D62" i="329"/>
  <c r="C62" i="329"/>
  <c r="N61" i="329"/>
  <c r="K61" i="329"/>
  <c r="J61" i="329"/>
  <c r="I61" i="329"/>
  <c r="G61" i="329"/>
  <c r="F61" i="329"/>
  <c r="E61" i="329"/>
  <c r="D61" i="329"/>
  <c r="C61" i="329"/>
  <c r="N60" i="329"/>
  <c r="N149" i="329" s="1"/>
  <c r="K60" i="329"/>
  <c r="J60" i="329"/>
  <c r="J149" i="329" s="1"/>
  <c r="I60" i="329"/>
  <c r="G60" i="329"/>
  <c r="G149" i="329" s="1"/>
  <c r="F60" i="329"/>
  <c r="D60" i="329"/>
  <c r="C60" i="329"/>
  <c r="L59" i="329"/>
  <c r="H59" i="329"/>
  <c r="M59" i="329" s="1"/>
  <c r="O59" i="329" s="1"/>
  <c r="L57" i="329"/>
  <c r="H57" i="329"/>
  <c r="M57" i="329" s="1"/>
  <c r="O57" i="329" s="1"/>
  <c r="L56" i="329"/>
  <c r="H56" i="329"/>
  <c r="M56" i="329" s="1"/>
  <c r="O56" i="329" s="1"/>
  <c r="L55" i="329"/>
  <c r="L593" i="329" s="1"/>
  <c r="H55" i="329"/>
  <c r="L54" i="329"/>
  <c r="H54" i="329"/>
  <c r="M54" i="329" s="1"/>
  <c r="O54" i="329" s="1"/>
  <c r="L53" i="329"/>
  <c r="H53" i="329"/>
  <c r="M53" i="329" s="1"/>
  <c r="O53" i="329" s="1"/>
  <c r="L52" i="329"/>
  <c r="H52" i="329"/>
  <c r="M52" i="329" s="1"/>
  <c r="O52" i="329" s="1"/>
  <c r="L51" i="329"/>
  <c r="H51" i="329"/>
  <c r="M51" i="329" s="1"/>
  <c r="O51" i="329" s="1"/>
  <c r="L50" i="329"/>
  <c r="H50" i="329"/>
  <c r="M50" i="329" s="1"/>
  <c r="O50" i="329" s="1"/>
  <c r="L48" i="329"/>
  <c r="H48" i="329"/>
  <c r="M48" i="329" s="1"/>
  <c r="L47" i="329"/>
  <c r="L61" i="329" s="1"/>
  <c r="H47" i="329"/>
  <c r="H61" i="329" s="1"/>
  <c r="L46" i="329"/>
  <c r="L60" i="329" s="1"/>
  <c r="H46" i="329"/>
  <c r="M46" i="329" s="1"/>
  <c r="E46" i="329"/>
  <c r="E60" i="329" s="1"/>
  <c r="D46" i="329"/>
  <c r="C46" i="329"/>
  <c r="N43" i="329"/>
  <c r="L43" i="329"/>
  <c r="K43" i="329"/>
  <c r="J43" i="329"/>
  <c r="I43" i="329"/>
  <c r="G43" i="329"/>
  <c r="F43" i="329"/>
  <c r="E43" i="329"/>
  <c r="D43" i="329"/>
  <c r="C43" i="329"/>
  <c r="N42" i="329"/>
  <c r="K42" i="329"/>
  <c r="J42" i="329"/>
  <c r="I42" i="329"/>
  <c r="G42" i="329"/>
  <c r="F42" i="329"/>
  <c r="E42" i="329"/>
  <c r="D42" i="329"/>
  <c r="C42" i="329"/>
  <c r="N41" i="329"/>
  <c r="K41" i="329"/>
  <c r="K44" i="329" s="1"/>
  <c r="J41" i="329"/>
  <c r="I41" i="329"/>
  <c r="G41" i="329"/>
  <c r="G44" i="329" s="1"/>
  <c r="F41" i="329"/>
  <c r="D41" i="329"/>
  <c r="C41" i="329"/>
  <c r="C44" i="329" s="1"/>
  <c r="L40" i="329"/>
  <c r="H40" i="329"/>
  <c r="M40" i="329" s="1"/>
  <c r="O40" i="329" s="1"/>
  <c r="L38" i="329"/>
  <c r="H38" i="329"/>
  <c r="M38" i="329" s="1"/>
  <c r="O38" i="329" s="1"/>
  <c r="L37" i="329"/>
  <c r="H37" i="329"/>
  <c r="M37" i="329" s="1"/>
  <c r="O37" i="329" s="1"/>
  <c r="L36" i="329"/>
  <c r="H36" i="329"/>
  <c r="M36" i="329" s="1"/>
  <c r="O36" i="329" s="1"/>
  <c r="L35" i="329"/>
  <c r="H35" i="329"/>
  <c r="M35" i="329" s="1"/>
  <c r="O35" i="329" s="1"/>
  <c r="L34" i="329"/>
  <c r="H34" i="329"/>
  <c r="M34" i="329" s="1"/>
  <c r="O34" i="329" s="1"/>
  <c r="L33" i="329"/>
  <c r="H33" i="329"/>
  <c r="H588" i="329" s="1"/>
  <c r="L32" i="329"/>
  <c r="H32" i="329"/>
  <c r="M32" i="329" s="1"/>
  <c r="O32" i="329" s="1"/>
  <c r="L31" i="329"/>
  <c r="H31" i="329"/>
  <c r="M31" i="329" s="1"/>
  <c r="O31" i="329" s="1"/>
  <c r="L29" i="329"/>
  <c r="H29" i="329"/>
  <c r="M29" i="329" s="1"/>
  <c r="L28" i="329"/>
  <c r="L42" i="329" s="1"/>
  <c r="H28" i="329"/>
  <c r="H42" i="329" s="1"/>
  <c r="L27" i="329"/>
  <c r="L41" i="329" s="1"/>
  <c r="H27" i="329"/>
  <c r="M27" i="329" s="1"/>
  <c r="E27" i="329"/>
  <c r="E41" i="329" s="1"/>
  <c r="D27" i="329"/>
  <c r="C27" i="329"/>
  <c r="N25" i="329"/>
  <c r="L25" i="329"/>
  <c r="K25" i="329"/>
  <c r="K632" i="329" s="1"/>
  <c r="K639" i="329" s="1"/>
  <c r="K649" i="329" s="1"/>
  <c r="J25" i="329"/>
  <c r="I25" i="329"/>
  <c r="G25" i="329"/>
  <c r="G632" i="329" s="1"/>
  <c r="G639" i="329" s="1"/>
  <c r="F25" i="329"/>
  <c r="E25" i="329"/>
  <c r="D25" i="329"/>
  <c r="C25" i="329"/>
  <c r="C632" i="329" s="1"/>
  <c r="C639" i="329" s="1"/>
  <c r="N24" i="329"/>
  <c r="L24" i="329"/>
  <c r="K24" i="329"/>
  <c r="J24" i="329"/>
  <c r="I24" i="329"/>
  <c r="H24" i="329"/>
  <c r="G24" i="329"/>
  <c r="F24" i="329"/>
  <c r="E24" i="329"/>
  <c r="D24" i="329"/>
  <c r="D631" i="329" s="1"/>
  <c r="D638" i="329" s="1"/>
  <c r="C24" i="329"/>
  <c r="N23" i="329"/>
  <c r="N44" i="329" s="1"/>
  <c r="K23" i="329"/>
  <c r="J23" i="329"/>
  <c r="J44" i="329" s="1"/>
  <c r="J359" i="329" s="1"/>
  <c r="I23" i="329"/>
  <c r="I44" i="329" s="1"/>
  <c r="G23" i="329"/>
  <c r="F23" i="329"/>
  <c r="F44" i="329" s="1"/>
  <c r="C23" i="329"/>
  <c r="L22" i="329"/>
  <c r="H22" i="329"/>
  <c r="L20" i="329"/>
  <c r="L605" i="329" s="1"/>
  <c r="H20" i="329"/>
  <c r="L19" i="329"/>
  <c r="H19" i="329"/>
  <c r="L18" i="329"/>
  <c r="H18" i="329"/>
  <c r="L17" i="329"/>
  <c r="H17" i="329"/>
  <c r="L16" i="329"/>
  <c r="H16" i="329"/>
  <c r="M16" i="329" s="1"/>
  <c r="L15" i="329"/>
  <c r="H15" i="329"/>
  <c r="L14" i="329"/>
  <c r="H14" i="329"/>
  <c r="L13" i="329"/>
  <c r="H13" i="329"/>
  <c r="L12" i="329"/>
  <c r="H12" i="329"/>
  <c r="O11" i="329"/>
  <c r="M11" i="329"/>
  <c r="L11" i="329"/>
  <c r="M10" i="329"/>
  <c r="L10" i="329"/>
  <c r="H10" i="329"/>
  <c r="M9" i="329"/>
  <c r="L9" i="329"/>
  <c r="H9" i="329"/>
  <c r="L8" i="329"/>
  <c r="L23" i="329" s="1"/>
  <c r="E8" i="329"/>
  <c r="D8" i="329"/>
  <c r="D583" i="329" s="1"/>
  <c r="D630" i="329" s="1"/>
  <c r="C8" i="329"/>
  <c r="H8" i="329" s="1"/>
  <c r="L594" i="329" l="1"/>
  <c r="H593" i="329"/>
  <c r="L218" i="329"/>
  <c r="M214" i="329"/>
  <c r="O214" i="329" s="1"/>
  <c r="H147" i="329"/>
  <c r="I644" i="329"/>
  <c r="M142" i="329"/>
  <c r="O142" i="329" s="1"/>
  <c r="F149" i="329"/>
  <c r="F359" i="329" s="1"/>
  <c r="K149" i="329"/>
  <c r="L147" i="329"/>
  <c r="J630" i="329"/>
  <c r="J637" i="329" s="1"/>
  <c r="E644" i="329"/>
  <c r="F630" i="329"/>
  <c r="M8" i="329"/>
  <c r="H23" i="329"/>
  <c r="H44" i="329" s="1"/>
  <c r="O27" i="329"/>
  <c r="M25" i="329"/>
  <c r="O16" i="329"/>
  <c r="E149" i="329"/>
  <c r="M222" i="329"/>
  <c r="H235" i="329"/>
  <c r="K359" i="329"/>
  <c r="O46" i="329"/>
  <c r="O48" i="329"/>
  <c r="O62" i="329" s="1"/>
  <c r="M62" i="329"/>
  <c r="C149" i="329"/>
  <c r="O65" i="329"/>
  <c r="M112" i="329"/>
  <c r="O100" i="329"/>
  <c r="O112" i="329" s="1"/>
  <c r="O172" i="329"/>
  <c r="O186" i="329" s="1"/>
  <c r="M186" i="329"/>
  <c r="O219" i="329"/>
  <c r="O29" i="329"/>
  <c r="O43" i="329" s="1"/>
  <c r="M43" i="329"/>
  <c r="M113" i="329"/>
  <c r="O101" i="329"/>
  <c r="O113" i="329" s="1"/>
  <c r="M151" i="329"/>
  <c r="H166" i="329"/>
  <c r="L44" i="329"/>
  <c r="L149" i="329"/>
  <c r="O96" i="329"/>
  <c r="O117" i="329"/>
  <c r="O131" i="329" s="1"/>
  <c r="M131" i="329"/>
  <c r="L358" i="329"/>
  <c r="L416" i="329"/>
  <c r="D637" i="329"/>
  <c r="D635" i="329"/>
  <c r="H43" i="329"/>
  <c r="H62" i="329"/>
  <c r="H131" i="329"/>
  <c r="H186" i="329"/>
  <c r="L186" i="329"/>
  <c r="H219" i="329"/>
  <c r="H236" i="329"/>
  <c r="M223" i="329"/>
  <c r="O252" i="329"/>
  <c r="H288" i="329"/>
  <c r="M274" i="329"/>
  <c r="M304" i="329"/>
  <c r="O291" i="329"/>
  <c r="O304" i="329" s="1"/>
  <c r="O344" i="329"/>
  <c r="O357" i="329" s="1"/>
  <c r="M357" i="329"/>
  <c r="H448" i="329"/>
  <c r="C466" i="329"/>
  <c r="L527" i="329"/>
  <c r="E583" i="329"/>
  <c r="E630" i="329" s="1"/>
  <c r="O9" i="329"/>
  <c r="O10" i="329"/>
  <c r="H587" i="329"/>
  <c r="H592" i="329"/>
  <c r="H597" i="329"/>
  <c r="H605" i="329"/>
  <c r="H614" i="329"/>
  <c r="I631" i="329"/>
  <c r="I638" i="329" s="1"/>
  <c r="I648" i="329" s="1"/>
  <c r="H41" i="329"/>
  <c r="H60" i="329"/>
  <c r="M66" i="329"/>
  <c r="O84" i="329"/>
  <c r="O97" i="329" s="1"/>
  <c r="H113" i="329"/>
  <c r="M134" i="329"/>
  <c r="M152" i="329"/>
  <c r="G358" i="329"/>
  <c r="G359" i="329" s="1"/>
  <c r="G559" i="329" s="1"/>
  <c r="G582" i="329" s="1"/>
  <c r="M240" i="329"/>
  <c r="M252" i="329"/>
  <c r="E416" i="329"/>
  <c r="M420" i="329"/>
  <c r="I558" i="329"/>
  <c r="H470" i="329"/>
  <c r="M598" i="329"/>
  <c r="O568" i="329"/>
  <c r="O598" i="329" s="1"/>
  <c r="F637" i="329"/>
  <c r="F635" i="329"/>
  <c r="L585" i="329"/>
  <c r="L587" i="329"/>
  <c r="L591" i="329"/>
  <c r="L592" i="329"/>
  <c r="L596" i="329"/>
  <c r="L597" i="329"/>
  <c r="L603" i="329"/>
  <c r="L614" i="329"/>
  <c r="D23" i="329"/>
  <c r="D44" i="329" s="1"/>
  <c r="D359" i="329" s="1"/>
  <c r="F631" i="329"/>
  <c r="F638" i="329" s="1"/>
  <c r="J631" i="329"/>
  <c r="J638" i="329" s="1"/>
  <c r="N631" i="329"/>
  <c r="N638" i="329" s="1"/>
  <c r="E632" i="329"/>
  <c r="E639" i="329" s="1"/>
  <c r="I632" i="329"/>
  <c r="I639" i="329" s="1"/>
  <c r="M28" i="329"/>
  <c r="M33" i="329"/>
  <c r="M47" i="329"/>
  <c r="M55" i="329"/>
  <c r="L79" i="329"/>
  <c r="L631" i="329" s="1"/>
  <c r="L638" i="329" s="1"/>
  <c r="H82" i="329"/>
  <c r="M96" i="329"/>
  <c r="M115" i="329"/>
  <c r="M116" i="329"/>
  <c r="E358" i="329"/>
  <c r="M157" i="329"/>
  <c r="O157" i="329" s="1"/>
  <c r="M161" i="329"/>
  <c r="O161" i="329" s="1"/>
  <c r="C166" i="329"/>
  <c r="C358" i="329" s="1"/>
  <c r="H170" i="329"/>
  <c r="L185" i="329"/>
  <c r="M181" i="329"/>
  <c r="H205" i="329"/>
  <c r="O207" i="329"/>
  <c r="O220" i="329" s="1"/>
  <c r="M224" i="329"/>
  <c r="M227" i="329"/>
  <c r="O227" i="329" s="1"/>
  <c r="M229" i="329"/>
  <c r="O229" i="329" s="1"/>
  <c r="M231" i="329"/>
  <c r="O231" i="329" s="1"/>
  <c r="M234" i="329"/>
  <c r="O234" i="329" s="1"/>
  <c r="C250" i="329"/>
  <c r="H239" i="329"/>
  <c r="H272" i="329"/>
  <c r="M322" i="329"/>
  <c r="O308" i="329"/>
  <c r="O322" i="329" s="1"/>
  <c r="M339" i="329"/>
  <c r="H361" i="329"/>
  <c r="O381" i="329"/>
  <c r="H397" i="329"/>
  <c r="M382" i="329"/>
  <c r="M385" i="329"/>
  <c r="O385" i="329" s="1"/>
  <c r="M387" i="329"/>
  <c r="O387" i="329" s="1"/>
  <c r="M389" i="329"/>
  <c r="O389" i="329" s="1"/>
  <c r="M391" i="329"/>
  <c r="O391" i="329" s="1"/>
  <c r="H607" i="329"/>
  <c r="M393" i="329"/>
  <c r="H396" i="329"/>
  <c r="L414" i="329"/>
  <c r="O402" i="329"/>
  <c r="O415" i="329" s="1"/>
  <c r="M415" i="329"/>
  <c r="L431" i="329"/>
  <c r="M419" i="329"/>
  <c r="D558" i="329"/>
  <c r="O590" i="329"/>
  <c r="H511" i="329"/>
  <c r="M499" i="329"/>
  <c r="L621" i="329"/>
  <c r="M525" i="329"/>
  <c r="O525" i="329" s="1"/>
  <c r="O621" i="329" s="1"/>
  <c r="H594" i="329"/>
  <c r="H612" i="329"/>
  <c r="M164" i="329"/>
  <c r="H220" i="329"/>
  <c r="M325" i="329"/>
  <c r="H338" i="329"/>
  <c r="M342" i="329"/>
  <c r="H355" i="329"/>
  <c r="H378" i="329"/>
  <c r="J635" i="329"/>
  <c r="H585" i="329"/>
  <c r="H591" i="329"/>
  <c r="H596" i="329"/>
  <c r="H603" i="329"/>
  <c r="E631" i="329"/>
  <c r="E638" i="329" s="1"/>
  <c r="D632" i="329"/>
  <c r="D639" i="329" s="1"/>
  <c r="D649" i="329" s="1"/>
  <c r="H25" i="329"/>
  <c r="L588" i="329"/>
  <c r="M75" i="329"/>
  <c r="H99" i="329"/>
  <c r="M135" i="329"/>
  <c r="M153" i="329"/>
  <c r="H185" i="329"/>
  <c r="H631" i="329" s="1"/>
  <c r="H638" i="329" s="1"/>
  <c r="H287" i="329"/>
  <c r="M273" i="329"/>
  <c r="M323" i="329"/>
  <c r="O309" i="329"/>
  <c r="O323" i="329" s="1"/>
  <c r="H357" i="329"/>
  <c r="O617" i="329"/>
  <c r="O566" i="329"/>
  <c r="O586" i="329" s="1"/>
  <c r="M586" i="329"/>
  <c r="C583" i="329"/>
  <c r="C630" i="329" s="1"/>
  <c r="M12" i="329"/>
  <c r="M13" i="329"/>
  <c r="M14" i="329"/>
  <c r="M15" i="329"/>
  <c r="M17" i="329"/>
  <c r="M18" i="329"/>
  <c r="M19" i="329"/>
  <c r="M20" i="329"/>
  <c r="M22" i="329"/>
  <c r="E23" i="329"/>
  <c r="E44" i="329" s="1"/>
  <c r="E359" i="329" s="1"/>
  <c r="C631" i="329"/>
  <c r="C638" i="329" s="1"/>
  <c r="G631" i="329"/>
  <c r="G638" i="329" s="1"/>
  <c r="K631" i="329"/>
  <c r="K638" i="329" s="1"/>
  <c r="F632" i="329"/>
  <c r="F639" i="329" s="1"/>
  <c r="F649" i="329" s="1"/>
  <c r="J632" i="329"/>
  <c r="J639" i="329" s="1"/>
  <c r="J649" i="329" s="1"/>
  <c r="N632" i="329"/>
  <c r="N639" i="329" s="1"/>
  <c r="H64" i="329"/>
  <c r="H133" i="329"/>
  <c r="M156" i="329"/>
  <c r="O156" i="329" s="1"/>
  <c r="M160" i="329"/>
  <c r="O160" i="329" s="1"/>
  <c r="M165" i="329"/>
  <c r="O165" i="329" s="1"/>
  <c r="N358" i="329"/>
  <c r="N359" i="329" s="1"/>
  <c r="N559" i="329" s="1"/>
  <c r="N582" i="329" s="1"/>
  <c r="M171" i="329"/>
  <c r="C201" i="329"/>
  <c r="H188" i="329"/>
  <c r="L252" i="329"/>
  <c r="L632" i="329" s="1"/>
  <c r="L639" i="329" s="1"/>
  <c r="L304" i="329"/>
  <c r="O292" i="329"/>
  <c r="O305" i="329" s="1"/>
  <c r="M305" i="329"/>
  <c r="M414" i="329"/>
  <c r="O401" i="329"/>
  <c r="O414" i="329" s="1"/>
  <c r="L430" i="329"/>
  <c r="I583" i="329"/>
  <c r="I630" i="329" s="1"/>
  <c r="L448" i="329"/>
  <c r="L466" i="329" s="1"/>
  <c r="J466" i="329"/>
  <c r="J558" i="329" s="1"/>
  <c r="J559" i="329" s="1"/>
  <c r="J582" i="329" s="1"/>
  <c r="M471" i="329"/>
  <c r="H484" i="329"/>
  <c r="H602" i="329"/>
  <c r="M479" i="329"/>
  <c r="H487" i="329"/>
  <c r="M490" i="329"/>
  <c r="O490" i="329" s="1"/>
  <c r="O609" i="329" s="1"/>
  <c r="M492" i="329"/>
  <c r="O492" i="329" s="1"/>
  <c r="M494" i="329"/>
  <c r="O494" i="329" s="1"/>
  <c r="O616" i="329" s="1"/>
  <c r="H514" i="329"/>
  <c r="C526" i="329"/>
  <c r="M610" i="329"/>
  <c r="O518" i="329"/>
  <c r="O610" i="329" s="1"/>
  <c r="I358" i="329"/>
  <c r="I359" i="329" s="1"/>
  <c r="H254" i="329"/>
  <c r="L287" i="329"/>
  <c r="M283" i="329"/>
  <c r="O283" i="329" s="1"/>
  <c r="C303" i="329"/>
  <c r="H290" i="329"/>
  <c r="H339" i="329"/>
  <c r="H340" i="329"/>
  <c r="H356" i="329"/>
  <c r="M343" i="329"/>
  <c r="M346" i="329"/>
  <c r="O346" i="329" s="1"/>
  <c r="M348" i="329"/>
  <c r="O348" i="329" s="1"/>
  <c r="M350" i="329"/>
  <c r="O350" i="329" s="1"/>
  <c r="M352" i="329"/>
  <c r="O352" i="329" s="1"/>
  <c r="M383" i="329"/>
  <c r="M386" i="329"/>
  <c r="O386" i="329" s="1"/>
  <c r="M388" i="329"/>
  <c r="O388" i="329" s="1"/>
  <c r="M390" i="329"/>
  <c r="O390" i="329" s="1"/>
  <c r="M392" i="329"/>
  <c r="O392" i="329" s="1"/>
  <c r="M395" i="329"/>
  <c r="O395" i="329" s="1"/>
  <c r="C413" i="329"/>
  <c r="C416" i="329" s="1"/>
  <c r="H400" i="329"/>
  <c r="L609" i="329"/>
  <c r="L617" i="329"/>
  <c r="F558" i="329"/>
  <c r="H485" i="329"/>
  <c r="H497" i="329"/>
  <c r="M488" i="329"/>
  <c r="M491" i="329"/>
  <c r="O491" i="329" s="1"/>
  <c r="O611" i="329" s="1"/>
  <c r="M493" i="329"/>
  <c r="O493" i="329" s="1"/>
  <c r="O615" i="329" s="1"/>
  <c r="M495" i="329"/>
  <c r="O495" i="329" s="1"/>
  <c r="O622" i="329" s="1"/>
  <c r="L625" i="329"/>
  <c r="H539" i="329"/>
  <c r="M530" i="329"/>
  <c r="M533" i="329"/>
  <c r="O533" i="329" s="1"/>
  <c r="N630" i="329"/>
  <c r="H621" i="329"/>
  <c r="M282" i="329"/>
  <c r="O282" i="329" s="1"/>
  <c r="L356" i="329"/>
  <c r="M379" i="329"/>
  <c r="H589" i="329"/>
  <c r="M368" i="329"/>
  <c r="H600" i="329"/>
  <c r="M372" i="329"/>
  <c r="C430" i="329"/>
  <c r="H418" i="329"/>
  <c r="C558" i="329"/>
  <c r="M615" i="329"/>
  <c r="M617" i="329"/>
  <c r="M621" i="329"/>
  <c r="L497" i="329"/>
  <c r="M625" i="329"/>
  <c r="L526" i="329"/>
  <c r="L558" i="329" s="1"/>
  <c r="M527" i="329"/>
  <c r="O515" i="329"/>
  <c r="M619" i="329"/>
  <c r="O524" i="329"/>
  <c r="O619" i="329" s="1"/>
  <c r="L581" i="329"/>
  <c r="L633" i="329" s="1"/>
  <c r="L640" i="329" s="1"/>
  <c r="H307" i="329"/>
  <c r="H434" i="329"/>
  <c r="H611" i="329"/>
  <c r="H645" i="329" s="1"/>
  <c r="H615" i="329"/>
  <c r="H616" i="329"/>
  <c r="H622" i="329"/>
  <c r="G558" i="329"/>
  <c r="K558" i="329"/>
  <c r="K630" i="329"/>
  <c r="K466" i="329"/>
  <c r="H529" i="329"/>
  <c r="M532" i="329"/>
  <c r="O532" i="329" s="1"/>
  <c r="M564" i="329"/>
  <c r="M567" i="329"/>
  <c r="O567" i="329" s="1"/>
  <c r="M571" i="329"/>
  <c r="O571" i="329" s="1"/>
  <c r="L611" i="329"/>
  <c r="L615" i="329"/>
  <c r="L616" i="329"/>
  <c r="L622" i="329"/>
  <c r="L538" i="329"/>
  <c r="L579" i="329"/>
  <c r="L646" i="329"/>
  <c r="H541" i="329"/>
  <c r="M562" i="329"/>
  <c r="M563" i="329"/>
  <c r="M569" i="329"/>
  <c r="M572" i="329"/>
  <c r="M573" i="329"/>
  <c r="M574" i="329"/>
  <c r="M576" i="329"/>
  <c r="M577" i="329"/>
  <c r="G630" i="329"/>
  <c r="F644" i="329"/>
  <c r="F643" i="329" s="1"/>
  <c r="J644" i="329"/>
  <c r="J643" i="329" s="1"/>
  <c r="N644" i="329"/>
  <c r="E645" i="329"/>
  <c r="I645" i="329"/>
  <c r="I643" i="329" s="1"/>
  <c r="N645" i="329"/>
  <c r="F646" i="329"/>
  <c r="H561" i="329"/>
  <c r="F650" i="329"/>
  <c r="J650" i="329"/>
  <c r="C644" i="329"/>
  <c r="G644" i="329"/>
  <c r="G643" i="329" s="1"/>
  <c r="K644" i="329"/>
  <c r="K643" i="329" s="1"/>
  <c r="N646" i="329"/>
  <c r="N650" i="329" s="1"/>
  <c r="C650" i="329"/>
  <c r="G650" i="329"/>
  <c r="K650" i="329"/>
  <c r="D644" i="329"/>
  <c r="D643" i="329" s="1"/>
  <c r="C645" i="329"/>
  <c r="C649" i="329" s="1"/>
  <c r="G645" i="329"/>
  <c r="G649" i="329" s="1"/>
  <c r="M219" i="329" l="1"/>
  <c r="C359" i="329"/>
  <c r="C559" i="329" s="1"/>
  <c r="C582" i="329" s="1"/>
  <c r="E648" i="329"/>
  <c r="E643" i="329"/>
  <c r="M594" i="329"/>
  <c r="J648" i="329"/>
  <c r="L359" i="329"/>
  <c r="L559" i="329" s="1"/>
  <c r="L582" i="329" s="1"/>
  <c r="C648" i="329"/>
  <c r="L649" i="329"/>
  <c r="O574" i="329"/>
  <c r="O624" i="329" s="1"/>
  <c r="M624" i="329"/>
  <c r="L650" i="329"/>
  <c r="O563" i="329"/>
  <c r="M580" i="329"/>
  <c r="H430" i="329"/>
  <c r="M418" i="329"/>
  <c r="L645" i="329"/>
  <c r="C635" i="329"/>
  <c r="C641" i="329" s="1"/>
  <c r="C637" i="329"/>
  <c r="H632" i="329"/>
  <c r="H639" i="329" s="1"/>
  <c r="H649" i="329" s="1"/>
  <c r="H250" i="329"/>
  <c r="M239" i="329"/>
  <c r="M205" i="329"/>
  <c r="H218" i="329"/>
  <c r="I559" i="329"/>
  <c r="I582" i="329" s="1"/>
  <c r="C643" i="329"/>
  <c r="G635" i="329"/>
  <c r="G641" i="329" s="1"/>
  <c r="G637" i="329"/>
  <c r="M579" i="329"/>
  <c r="O562" i="329"/>
  <c r="M529" i="329"/>
  <c r="H538" i="329"/>
  <c r="M622" i="329"/>
  <c r="M611" i="329"/>
  <c r="O383" i="329"/>
  <c r="O398" i="329" s="1"/>
  <c r="M398" i="329"/>
  <c r="M587" i="329"/>
  <c r="O13" i="329"/>
  <c r="O587" i="329" s="1"/>
  <c r="M396" i="329"/>
  <c r="M593" i="329"/>
  <c r="O55" i="329"/>
  <c r="O593" i="329" s="1"/>
  <c r="F648" i="329"/>
  <c r="N643" i="329"/>
  <c r="M628" i="329"/>
  <c r="O577" i="329"/>
  <c r="O628" i="329" s="1"/>
  <c r="O572" i="329"/>
  <c r="O620" i="329" s="1"/>
  <c r="M620" i="329"/>
  <c r="M541" i="329"/>
  <c r="H555" i="329"/>
  <c r="H445" i="329"/>
  <c r="H558" i="329" s="1"/>
  <c r="M434" i="329"/>
  <c r="M609" i="329"/>
  <c r="M400" i="329"/>
  <c r="H413" i="329"/>
  <c r="O343" i="329"/>
  <c r="O356" i="329" s="1"/>
  <c r="M356" i="329"/>
  <c r="M290" i="329"/>
  <c r="H303" i="329"/>
  <c r="H268" i="329"/>
  <c r="M254" i="329"/>
  <c r="I637" i="329"/>
  <c r="I635" i="329"/>
  <c r="I641" i="329" s="1"/>
  <c r="H201" i="329"/>
  <c r="M188" i="329"/>
  <c r="M64" i="329"/>
  <c r="H78" i="329"/>
  <c r="K648" i="329"/>
  <c r="M614" i="329"/>
  <c r="O22" i="329"/>
  <c r="O614" i="329" s="1"/>
  <c r="M596" i="329"/>
  <c r="O17" i="329"/>
  <c r="O596" i="329" s="1"/>
  <c r="M585" i="329"/>
  <c r="O12" i="329"/>
  <c r="O585" i="329" s="1"/>
  <c r="M604" i="329"/>
  <c r="O75" i="329"/>
  <c r="O604" i="329" s="1"/>
  <c r="H644" i="329"/>
  <c r="H643" i="329" s="1"/>
  <c r="O224" i="329"/>
  <c r="O237" i="329" s="1"/>
  <c r="M237" i="329"/>
  <c r="O47" i="329"/>
  <c r="O61" i="329" s="1"/>
  <c r="M61" i="329"/>
  <c r="E649" i="329"/>
  <c r="D559" i="329"/>
  <c r="D582" i="329" s="1"/>
  <c r="L644" i="329"/>
  <c r="L643" i="329" s="1"/>
  <c r="M251" i="329"/>
  <c r="O240" i="329"/>
  <c r="O251" i="329" s="1"/>
  <c r="O25" i="329"/>
  <c r="D641" i="329"/>
  <c r="O79" i="329"/>
  <c r="F559" i="329"/>
  <c r="F582" i="329" s="1"/>
  <c r="M23" i="329"/>
  <c r="O8" i="329"/>
  <c r="M602" i="329"/>
  <c r="O479" i="329"/>
  <c r="O602" i="329" s="1"/>
  <c r="O171" i="329"/>
  <c r="M185" i="329"/>
  <c r="M603" i="329"/>
  <c r="O19" i="329"/>
  <c r="O603" i="329" s="1"/>
  <c r="M591" i="329"/>
  <c r="O14" i="329"/>
  <c r="O591" i="329" s="1"/>
  <c r="O135" i="329"/>
  <c r="O148" i="329" s="1"/>
  <c r="M148" i="329"/>
  <c r="O116" i="329"/>
  <c r="O130" i="329" s="1"/>
  <c r="M130" i="329"/>
  <c r="M42" i="329"/>
  <c r="O28" i="329"/>
  <c r="M167" i="329"/>
  <c r="O152" i="329"/>
  <c r="O167" i="329" s="1"/>
  <c r="M80" i="329"/>
  <c r="O66" i="329"/>
  <c r="O80" i="329" s="1"/>
  <c r="E637" i="329"/>
  <c r="E635" i="329"/>
  <c r="E641" i="329" s="1"/>
  <c r="O223" i="329"/>
  <c r="O236" i="329" s="1"/>
  <c r="M236" i="329"/>
  <c r="O60" i="329"/>
  <c r="M561" i="329"/>
  <c r="H578" i="329"/>
  <c r="M623" i="329"/>
  <c r="O573" i="329"/>
  <c r="O623" i="329" s="1"/>
  <c r="M589" i="329"/>
  <c r="O368" i="329"/>
  <c r="M539" i="329"/>
  <c r="O530" i="329"/>
  <c r="O539" i="329" s="1"/>
  <c r="M133" i="329"/>
  <c r="H146" i="329"/>
  <c r="E559" i="329"/>
  <c r="E582" i="329" s="1"/>
  <c r="O18" i="329"/>
  <c r="O597" i="329" s="1"/>
  <c r="M597" i="329"/>
  <c r="M99" i="329"/>
  <c r="H111" i="329"/>
  <c r="M338" i="329"/>
  <c r="O325" i="329"/>
  <c r="O338" i="329" s="1"/>
  <c r="M607" i="329"/>
  <c r="O393" i="329"/>
  <c r="O607" i="329" s="1"/>
  <c r="M601" i="329"/>
  <c r="O181" i="329"/>
  <c r="O601" i="329" s="1"/>
  <c r="O115" i="329"/>
  <c r="O129" i="329" s="1"/>
  <c r="M129" i="329"/>
  <c r="I649" i="329"/>
  <c r="M147" i="329"/>
  <c r="O134" i="329"/>
  <c r="O147" i="329" s="1"/>
  <c r="O274" i="329"/>
  <c r="O288" i="329" s="1"/>
  <c r="M288" i="329"/>
  <c r="K559" i="329"/>
  <c r="K582" i="329" s="1"/>
  <c r="O222" i="329"/>
  <c r="O235" i="329" s="1"/>
  <c r="M235" i="329"/>
  <c r="M627" i="329"/>
  <c r="M646" i="329" s="1"/>
  <c r="O576" i="329"/>
  <c r="O627" i="329" s="1"/>
  <c r="O646" i="329" s="1"/>
  <c r="O569" i="329"/>
  <c r="O599" i="329" s="1"/>
  <c r="M599" i="329"/>
  <c r="O564" i="329"/>
  <c r="O581" i="329" s="1"/>
  <c r="O633" i="329" s="1"/>
  <c r="O640" i="329" s="1"/>
  <c r="O650" i="329" s="1"/>
  <c r="M581" i="329"/>
  <c r="M633" i="329" s="1"/>
  <c r="M640" i="329" s="1"/>
  <c r="K635" i="329"/>
  <c r="K641" i="329" s="1"/>
  <c r="K637" i="329"/>
  <c r="H321" i="329"/>
  <c r="M307" i="329"/>
  <c r="O527" i="329"/>
  <c r="M616" i="329"/>
  <c r="M600" i="329"/>
  <c r="O372" i="329"/>
  <c r="O600" i="329" s="1"/>
  <c r="N637" i="329"/>
  <c r="N635" i="329"/>
  <c r="N641" i="329" s="1"/>
  <c r="M497" i="329"/>
  <c r="O488" i="329"/>
  <c r="O497" i="329" s="1"/>
  <c r="H526" i="329"/>
  <c r="M514" i="329"/>
  <c r="M487" i="329"/>
  <c r="H496" i="329"/>
  <c r="M484" i="329"/>
  <c r="O471" i="329"/>
  <c r="O484" i="329" s="1"/>
  <c r="N649" i="329"/>
  <c r="G648" i="329"/>
  <c r="M605" i="329"/>
  <c r="O20" i="329"/>
  <c r="O605" i="329" s="1"/>
  <c r="M592" i="329"/>
  <c r="O15" i="329"/>
  <c r="O592" i="329" s="1"/>
  <c r="L583" i="329"/>
  <c r="L630" i="329" s="1"/>
  <c r="M378" i="329"/>
  <c r="O273" i="329"/>
  <c r="O287" i="329" s="1"/>
  <c r="M287" i="329"/>
  <c r="O153" i="329"/>
  <c r="M168" i="329"/>
  <c r="M632" i="329" s="1"/>
  <c r="M639" i="329" s="1"/>
  <c r="J641" i="329"/>
  <c r="O342" i="329"/>
  <c r="O355" i="329" s="1"/>
  <c r="M355" i="329"/>
  <c r="M612" i="329"/>
  <c r="O164" i="329"/>
  <c r="O612" i="329" s="1"/>
  <c r="O645" i="329" s="1"/>
  <c r="D648" i="329"/>
  <c r="M511" i="329"/>
  <c r="O499" i="329"/>
  <c r="O511" i="329" s="1"/>
  <c r="M431" i="329"/>
  <c r="O419" i="329"/>
  <c r="O431" i="329" s="1"/>
  <c r="O382" i="329"/>
  <c r="M397" i="329"/>
  <c r="M361" i="329"/>
  <c r="H377" i="329"/>
  <c r="M272" i="329"/>
  <c r="H286" i="329"/>
  <c r="H184" i="329"/>
  <c r="H358" i="329" s="1"/>
  <c r="M170" i="329"/>
  <c r="H95" i="329"/>
  <c r="M82" i="329"/>
  <c r="M588" i="329"/>
  <c r="O33" i="329"/>
  <c r="O588" i="329" s="1"/>
  <c r="N648" i="329"/>
  <c r="F641" i="329"/>
  <c r="M470" i="329"/>
  <c r="H483" i="329"/>
  <c r="O420" i="329"/>
  <c r="O432" i="329" s="1"/>
  <c r="M432" i="329"/>
  <c r="O24" i="329"/>
  <c r="H466" i="329"/>
  <c r="M448" i="329"/>
  <c r="M166" i="329"/>
  <c r="O151" i="329"/>
  <c r="M79" i="329"/>
  <c r="M60" i="329"/>
  <c r="M24" i="329"/>
  <c r="M631" i="329" s="1"/>
  <c r="M638" i="329" s="1"/>
  <c r="O594" i="329"/>
  <c r="M41" i="329"/>
  <c r="H583" i="329"/>
  <c r="H630" i="329" s="1"/>
  <c r="H149" i="329" l="1"/>
  <c r="H359" i="329" s="1"/>
  <c r="M483" i="329"/>
  <c r="O470" i="329"/>
  <c r="O483" i="329" s="1"/>
  <c r="M377" i="329"/>
  <c r="O361" i="329"/>
  <c r="O377" i="329" s="1"/>
  <c r="O416" i="329" s="1"/>
  <c r="O529" i="329"/>
  <c r="O538" i="329" s="1"/>
  <c r="M538" i="329"/>
  <c r="H637" i="329"/>
  <c r="H635" i="329"/>
  <c r="H641" i="329" s="1"/>
  <c r="M95" i="329"/>
  <c r="O82" i="329"/>
  <c r="O95" i="329" s="1"/>
  <c r="O514" i="329"/>
  <c r="O526" i="329" s="1"/>
  <c r="M526" i="329"/>
  <c r="M111" i="329"/>
  <c r="O99" i="329"/>
  <c r="O111" i="329" s="1"/>
  <c r="O589" i="329"/>
  <c r="O378" i="329"/>
  <c r="O185" i="329"/>
  <c r="M44" i="329"/>
  <c r="O396" i="329"/>
  <c r="O644" i="329"/>
  <c r="O643" i="329" s="1"/>
  <c r="M78" i="329"/>
  <c r="O64" i="329"/>
  <c r="O78" i="329" s="1"/>
  <c r="O149" i="329" s="1"/>
  <c r="O290" i="329"/>
  <c r="O303" i="329" s="1"/>
  <c r="M303" i="329"/>
  <c r="O400" i="329"/>
  <c r="O413" i="329" s="1"/>
  <c r="M413" i="329"/>
  <c r="O579" i="329"/>
  <c r="M218" i="329"/>
  <c r="M358" i="329" s="1"/>
  <c r="O205" i="329"/>
  <c r="O218" i="329" s="1"/>
  <c r="O23" i="329"/>
  <c r="M466" i="329"/>
  <c r="O448" i="329"/>
  <c r="O466" i="329" s="1"/>
  <c r="M286" i="329"/>
  <c r="O272" i="329"/>
  <c r="O286" i="329" s="1"/>
  <c r="O397" i="329"/>
  <c r="O168" i="329"/>
  <c r="L637" i="329"/>
  <c r="L635" i="329"/>
  <c r="L641" i="329" s="1"/>
  <c r="O133" i="329"/>
  <c r="O146" i="329" s="1"/>
  <c r="M146" i="329"/>
  <c r="M149" i="329" s="1"/>
  <c r="O561" i="329"/>
  <c r="O578" i="329" s="1"/>
  <c r="M578" i="329"/>
  <c r="O42" i="329"/>
  <c r="M583" i="329"/>
  <c r="M630" i="329" s="1"/>
  <c r="M644" i="329"/>
  <c r="M643" i="329" s="1"/>
  <c r="M201" i="329"/>
  <c r="O188" i="329"/>
  <c r="O201" i="329" s="1"/>
  <c r="M268" i="329"/>
  <c r="O254" i="329"/>
  <c r="O268" i="329" s="1"/>
  <c r="M645" i="329"/>
  <c r="M649" i="329" s="1"/>
  <c r="M555" i="329"/>
  <c r="O541" i="329"/>
  <c r="O555" i="329" s="1"/>
  <c r="O239" i="329"/>
  <c r="O250" i="329" s="1"/>
  <c r="M250" i="329"/>
  <c r="O487" i="329"/>
  <c r="O496" i="329" s="1"/>
  <c r="M496" i="329"/>
  <c r="O418" i="329"/>
  <c r="O430" i="329" s="1"/>
  <c r="M430" i="329"/>
  <c r="O166" i="329"/>
  <c r="O170" i="329"/>
  <c r="O184" i="329" s="1"/>
  <c r="M184" i="329"/>
  <c r="H416" i="329"/>
  <c r="O307" i="329"/>
  <c r="O321" i="329" s="1"/>
  <c r="M321" i="329"/>
  <c r="M650" i="329"/>
  <c r="O41" i="329"/>
  <c r="M445" i="329"/>
  <c r="M558" i="329" s="1"/>
  <c r="O434" i="329"/>
  <c r="O445" i="329" s="1"/>
  <c r="O558" i="329" s="1"/>
  <c r="O580" i="329"/>
  <c r="O632" i="329" s="1"/>
  <c r="O639" i="329" s="1"/>
  <c r="O649" i="329" s="1"/>
  <c r="L648" i="329"/>
  <c r="H648" i="329"/>
  <c r="M648" i="329" l="1"/>
  <c r="O44" i="329"/>
  <c r="M416" i="329"/>
  <c r="O631" i="329"/>
  <c r="M359" i="329"/>
  <c r="M559" i="329" s="1"/>
  <c r="M582" i="329" s="1"/>
  <c r="O583" i="329"/>
  <c r="O630" i="329" s="1"/>
  <c r="O358" i="329"/>
  <c r="M637" i="329"/>
  <c r="M635" i="329"/>
  <c r="M641" i="329" s="1"/>
  <c r="H559" i="329"/>
  <c r="H582" i="329" s="1"/>
  <c r="O638" i="329" l="1"/>
  <c r="O648" i="329" s="1"/>
  <c r="O635" i="329"/>
  <c r="O637" i="329"/>
  <c r="O359" i="329"/>
  <c r="O559" i="329" s="1"/>
  <c r="O582" i="329" s="1"/>
  <c r="O641" i="329" l="1"/>
  <c r="H247" i="318" l="1"/>
  <c r="H12" i="239"/>
  <c r="G12" i="239"/>
  <c r="G11" i="239"/>
  <c r="H237" i="318"/>
  <c r="D237" i="318"/>
  <c r="L348" i="317" l="1"/>
  <c r="H348" i="317"/>
  <c r="L347" i="317"/>
  <c r="H347" i="317"/>
  <c r="L350" i="317"/>
  <c r="H350" i="317"/>
  <c r="L349" i="317"/>
  <c r="H349" i="317"/>
  <c r="L343" i="317"/>
  <c r="H343" i="317"/>
  <c r="L342" i="317"/>
  <c r="H342" i="317"/>
  <c r="D229" i="318"/>
  <c r="D228" i="318"/>
  <c r="N461" i="317"/>
  <c r="D246" i="318"/>
  <c r="D245" i="318"/>
  <c r="D244" i="318"/>
  <c r="D243" i="318"/>
  <c r="D236" i="318"/>
  <c r="P439" i="317"/>
  <c r="P438" i="317"/>
  <c r="G236" i="318"/>
  <c r="G237" i="318"/>
  <c r="P343" i="317" l="1"/>
  <c r="P348" i="317"/>
  <c r="P347" i="317"/>
  <c r="P350" i="317"/>
  <c r="P349" i="317"/>
  <c r="P342" i="317"/>
  <c r="G213" i="318" l="1"/>
  <c r="D213" i="318"/>
  <c r="G202" i="318"/>
  <c r="G297" i="317"/>
  <c r="N419" i="317" l="1"/>
  <c r="G223" i="318"/>
  <c r="L132" i="317"/>
  <c r="H132" i="317"/>
  <c r="L131" i="317"/>
  <c r="H131" i="317"/>
  <c r="D93" i="316"/>
  <c r="E93" i="316"/>
  <c r="C93" i="316"/>
  <c r="D45" i="261"/>
  <c r="D16" i="261"/>
  <c r="H45" i="239"/>
  <c r="H16" i="239"/>
  <c r="L262" i="317"/>
  <c r="E15" i="325"/>
  <c r="E14" i="325"/>
  <c r="E6" i="325"/>
  <c r="E10" i="327"/>
  <c r="E11" i="327"/>
  <c r="E25" i="327"/>
  <c r="P132" i="317" l="1"/>
  <c r="P131" i="317"/>
  <c r="E28" i="327"/>
  <c r="E30" i="327" s="1"/>
  <c r="E38" i="327"/>
  <c r="E40" i="327" s="1"/>
  <c r="F26" i="327"/>
  <c r="F9" i="327"/>
  <c r="E42" i="327" l="1"/>
  <c r="N443" i="317" l="1"/>
  <c r="L227" i="317" l="1"/>
  <c r="H227" i="317"/>
  <c r="G117" i="318"/>
  <c r="D117" i="318"/>
  <c r="G120" i="318"/>
  <c r="E13" i="325"/>
  <c r="E7" i="325"/>
  <c r="E17" i="325" s="1"/>
  <c r="E4" i="325"/>
  <c r="D13" i="325"/>
  <c r="D7" i="325"/>
  <c r="D4" i="325"/>
  <c r="C13" i="325"/>
  <c r="C7" i="325"/>
  <c r="C4" i="325"/>
  <c r="E18" i="325" l="1"/>
  <c r="E8" i="325" s="1"/>
  <c r="E9" i="325" s="1"/>
  <c r="P227" i="317"/>
  <c r="D17" i="325"/>
  <c r="D18" i="325" s="1"/>
  <c r="D8" i="325" s="1"/>
  <c r="D9" i="325" s="1"/>
  <c r="C17" i="325"/>
  <c r="C18" i="325" s="1"/>
  <c r="C8" i="325" s="1"/>
  <c r="C9" i="325" s="1"/>
  <c r="H41" i="239" l="1"/>
  <c r="G41" i="239"/>
  <c r="G39" i="239"/>
  <c r="H38" i="239"/>
  <c r="G38" i="239"/>
  <c r="P387" i="317"/>
  <c r="P386" i="317"/>
  <c r="M385" i="317"/>
  <c r="G95" i="318" l="1"/>
  <c r="D95" i="318"/>
  <c r="G96" i="318"/>
  <c r="D96" i="318"/>
  <c r="L197" i="317"/>
  <c r="H197" i="317"/>
  <c r="P422" i="317"/>
  <c r="P421" i="317"/>
  <c r="G242" i="318"/>
  <c r="P197" i="317" l="1"/>
  <c r="D39" i="261"/>
  <c r="G45" i="239" l="1"/>
  <c r="K21" i="321" l="1"/>
  <c r="I21" i="321"/>
  <c r="H21" i="321"/>
  <c r="G21" i="321"/>
  <c r="F21" i="321"/>
  <c r="E21" i="321"/>
  <c r="M20" i="321"/>
  <c r="K20" i="321"/>
  <c r="J20" i="321"/>
  <c r="I20" i="321"/>
  <c r="H20" i="321"/>
  <c r="G20" i="321"/>
  <c r="F20" i="321"/>
  <c r="M19" i="321"/>
  <c r="F11" i="321"/>
  <c r="M9" i="321"/>
  <c r="L9" i="321"/>
  <c r="K9" i="321"/>
  <c r="J9" i="321"/>
  <c r="I9" i="321"/>
  <c r="H9" i="321"/>
  <c r="G8" i="321"/>
  <c r="J7" i="321"/>
  <c r="I7" i="321"/>
  <c r="G7" i="321"/>
  <c r="E7" i="321"/>
  <c r="L91" i="317" l="1"/>
  <c r="H91" i="317"/>
  <c r="P91" i="317" l="1"/>
  <c r="C12" i="323"/>
  <c r="L298" i="317"/>
  <c r="H298" i="317"/>
  <c r="L269" i="317"/>
  <c r="H269" i="317"/>
  <c r="L267" i="317"/>
  <c r="H267" i="317"/>
  <c r="L266" i="317"/>
  <c r="H266" i="317"/>
  <c r="L268" i="317"/>
  <c r="H268" i="317"/>
  <c r="L226" i="317"/>
  <c r="H226" i="317"/>
  <c r="L225" i="317"/>
  <c r="H225" i="317"/>
  <c r="P224" i="317"/>
  <c r="E272" i="317"/>
  <c r="C272" i="317"/>
  <c r="L272" i="317"/>
  <c r="L183" i="317"/>
  <c r="H183" i="317"/>
  <c r="L182" i="317"/>
  <c r="H182" i="317"/>
  <c r="L181" i="317"/>
  <c r="H181" i="317"/>
  <c r="L368" i="317"/>
  <c r="H368" i="317"/>
  <c r="L369" i="317"/>
  <c r="H369" i="317"/>
  <c r="L207" i="317"/>
  <c r="H207" i="317"/>
  <c r="L206" i="317"/>
  <c r="H206" i="317"/>
  <c r="P436" i="317"/>
  <c r="P435" i="317"/>
  <c r="P437" i="317"/>
  <c r="G94" i="318"/>
  <c r="D94" i="318"/>
  <c r="P368" i="317" l="1"/>
  <c r="P225" i="317"/>
  <c r="H272" i="317"/>
  <c r="P272" i="317" s="1"/>
  <c r="P207" i="317"/>
  <c r="P298" i="317"/>
  <c r="P269" i="317"/>
  <c r="P268" i="317"/>
  <c r="P267" i="317"/>
  <c r="P266" i="317"/>
  <c r="P226" i="317"/>
  <c r="P183" i="317"/>
  <c r="P181" i="317"/>
  <c r="P182" i="317"/>
  <c r="P369" i="317"/>
  <c r="P206" i="317"/>
  <c r="L178" i="317" l="1"/>
  <c r="H178" i="317"/>
  <c r="L177" i="317"/>
  <c r="H177" i="317"/>
  <c r="I156" i="317"/>
  <c r="L156" i="317" s="1"/>
  <c r="E156" i="317"/>
  <c r="H156" i="317" s="1"/>
  <c r="E154" i="317"/>
  <c r="H154" i="317" s="1"/>
  <c r="I154" i="317"/>
  <c r="L154" i="317" s="1"/>
  <c r="L157" i="317"/>
  <c r="H157" i="317"/>
  <c r="L155" i="317"/>
  <c r="H155" i="317"/>
  <c r="L153" i="317"/>
  <c r="H153" i="317"/>
  <c r="C4" i="315"/>
  <c r="L367" i="317"/>
  <c r="H367" i="317"/>
  <c r="L370" i="317"/>
  <c r="H370" i="317"/>
  <c r="L366" i="317"/>
  <c r="H366" i="317"/>
  <c r="P366" i="317" l="1"/>
  <c r="P370" i="317"/>
  <c r="P177" i="317"/>
  <c r="P178" i="317"/>
  <c r="P367" i="317"/>
  <c r="P157" i="317"/>
  <c r="P156" i="317"/>
  <c r="P155" i="317"/>
  <c r="P154" i="317"/>
  <c r="P153" i="317"/>
  <c r="L148" i="317" l="1"/>
  <c r="H148" i="317"/>
  <c r="L147" i="317"/>
  <c r="H147" i="317"/>
  <c r="L151" i="317"/>
  <c r="H151" i="317"/>
  <c r="L150" i="317"/>
  <c r="H150" i="317"/>
  <c r="L149" i="317"/>
  <c r="H149" i="317"/>
  <c r="L152" i="317"/>
  <c r="H152" i="317"/>
  <c r="L130" i="317"/>
  <c r="H130" i="317"/>
  <c r="L129" i="317"/>
  <c r="H129" i="317"/>
  <c r="E163" i="317"/>
  <c r="H163" i="317" s="1"/>
  <c r="P162" i="317"/>
  <c r="L163" i="317"/>
  <c r="L99" i="317"/>
  <c r="H99" i="317"/>
  <c r="L90" i="317"/>
  <c r="H90" i="317"/>
  <c r="L76" i="317"/>
  <c r="H76" i="317"/>
  <c r="L40" i="317"/>
  <c r="H40" i="317"/>
  <c r="P40" i="317" l="1"/>
  <c r="P76" i="317"/>
  <c r="P147" i="317"/>
  <c r="P152" i="317"/>
  <c r="P150" i="317"/>
  <c r="P148" i="317"/>
  <c r="P151" i="317"/>
  <c r="P149" i="317"/>
  <c r="P130" i="317"/>
  <c r="P129" i="317"/>
  <c r="P163" i="317"/>
  <c r="P99" i="317"/>
  <c r="P90" i="317"/>
  <c r="L18" i="317"/>
  <c r="H18" i="317"/>
  <c r="L20" i="317"/>
  <c r="H20" i="317"/>
  <c r="L19" i="317"/>
  <c r="H19" i="317"/>
  <c r="P397" i="317"/>
  <c r="P379" i="317"/>
  <c r="M378" i="317"/>
  <c r="D81" i="318"/>
  <c r="G81" i="318"/>
  <c r="E112" i="317"/>
  <c r="H112" i="317" s="1"/>
  <c r="L112" i="317"/>
  <c r="L174" i="317"/>
  <c r="H174" i="317"/>
  <c r="P174" i="317" l="1"/>
  <c r="P18" i="317"/>
  <c r="P20" i="317"/>
  <c r="P19" i="317"/>
  <c r="P112" i="317"/>
  <c r="P378" i="317"/>
  <c r="L94" i="317" l="1"/>
  <c r="H94" i="317"/>
  <c r="G67" i="318"/>
  <c r="D67" i="318"/>
  <c r="P94" i="317" l="1"/>
  <c r="P425" i="317" l="1"/>
  <c r="P427" i="317"/>
  <c r="L186" i="317"/>
  <c r="H186" i="317"/>
  <c r="L103" i="317"/>
  <c r="H103" i="317"/>
  <c r="P432" i="317"/>
  <c r="P434" i="317"/>
  <c r="G68" i="318"/>
  <c r="D68" i="318"/>
  <c r="G69" i="318"/>
  <c r="L193" i="317"/>
  <c r="H193" i="317"/>
  <c r="G93" i="318"/>
  <c r="D93" i="318"/>
  <c r="L259" i="317"/>
  <c r="H259" i="317"/>
  <c r="G132" i="318"/>
  <c r="D132" i="318"/>
  <c r="G154" i="318"/>
  <c r="P431" i="317"/>
  <c r="P430" i="317"/>
  <c r="P429" i="317"/>
  <c r="P428" i="317"/>
  <c r="L192" i="317"/>
  <c r="H192" i="317"/>
  <c r="E111" i="317"/>
  <c r="P193" i="317" l="1"/>
  <c r="P186" i="317"/>
  <c r="P192" i="317"/>
  <c r="P103" i="317"/>
  <c r="P259" i="317"/>
  <c r="N424" i="317" l="1"/>
  <c r="P424" i="317"/>
  <c r="P388" i="317"/>
  <c r="P385" i="317"/>
  <c r="P384" i="317"/>
  <c r="P383" i="317"/>
  <c r="P382" i="317"/>
  <c r="P423" i="317"/>
  <c r="I161" i="317"/>
  <c r="G85" i="318"/>
  <c r="D85" i="318"/>
  <c r="L161" i="317" l="1"/>
  <c r="H161" i="317"/>
  <c r="P161" i="317" l="1"/>
  <c r="L171" i="317"/>
  <c r="H171" i="317"/>
  <c r="L170" i="317"/>
  <c r="H170" i="317"/>
  <c r="L169" i="317"/>
  <c r="H169" i="317"/>
  <c r="L168" i="317"/>
  <c r="H168" i="317"/>
  <c r="P171" i="317" l="1"/>
  <c r="P170" i="317"/>
  <c r="P169" i="317"/>
  <c r="P168" i="317"/>
  <c r="L180" i="317" l="1"/>
  <c r="H180" i="317"/>
  <c r="G65" i="317"/>
  <c r="P420" i="317"/>
  <c r="G10" i="318"/>
  <c r="D10" i="318"/>
  <c r="G49" i="318"/>
  <c r="D49" i="318"/>
  <c r="L336" i="317"/>
  <c r="H336" i="317"/>
  <c r="L335" i="317"/>
  <c r="H335" i="317"/>
  <c r="L334" i="317"/>
  <c r="H334" i="317"/>
  <c r="L333" i="317"/>
  <c r="H333" i="317"/>
  <c r="P419" i="317"/>
  <c r="G230" i="318"/>
  <c r="G228" i="318"/>
  <c r="G226" i="318"/>
  <c r="G225" i="318"/>
  <c r="L308" i="317"/>
  <c r="H308" i="317"/>
  <c r="L307" i="317"/>
  <c r="H307" i="317"/>
  <c r="L306" i="317"/>
  <c r="H306" i="317"/>
  <c r="L305" i="317"/>
  <c r="H305" i="317"/>
  <c r="L303" i="317"/>
  <c r="H303" i="317"/>
  <c r="L302" i="317"/>
  <c r="H302" i="317"/>
  <c r="L301" i="317"/>
  <c r="H301" i="317"/>
  <c r="L300" i="317"/>
  <c r="H300" i="317"/>
  <c r="L299" i="317"/>
  <c r="H299" i="317"/>
  <c r="L313" i="317"/>
  <c r="H313" i="317"/>
  <c r="L312" i="317"/>
  <c r="H312" i="317"/>
  <c r="L310" i="317"/>
  <c r="H310" i="317"/>
  <c r="L309" i="317"/>
  <c r="H309" i="317"/>
  <c r="L304" i="317"/>
  <c r="H304" i="317"/>
  <c r="G209" i="318"/>
  <c r="G219" i="318"/>
  <c r="G214" i="318"/>
  <c r="G211" i="318"/>
  <c r="G210" i="318"/>
  <c r="G212" i="318"/>
  <c r="G201" i="318"/>
  <c r="G207" i="318"/>
  <c r="G205" i="318"/>
  <c r="G204" i="318"/>
  <c r="G203" i="318"/>
  <c r="G199" i="318"/>
  <c r="G198" i="318"/>
  <c r="G197" i="318"/>
  <c r="L293" i="317"/>
  <c r="H293" i="317"/>
  <c r="L292" i="317"/>
  <c r="H292" i="317"/>
  <c r="L291" i="317"/>
  <c r="H291" i="317"/>
  <c r="L286" i="317"/>
  <c r="H286" i="317"/>
  <c r="L285" i="317"/>
  <c r="H285" i="317"/>
  <c r="L284" i="317"/>
  <c r="H284" i="317"/>
  <c r="L283" i="317"/>
  <c r="H283" i="317"/>
  <c r="L282" i="317"/>
  <c r="H282" i="317"/>
  <c r="L287" i="317"/>
  <c r="H287" i="317"/>
  <c r="G192" i="318"/>
  <c r="G195" i="318"/>
  <c r="G194" i="318"/>
  <c r="G193" i="318"/>
  <c r="G190" i="318"/>
  <c r="G188" i="318"/>
  <c r="L253" i="317"/>
  <c r="H253" i="317"/>
  <c r="L252" i="317"/>
  <c r="H252" i="317"/>
  <c r="L251" i="317"/>
  <c r="H251" i="317"/>
  <c r="L250" i="317"/>
  <c r="H250" i="317"/>
  <c r="L249" i="317"/>
  <c r="H249" i="317"/>
  <c r="G179" i="318"/>
  <c r="G178" i="318"/>
  <c r="G176" i="318"/>
  <c r="G174" i="318"/>
  <c r="G173" i="318"/>
  <c r="G172" i="318"/>
  <c r="G167" i="318"/>
  <c r="G169" i="318"/>
  <c r="G170" i="318"/>
  <c r="G165" i="318"/>
  <c r="P180" i="317" l="1"/>
  <c r="P336" i="317"/>
  <c r="P335" i="317"/>
  <c r="P334" i="317"/>
  <c r="P333" i="317"/>
  <c r="P283" i="317"/>
  <c r="P307" i="317"/>
  <c r="P304" i="317"/>
  <c r="P310" i="317"/>
  <c r="P313" i="317"/>
  <c r="P308" i="317"/>
  <c r="P299" i="317"/>
  <c r="P309" i="317"/>
  <c r="P312" i="317"/>
  <c r="P306" i="317"/>
  <c r="P305" i="317"/>
  <c r="P303" i="317"/>
  <c r="P302" i="317"/>
  <c r="P301" i="317"/>
  <c r="P300" i="317"/>
  <c r="P292" i="317"/>
  <c r="P293" i="317"/>
  <c r="P291" i="317"/>
  <c r="P285" i="317"/>
  <c r="P282" i="317"/>
  <c r="P284" i="317"/>
  <c r="P286" i="317"/>
  <c r="P250" i="317"/>
  <c r="P287" i="317"/>
  <c r="P252" i="317"/>
  <c r="P249" i="317"/>
  <c r="P253" i="317"/>
  <c r="P251" i="317"/>
  <c r="L255" i="317" l="1"/>
  <c r="H255" i="317"/>
  <c r="L254" i="317"/>
  <c r="H254" i="317"/>
  <c r="L257" i="317"/>
  <c r="H257" i="317"/>
  <c r="L256" i="317"/>
  <c r="H256" i="317"/>
  <c r="L237" i="317"/>
  <c r="H237" i="317"/>
  <c r="L236" i="317"/>
  <c r="H236" i="317"/>
  <c r="L235" i="317"/>
  <c r="H235" i="317"/>
  <c r="L234" i="317"/>
  <c r="H234" i="317"/>
  <c r="L233" i="317"/>
  <c r="H233" i="317"/>
  <c r="L240" i="317"/>
  <c r="H240" i="317"/>
  <c r="L239" i="317"/>
  <c r="H239" i="317"/>
  <c r="L238" i="317"/>
  <c r="H238" i="317"/>
  <c r="L232" i="317"/>
  <c r="H232" i="317"/>
  <c r="L244" i="317"/>
  <c r="H244" i="317"/>
  <c r="L243" i="317"/>
  <c r="H243" i="317"/>
  <c r="L242" i="317"/>
  <c r="H242" i="317"/>
  <c r="L241" i="317"/>
  <c r="H241" i="317"/>
  <c r="L247" i="317"/>
  <c r="H247" i="317"/>
  <c r="L246" i="317"/>
  <c r="H246" i="317"/>
  <c r="L245" i="317"/>
  <c r="H245" i="317"/>
  <c r="G159" i="318"/>
  <c r="G160" i="318"/>
  <c r="G158" i="318"/>
  <c r="G157" i="318"/>
  <c r="G156" i="318"/>
  <c r="G151" i="318"/>
  <c r="G150" i="318"/>
  <c r="G149" i="318"/>
  <c r="G148" i="318"/>
  <c r="G147" i="318"/>
  <c r="G146" i="318"/>
  <c r="G145" i="318"/>
  <c r="G144" i="318"/>
  <c r="G143" i="318"/>
  <c r="G142" i="318"/>
  <c r="G140" i="318"/>
  <c r="G139" i="318"/>
  <c r="P247" i="317" l="1"/>
  <c r="P244" i="317"/>
  <c r="P256" i="317"/>
  <c r="P257" i="317"/>
  <c r="P254" i="317"/>
  <c r="P255" i="317"/>
  <c r="P245" i="317"/>
  <c r="P232" i="317"/>
  <c r="P239" i="317"/>
  <c r="P233" i="317"/>
  <c r="P234" i="317"/>
  <c r="P236" i="317"/>
  <c r="P235" i="317"/>
  <c r="P237" i="317"/>
  <c r="P242" i="317"/>
  <c r="P240" i="317"/>
  <c r="P238" i="317"/>
  <c r="P246" i="317"/>
  <c r="P241" i="317"/>
  <c r="P243" i="317"/>
  <c r="P418" i="317"/>
  <c r="P417" i="317"/>
  <c r="P416" i="317"/>
  <c r="P415" i="317"/>
  <c r="P414" i="317"/>
  <c r="P412" i="317"/>
  <c r="L258" i="317"/>
  <c r="H258" i="317"/>
  <c r="L248" i="317"/>
  <c r="H248" i="317"/>
  <c r="L231" i="317"/>
  <c r="H231" i="317"/>
  <c r="L223" i="317"/>
  <c r="H223" i="317"/>
  <c r="L222" i="317"/>
  <c r="H222" i="317"/>
  <c r="L221" i="317"/>
  <c r="H221" i="317"/>
  <c r="G129" i="318"/>
  <c r="G123" i="318"/>
  <c r="G118" i="318"/>
  <c r="L217" i="317"/>
  <c r="H217" i="317"/>
  <c r="L216" i="317"/>
  <c r="H216" i="317"/>
  <c r="L215" i="317"/>
  <c r="H215" i="317"/>
  <c r="L214" i="317"/>
  <c r="H214" i="317"/>
  <c r="L213" i="317"/>
  <c r="H213" i="317"/>
  <c r="P413" i="317"/>
  <c r="P411" i="317"/>
  <c r="G103" i="318"/>
  <c r="P258" i="317" l="1"/>
  <c r="P231" i="317"/>
  <c r="P223" i="317"/>
  <c r="P248" i="317"/>
  <c r="P217" i="317"/>
  <c r="P214" i="317"/>
  <c r="P222" i="317"/>
  <c r="P221" i="317"/>
  <c r="P216" i="317"/>
  <c r="P215" i="317"/>
  <c r="P213" i="317"/>
  <c r="G114" i="318" l="1"/>
  <c r="G113" i="318"/>
  <c r="G112" i="318"/>
  <c r="G107" i="318"/>
  <c r="G106" i="318"/>
  <c r="G109" i="318"/>
  <c r="L205" i="317"/>
  <c r="H205" i="317"/>
  <c r="G101" i="318"/>
  <c r="L107" i="317"/>
  <c r="H107" i="317"/>
  <c r="G75" i="318"/>
  <c r="L102" i="317"/>
  <c r="H102" i="317"/>
  <c r="G70" i="318"/>
  <c r="L75" i="317"/>
  <c r="H75" i="317"/>
  <c r="P205" i="317" l="1"/>
  <c r="P107" i="317"/>
  <c r="P102" i="317"/>
  <c r="P75" i="317"/>
  <c r="P410" i="317" l="1"/>
  <c r="P409" i="317"/>
  <c r="P408" i="317"/>
  <c r="P407" i="317"/>
  <c r="G62" i="318"/>
  <c r="G56" i="318" l="1"/>
  <c r="G50" i="318"/>
  <c r="G47" i="318"/>
  <c r="G45" i="318"/>
  <c r="G46" i="318"/>
  <c r="G43" i="318"/>
  <c r="G38" i="318"/>
  <c r="G37" i="318"/>
  <c r="G36" i="318"/>
  <c r="G34" i="318"/>
  <c r="G31" i="318"/>
  <c r="G42" i="318"/>
  <c r="G28" i="318"/>
  <c r="G32" i="318"/>
  <c r="D32" i="318"/>
  <c r="G27" i="318"/>
  <c r="G24" i="318"/>
  <c r="G25" i="318"/>
  <c r="G26" i="318"/>
  <c r="G23" i="318"/>
  <c r="G41" i="318"/>
  <c r="G40" i="318"/>
  <c r="G21" i="318"/>
  <c r="L66" i="317"/>
  <c r="H66" i="317"/>
  <c r="L65" i="317"/>
  <c r="H65" i="317"/>
  <c r="L64" i="317"/>
  <c r="H64" i="317"/>
  <c r="L63" i="317"/>
  <c r="H63" i="317"/>
  <c r="L62" i="317"/>
  <c r="H62" i="317"/>
  <c r="L52" i="317"/>
  <c r="H52" i="317"/>
  <c r="L51" i="317"/>
  <c r="H51" i="317"/>
  <c r="L50" i="317"/>
  <c r="H50" i="317"/>
  <c r="L49" i="317"/>
  <c r="H49" i="317"/>
  <c r="L48" i="317"/>
  <c r="H48" i="317"/>
  <c r="L47" i="317"/>
  <c r="H47" i="317"/>
  <c r="L46" i="317"/>
  <c r="H46" i="317"/>
  <c r="L45" i="317"/>
  <c r="H45" i="317"/>
  <c r="L44" i="317"/>
  <c r="H44" i="317"/>
  <c r="L57" i="317"/>
  <c r="H57" i="317"/>
  <c r="L56" i="317"/>
  <c r="H56" i="317"/>
  <c r="L55" i="317"/>
  <c r="H55" i="317"/>
  <c r="L54" i="317"/>
  <c r="H54" i="317"/>
  <c r="L53" i="317"/>
  <c r="H53" i="317"/>
  <c r="L67" i="317"/>
  <c r="H67" i="317"/>
  <c r="L61" i="317"/>
  <c r="H61" i="317"/>
  <c r="L60" i="317"/>
  <c r="H60" i="317"/>
  <c r="L59" i="317"/>
  <c r="H59" i="317"/>
  <c r="L58" i="317"/>
  <c r="H58" i="317"/>
  <c r="L69" i="317"/>
  <c r="H69" i="317"/>
  <c r="L68" i="317"/>
  <c r="H68" i="317"/>
  <c r="P406" i="317"/>
  <c r="P405" i="317"/>
  <c r="P404" i="317"/>
  <c r="P49" i="317" l="1"/>
  <c r="P62" i="317"/>
  <c r="P54" i="317"/>
  <c r="P50" i="317"/>
  <c r="P51" i="317"/>
  <c r="P61" i="317"/>
  <c r="P55" i="317"/>
  <c r="P69" i="317"/>
  <c r="P59" i="317"/>
  <c r="P53" i="317"/>
  <c r="P57" i="317"/>
  <c r="P47" i="317"/>
  <c r="P63" i="317"/>
  <c r="P60" i="317"/>
  <c r="P48" i="317"/>
  <c r="P64" i="317"/>
  <c r="P52" i="317"/>
  <c r="P65" i="317"/>
  <c r="P68" i="317"/>
  <c r="P58" i="317"/>
  <c r="P67" i="317"/>
  <c r="P66" i="317"/>
  <c r="P45" i="317"/>
  <c r="P44" i="317"/>
  <c r="P56" i="317"/>
  <c r="P46" i="317"/>
  <c r="G6" i="318" l="1"/>
  <c r="D6" i="318"/>
  <c r="L33" i="317"/>
  <c r="H33" i="317"/>
  <c r="L34" i="317"/>
  <c r="H34" i="317"/>
  <c r="P33" i="317" l="1"/>
  <c r="P34" i="317"/>
  <c r="H138" i="317"/>
  <c r="P402" i="317"/>
  <c r="P403" i="317"/>
  <c r="G98" i="318"/>
  <c r="C10" i="315"/>
  <c r="P401" i="317" l="1"/>
  <c r="G83" i="318"/>
  <c r="G26" i="317" l="1"/>
  <c r="H26" i="317" s="1"/>
  <c r="L26" i="317"/>
  <c r="L89" i="317"/>
  <c r="H89" i="317"/>
  <c r="L88" i="317"/>
  <c r="H88" i="317"/>
  <c r="P400" i="317"/>
  <c r="L278" i="317"/>
  <c r="H278" i="317"/>
  <c r="L277" i="317"/>
  <c r="H277" i="317"/>
  <c r="P26" i="317" l="1"/>
  <c r="P89" i="317"/>
  <c r="P88" i="317"/>
  <c r="P278" i="317"/>
  <c r="P277" i="317"/>
  <c r="G186" i="318" l="1"/>
  <c r="G184" i="318"/>
  <c r="F184" i="318"/>
  <c r="D184" i="318"/>
  <c r="C184" i="318"/>
  <c r="G185" i="318"/>
  <c r="L276" i="317"/>
  <c r="H276" i="317"/>
  <c r="P276" i="317" l="1"/>
  <c r="L115" i="317" l="1"/>
  <c r="H115" i="317"/>
  <c r="L365" i="317"/>
  <c r="H365" i="317"/>
  <c r="L364" i="317"/>
  <c r="H364" i="317"/>
  <c r="G79" i="318"/>
  <c r="G80" i="318"/>
  <c r="P115" i="317" l="1"/>
  <c r="P364" i="317"/>
  <c r="P365" i="317"/>
  <c r="L265" i="317"/>
  <c r="H265" i="317"/>
  <c r="L321" i="317"/>
  <c r="H321" i="317"/>
  <c r="G222" i="318"/>
  <c r="G166" i="318"/>
  <c r="D166" i="318"/>
  <c r="P399" i="317"/>
  <c r="G23" i="317"/>
  <c r="R392" i="317" s="1"/>
  <c r="L23" i="317"/>
  <c r="S56" i="239"/>
  <c r="S19" i="239"/>
  <c r="H23" i="317" l="1"/>
  <c r="P23" i="317" s="1"/>
  <c r="P265" i="317"/>
  <c r="P321" i="317"/>
  <c r="L30" i="317"/>
  <c r="H30" i="317"/>
  <c r="L363" i="317"/>
  <c r="H363" i="317"/>
  <c r="G8" i="318"/>
  <c r="L352" i="317"/>
  <c r="H352" i="317"/>
  <c r="L362" i="317"/>
  <c r="H362" i="317"/>
  <c r="G229" i="318"/>
  <c r="G224" i="318"/>
  <c r="D224" i="318"/>
  <c r="L326" i="317"/>
  <c r="H326" i="317"/>
  <c r="P352" i="317" l="1"/>
  <c r="P362" i="317"/>
  <c r="P363" i="317"/>
  <c r="P30" i="317"/>
  <c r="P326" i="317"/>
  <c r="L325" i="317"/>
  <c r="H325" i="317"/>
  <c r="P325" i="317" l="1"/>
  <c r="L201" i="317"/>
  <c r="H201" i="317"/>
  <c r="L200" i="317"/>
  <c r="H200" i="317"/>
  <c r="L199" i="317"/>
  <c r="H199" i="317"/>
  <c r="L198" i="317"/>
  <c r="H198" i="317"/>
  <c r="L204" i="317"/>
  <c r="H204" i="317"/>
  <c r="L17" i="317"/>
  <c r="H17" i="317"/>
  <c r="P201" i="317" l="1"/>
  <c r="P204" i="317"/>
  <c r="P200" i="317"/>
  <c r="P199" i="317"/>
  <c r="P198" i="317"/>
  <c r="P17" i="317"/>
  <c r="L327" i="317" l="1"/>
  <c r="H327" i="317"/>
  <c r="P327" i="317" l="1"/>
  <c r="L80" i="317"/>
  <c r="H80" i="317"/>
  <c r="L16" i="317"/>
  <c r="H16" i="317"/>
  <c r="G66" i="318"/>
  <c r="P374" i="317"/>
  <c r="P80" i="317" l="1"/>
  <c r="P16" i="317"/>
  <c r="C14" i="323"/>
  <c r="C13" i="323" l="1"/>
  <c r="C16" i="323"/>
  <c r="C19" i="323" s="1"/>
  <c r="C9" i="323"/>
  <c r="C10" i="323" s="1"/>
  <c r="L330" i="317" l="1"/>
  <c r="H330" i="317"/>
  <c r="G227" i="318"/>
  <c r="P330" i="317" l="1"/>
  <c r="L316" i="317"/>
  <c r="H316" i="317"/>
  <c r="L361" i="317"/>
  <c r="H361" i="317"/>
  <c r="L360" i="317"/>
  <c r="H360" i="317"/>
  <c r="G220" i="318"/>
  <c r="D220" i="318"/>
  <c r="L87" i="317"/>
  <c r="H87" i="317"/>
  <c r="P377" i="317"/>
  <c r="L358" i="317"/>
  <c r="H358" i="317"/>
  <c r="G175" i="318"/>
  <c r="D175" i="318"/>
  <c r="L359" i="317"/>
  <c r="H359" i="317"/>
  <c r="G136" i="318"/>
  <c r="P361" i="317" l="1"/>
  <c r="P316" i="317"/>
  <c r="P360" i="317"/>
  <c r="P359" i="317"/>
  <c r="P358" i="317"/>
  <c r="P87" i="317"/>
  <c r="M483" i="317"/>
  <c r="N483" i="317" l="1"/>
  <c r="L357" i="317"/>
  <c r="H357" i="317"/>
  <c r="L356" i="317"/>
  <c r="H356" i="317"/>
  <c r="P356" i="317" l="1"/>
  <c r="P357" i="317"/>
  <c r="G153" i="318"/>
  <c r="B22" i="322" l="1"/>
  <c r="C89" i="316"/>
  <c r="C77" i="316"/>
  <c r="C69" i="316"/>
  <c r="C64" i="316"/>
  <c r="C34" i="316"/>
  <c r="B49" i="315"/>
  <c r="B18" i="315"/>
  <c r="B10" i="315"/>
  <c r="B8" i="315"/>
  <c r="B6" i="315"/>
  <c r="B4" i="315"/>
  <c r="D354" i="317" l="1"/>
  <c r="E354" i="317"/>
  <c r="F354" i="317"/>
  <c r="G354" i="317"/>
  <c r="I354" i="317"/>
  <c r="J354" i="317"/>
  <c r="K354" i="317"/>
  <c r="M354" i="317"/>
  <c r="N354" i="317"/>
  <c r="C354" i="317"/>
  <c r="O9" i="317"/>
  <c r="O354" i="317" s="1"/>
  <c r="L9" i="317"/>
  <c r="H9" i="317"/>
  <c r="P9" i="317" l="1"/>
  <c r="D45" i="239" l="1"/>
  <c r="G26" i="322" l="1"/>
  <c r="F32" i="322"/>
  <c r="E32" i="322"/>
  <c r="D32" i="322"/>
  <c r="C32" i="322"/>
  <c r="B32" i="322"/>
  <c r="G31" i="322"/>
  <c r="G32" i="322" s="1"/>
  <c r="F28" i="322"/>
  <c r="E28" i="322"/>
  <c r="D28" i="322"/>
  <c r="C28" i="322"/>
  <c r="B28" i="322"/>
  <c r="G27" i="322"/>
  <c r="G28" i="322" s="1"/>
  <c r="F23" i="322"/>
  <c r="E23" i="322"/>
  <c r="D23" i="322"/>
  <c r="C23" i="322"/>
  <c r="B23" i="322"/>
  <c r="G22" i="322"/>
  <c r="G21" i="322"/>
  <c r="G20" i="322"/>
  <c r="G19" i="322"/>
  <c r="G18" i="322"/>
  <c r="G17" i="322"/>
  <c r="G16" i="322"/>
  <c r="G15" i="322"/>
  <c r="G14" i="322"/>
  <c r="G13" i="322"/>
  <c r="G12" i="322"/>
  <c r="G11" i="322"/>
  <c r="G10" i="322"/>
  <c r="G9" i="322"/>
  <c r="G23" i="322" l="1"/>
  <c r="F60" i="261" l="1"/>
  <c r="C60" i="261"/>
  <c r="N17" i="321" l="1"/>
  <c r="B26" i="321" l="1"/>
  <c r="L24" i="321"/>
  <c r="K24" i="321"/>
  <c r="H24" i="321"/>
  <c r="D24" i="321"/>
  <c r="C24" i="321"/>
  <c r="C27" i="321" s="1"/>
  <c r="N23" i="321"/>
  <c r="N22" i="321"/>
  <c r="Q22" i="321" s="1"/>
  <c r="G24" i="321"/>
  <c r="N21" i="321"/>
  <c r="Q21" i="321" s="1"/>
  <c r="N20" i="321"/>
  <c r="Q20" i="321" s="1"/>
  <c r="N19" i="321"/>
  <c r="Q19" i="321" s="1"/>
  <c r="M24" i="321"/>
  <c r="J24" i="321"/>
  <c r="I24" i="321"/>
  <c r="F24" i="321"/>
  <c r="E24" i="321"/>
  <c r="B24" i="321"/>
  <c r="L14" i="321"/>
  <c r="K14" i="321"/>
  <c r="H14" i="321"/>
  <c r="G14" i="321"/>
  <c r="C14" i="321"/>
  <c r="N13" i="321"/>
  <c r="P13" i="321" s="1"/>
  <c r="N12" i="321"/>
  <c r="Q12" i="321" s="1"/>
  <c r="R12" i="321" s="1"/>
  <c r="N11" i="321"/>
  <c r="Q11" i="321" s="1"/>
  <c r="R11" i="321" s="1"/>
  <c r="N10" i="321"/>
  <c r="M14" i="321"/>
  <c r="J14" i="321"/>
  <c r="I14" i="321"/>
  <c r="F14" i="321"/>
  <c r="E14" i="321"/>
  <c r="N9" i="321"/>
  <c r="Q9" i="321" s="1"/>
  <c r="N8" i="321"/>
  <c r="Q8" i="321" s="1"/>
  <c r="N7" i="321"/>
  <c r="Q7" i="321" s="1"/>
  <c r="N6" i="321"/>
  <c r="Q6" i="321" s="1"/>
  <c r="R6" i="321" s="1"/>
  <c r="B14" i="321"/>
  <c r="K27" i="321" l="1"/>
  <c r="H27" i="321"/>
  <c r="L27" i="321"/>
  <c r="M27" i="321"/>
  <c r="J27" i="321"/>
  <c r="I27" i="321"/>
  <c r="F27" i="321"/>
  <c r="E27" i="321"/>
  <c r="B27" i="321"/>
  <c r="B28" i="321" s="1"/>
  <c r="C26" i="321" s="1"/>
  <c r="G27" i="321"/>
  <c r="N14" i="321"/>
  <c r="D14" i="321"/>
  <c r="D27" i="321" s="1"/>
  <c r="N18" i="321"/>
  <c r="N24" i="321" l="1"/>
  <c r="R18" i="321"/>
  <c r="C28" i="321"/>
  <c r="D26" i="321" s="1"/>
  <c r="D28" i="321" s="1"/>
  <c r="E26" i="321" s="1"/>
  <c r="E28" i="321" s="1"/>
  <c r="F26" i="321" s="1"/>
  <c r="F28" i="321" s="1"/>
  <c r="G26" i="321" s="1"/>
  <c r="G28" i="321" s="1"/>
  <c r="H26" i="321" s="1"/>
  <c r="H28" i="321" s="1"/>
  <c r="I26" i="321" s="1"/>
  <c r="I28" i="321" s="1"/>
  <c r="J26" i="321" s="1"/>
  <c r="J28" i="321" s="1"/>
  <c r="K26" i="321" s="1"/>
  <c r="K28" i="321" s="1"/>
  <c r="L26" i="321" s="1"/>
  <c r="L28" i="321" s="1"/>
  <c r="M26" i="321" s="1"/>
  <c r="M28" i="321" s="1"/>
  <c r="G122" i="318" l="1"/>
  <c r="L212" i="317"/>
  <c r="H212" i="317"/>
  <c r="P212" i="317" l="1"/>
  <c r="E33" i="299" l="1"/>
  <c r="E15" i="299"/>
  <c r="G233" i="318" l="1"/>
  <c r="E247" i="318"/>
  <c r="E246" i="318"/>
  <c r="E245" i="318"/>
  <c r="E244" i="318"/>
  <c r="E243" i="318"/>
  <c r="E242" i="318"/>
  <c r="E241" i="318"/>
  <c r="E240" i="318"/>
  <c r="E239" i="318"/>
  <c r="E238" i="318"/>
  <c r="E237" i="318"/>
  <c r="E236" i="318"/>
  <c r="E235" i="318"/>
  <c r="E234" i="318"/>
  <c r="H233" i="318"/>
  <c r="F233" i="318"/>
  <c r="E232" i="318"/>
  <c r="E230" i="318"/>
  <c r="E229" i="318"/>
  <c r="E228" i="318"/>
  <c r="E227" i="318"/>
  <c r="E226" i="318"/>
  <c r="E225" i="318"/>
  <c r="E224" i="318"/>
  <c r="E223" i="318"/>
  <c r="E222" i="318"/>
  <c r="H221" i="318"/>
  <c r="G221" i="318"/>
  <c r="F221" i="318"/>
  <c r="D221" i="318"/>
  <c r="C221" i="318"/>
  <c r="E220" i="318"/>
  <c r="E219" i="318"/>
  <c r="G218" i="318"/>
  <c r="E218" i="318"/>
  <c r="E217" i="318"/>
  <c r="G216" i="318"/>
  <c r="E216" i="318"/>
  <c r="E215" i="318"/>
  <c r="E214" i="318"/>
  <c r="E213" i="318"/>
  <c r="E212" i="318"/>
  <c r="E211" i="318"/>
  <c r="E210" i="318"/>
  <c r="E209" i="318"/>
  <c r="E208" i="318"/>
  <c r="E207" i="318"/>
  <c r="G206" i="318"/>
  <c r="E206" i="318"/>
  <c r="E205" i="318"/>
  <c r="E204" i="318"/>
  <c r="E203" i="318"/>
  <c r="E202" i="318"/>
  <c r="E201" i="318"/>
  <c r="D102" i="318"/>
  <c r="E199" i="318"/>
  <c r="E198" i="318"/>
  <c r="E197" i="318"/>
  <c r="H196" i="318"/>
  <c r="H102" i="318" s="1"/>
  <c r="G196" i="318"/>
  <c r="F196" i="318"/>
  <c r="D196" i="318"/>
  <c r="E196" i="318" s="1"/>
  <c r="E195" i="318"/>
  <c r="E194" i="318"/>
  <c r="E193" i="318"/>
  <c r="E192" i="318"/>
  <c r="E191" i="318"/>
  <c r="E190" i="318"/>
  <c r="E189" i="318"/>
  <c r="E188" i="318"/>
  <c r="G187" i="318"/>
  <c r="F187" i="318"/>
  <c r="E187" i="318"/>
  <c r="E186" i="318"/>
  <c r="E185" i="318"/>
  <c r="H184" i="318"/>
  <c r="E184" i="318"/>
  <c r="G183" i="318"/>
  <c r="E183" i="318"/>
  <c r="G182" i="318"/>
  <c r="E182" i="318"/>
  <c r="E181" i="318"/>
  <c r="G180" i="318"/>
  <c r="E180" i="318"/>
  <c r="E179" i="318"/>
  <c r="E178" i="318"/>
  <c r="E177" i="318"/>
  <c r="E176" i="318"/>
  <c r="E175" i="318"/>
  <c r="E174" i="318"/>
  <c r="E173" i="318"/>
  <c r="E172" i="318"/>
  <c r="E171" i="318"/>
  <c r="E170" i="318"/>
  <c r="E169" i="318"/>
  <c r="E168" i="318"/>
  <c r="E167" i="318"/>
  <c r="E166" i="318"/>
  <c r="E165" i="318"/>
  <c r="E163" i="318"/>
  <c r="E162" i="318"/>
  <c r="G161" i="318"/>
  <c r="E161" i="318"/>
  <c r="E160" i="318"/>
  <c r="E159" i="318"/>
  <c r="E158" i="318"/>
  <c r="E157" i="318"/>
  <c r="E156" i="318"/>
  <c r="G155" i="318"/>
  <c r="E155" i="318"/>
  <c r="E154" i="318"/>
  <c r="E153" i="318"/>
  <c r="E152" i="318"/>
  <c r="E151" i="318"/>
  <c r="E150" i="318"/>
  <c r="E149" i="318"/>
  <c r="E148" i="318"/>
  <c r="E147" i="318"/>
  <c r="E146" i="318"/>
  <c r="E145" i="318"/>
  <c r="E144" i="318"/>
  <c r="E143" i="318"/>
  <c r="E142" i="318"/>
  <c r="G141" i="318"/>
  <c r="E141" i="318"/>
  <c r="E140" i="318"/>
  <c r="E139" i="318"/>
  <c r="E138" i="318"/>
  <c r="E136" i="318"/>
  <c r="E135" i="318"/>
  <c r="G134" i="318"/>
  <c r="E134" i="318"/>
  <c r="E132" i="318"/>
  <c r="E131" i="318"/>
  <c r="E130" i="318"/>
  <c r="E129" i="318"/>
  <c r="E128" i="318"/>
  <c r="E127" i="318"/>
  <c r="E126" i="318"/>
  <c r="E125" i="318"/>
  <c r="E124" i="318"/>
  <c r="E123" i="318"/>
  <c r="E122" i="318"/>
  <c r="E121" i="318"/>
  <c r="E120" i="318"/>
  <c r="E119" i="318"/>
  <c r="E118" i="318"/>
  <c r="E117" i="318"/>
  <c r="E116" i="318"/>
  <c r="E115" i="318"/>
  <c r="E114" i="318"/>
  <c r="E113" i="318"/>
  <c r="E112" i="318"/>
  <c r="E111" i="318"/>
  <c r="E110" i="318"/>
  <c r="E109" i="318"/>
  <c r="E108" i="318"/>
  <c r="E107" i="318"/>
  <c r="E106" i="318"/>
  <c r="E105" i="318"/>
  <c r="E104" i="318"/>
  <c r="E103" i="318"/>
  <c r="F102" i="318"/>
  <c r="C102" i="318"/>
  <c r="E101" i="318"/>
  <c r="E100" i="318"/>
  <c r="E99" i="318"/>
  <c r="E98" i="318"/>
  <c r="E97" i="318"/>
  <c r="E96" i="318"/>
  <c r="E95" i="318"/>
  <c r="E94" i="318"/>
  <c r="G92" i="318"/>
  <c r="E93" i="318"/>
  <c r="H92" i="318"/>
  <c r="F92" i="318"/>
  <c r="D92" i="318"/>
  <c r="C92" i="318"/>
  <c r="E91" i="318"/>
  <c r="E90" i="318"/>
  <c r="E89" i="318"/>
  <c r="E88" i="318"/>
  <c r="H87" i="318"/>
  <c r="G87" i="318"/>
  <c r="F87" i="318"/>
  <c r="D87" i="318"/>
  <c r="C87" i="318"/>
  <c r="E86" i="318"/>
  <c r="E85" i="318"/>
  <c r="E84" i="318"/>
  <c r="G82" i="318"/>
  <c r="E83" i="318"/>
  <c r="H82" i="318"/>
  <c r="F82" i="318"/>
  <c r="C82" i="318"/>
  <c r="H81" i="318"/>
  <c r="G77" i="318"/>
  <c r="E81" i="318"/>
  <c r="E80" i="318"/>
  <c r="E79" i="318"/>
  <c r="E78" i="318"/>
  <c r="H77" i="318"/>
  <c r="F77" i="318"/>
  <c r="D77" i="318"/>
  <c r="C77" i="318"/>
  <c r="G76" i="318"/>
  <c r="E76" i="318"/>
  <c r="E75" i="318"/>
  <c r="E74" i="318"/>
  <c r="G73" i="318"/>
  <c r="E73" i="318"/>
  <c r="G72" i="318"/>
  <c r="E72" i="318"/>
  <c r="F71" i="318"/>
  <c r="D71" i="318"/>
  <c r="C71" i="318"/>
  <c r="E70" i="318"/>
  <c r="E69" i="318"/>
  <c r="E68" i="318"/>
  <c r="E67" i="318"/>
  <c r="E66" i="318"/>
  <c r="G65" i="318"/>
  <c r="E65" i="318"/>
  <c r="E64" i="318"/>
  <c r="E63" i="318"/>
  <c r="E62" i="318"/>
  <c r="H61" i="318"/>
  <c r="H9" i="318" s="1"/>
  <c r="F61" i="318"/>
  <c r="F9" i="318" s="1"/>
  <c r="D61" i="318"/>
  <c r="D9" i="318" s="1"/>
  <c r="C61" i="318"/>
  <c r="E60" i="318"/>
  <c r="G59" i="318"/>
  <c r="E59" i="318"/>
  <c r="E58" i="318"/>
  <c r="E57" i="318"/>
  <c r="E56" i="318"/>
  <c r="E55" i="318"/>
  <c r="E54" i="318"/>
  <c r="E53" i="318"/>
  <c r="E52" i="318"/>
  <c r="E51" i="318"/>
  <c r="E50" i="318"/>
  <c r="E49" i="318"/>
  <c r="E48" i="318"/>
  <c r="E47" i="318"/>
  <c r="E46" i="318"/>
  <c r="E45" i="318"/>
  <c r="E44" i="318"/>
  <c r="C44" i="318"/>
  <c r="E43" i="318"/>
  <c r="E42" i="318"/>
  <c r="E41" i="318"/>
  <c r="E40" i="318"/>
  <c r="E39" i="318"/>
  <c r="E38" i="318"/>
  <c r="E37" i="318"/>
  <c r="E36" i="318"/>
  <c r="E35" i="318"/>
  <c r="E34" i="318"/>
  <c r="E33" i="318"/>
  <c r="E32" i="318"/>
  <c r="E31" i="318"/>
  <c r="E30" i="318"/>
  <c r="E29" i="318"/>
  <c r="E28" i="318"/>
  <c r="E27" i="318"/>
  <c r="E26" i="318"/>
  <c r="E25" i="318"/>
  <c r="E24" i="318"/>
  <c r="E23" i="318"/>
  <c r="E22" i="318"/>
  <c r="E21" i="318"/>
  <c r="E20" i="318"/>
  <c r="E19" i="318"/>
  <c r="E18" i="318"/>
  <c r="E17" i="318"/>
  <c r="E16" i="318"/>
  <c r="E15" i="318"/>
  <c r="E14" i="318"/>
  <c r="E13" i="318"/>
  <c r="E12" i="318"/>
  <c r="E11" i="318"/>
  <c r="E10" i="318"/>
  <c r="E8" i="318"/>
  <c r="E7" i="318"/>
  <c r="E6" i="318"/>
  <c r="H5" i="318"/>
  <c r="H4" i="318" s="1"/>
  <c r="G5" i="318"/>
  <c r="F5" i="318"/>
  <c r="D5" i="318"/>
  <c r="C5" i="318"/>
  <c r="H231" i="318" l="1"/>
  <c r="H248" i="318" s="1"/>
  <c r="E77" i="318"/>
  <c r="E5" i="318"/>
  <c r="E221" i="318"/>
  <c r="E200" i="318"/>
  <c r="G102" i="318"/>
  <c r="G71" i="318"/>
  <c r="E102" i="318"/>
  <c r="D4" i="318"/>
  <c r="E61" i="318"/>
  <c r="E87" i="318"/>
  <c r="F4" i="318"/>
  <c r="F231" i="318" s="1"/>
  <c r="F248" i="318" s="1"/>
  <c r="G61" i="318"/>
  <c r="G9" i="318" s="1"/>
  <c r="E71" i="318"/>
  <c r="E92" i="318"/>
  <c r="D82" i="318"/>
  <c r="E82" i="318" s="1"/>
  <c r="E233" i="318"/>
  <c r="C9" i="318"/>
  <c r="F31" i="261"/>
  <c r="G31" i="261"/>
  <c r="D31" i="261"/>
  <c r="C31" i="261"/>
  <c r="J30" i="261"/>
  <c r="I30" i="261"/>
  <c r="H30" i="261"/>
  <c r="E30" i="261"/>
  <c r="J15" i="261"/>
  <c r="I15" i="261"/>
  <c r="H15" i="261"/>
  <c r="E15" i="261"/>
  <c r="K15" i="261" s="1"/>
  <c r="D21" i="240"/>
  <c r="E21" i="240"/>
  <c r="C21" i="240"/>
  <c r="T31" i="239"/>
  <c r="U31" i="239"/>
  <c r="S31" i="239"/>
  <c r="P31" i="239"/>
  <c r="Q31" i="239"/>
  <c r="O31" i="239"/>
  <c r="H31" i="239"/>
  <c r="I31" i="239"/>
  <c r="G31" i="239"/>
  <c r="D31" i="239"/>
  <c r="E31" i="239"/>
  <c r="C31" i="239"/>
  <c r="AG30" i="239"/>
  <c r="AF30" i="239"/>
  <c r="AE30" i="239"/>
  <c r="AC30" i="239"/>
  <c r="AB30" i="239"/>
  <c r="AA30" i="239"/>
  <c r="Y30" i="239"/>
  <c r="X30" i="239"/>
  <c r="W30" i="239"/>
  <c r="V30" i="239"/>
  <c r="R30" i="239"/>
  <c r="M30" i="239"/>
  <c r="L30" i="239"/>
  <c r="K30" i="239"/>
  <c r="J30" i="239"/>
  <c r="F30" i="239"/>
  <c r="AG15" i="239"/>
  <c r="AF15" i="239"/>
  <c r="AE15" i="239"/>
  <c r="AC15" i="239"/>
  <c r="AB15" i="239"/>
  <c r="AA15" i="239"/>
  <c r="M15" i="239"/>
  <c r="AK15" i="239" s="1"/>
  <c r="L15" i="239"/>
  <c r="AJ15" i="239" s="1"/>
  <c r="K15" i="239"/>
  <c r="J15" i="239"/>
  <c r="AH15" i="239" s="1"/>
  <c r="F15" i="239"/>
  <c r="AD15" i="239" s="1"/>
  <c r="D231" i="318" l="1"/>
  <c r="D248" i="318" s="1"/>
  <c r="G4" i="318"/>
  <c r="G231" i="318" s="1"/>
  <c r="G248" i="318" s="1"/>
  <c r="E9" i="318"/>
  <c r="C4" i="318"/>
  <c r="AJ30" i="239"/>
  <c r="K30" i="261"/>
  <c r="AK30" i="239"/>
  <c r="AH30" i="239"/>
  <c r="AD30" i="239"/>
  <c r="N15" i="239"/>
  <c r="AL15" i="239" s="1"/>
  <c r="Z30" i="239"/>
  <c r="N30" i="239"/>
  <c r="AI30" i="239"/>
  <c r="AI15" i="239"/>
  <c r="P442" i="317"/>
  <c r="P443" i="317"/>
  <c r="L196" i="317"/>
  <c r="H196" i="317"/>
  <c r="P392" i="317"/>
  <c r="E4" i="318" l="1"/>
  <c r="C231" i="318"/>
  <c r="AL30" i="239"/>
  <c r="P196" i="317"/>
  <c r="L340" i="317"/>
  <c r="H340" i="317"/>
  <c r="L297" i="317"/>
  <c r="H297" i="317"/>
  <c r="L273" i="317"/>
  <c r="H273" i="317"/>
  <c r="L271" i="317"/>
  <c r="H271" i="317"/>
  <c r="L264" i="317"/>
  <c r="H264" i="317"/>
  <c r="L263" i="317"/>
  <c r="H263" i="317"/>
  <c r="L73" i="317"/>
  <c r="H73" i="317"/>
  <c r="L41" i="317"/>
  <c r="H41" i="317"/>
  <c r="L84" i="317"/>
  <c r="H84" i="317"/>
  <c r="L146" i="317"/>
  <c r="H146" i="317"/>
  <c r="L142" i="317"/>
  <c r="H142" i="317"/>
  <c r="L141" i="317"/>
  <c r="L140" i="317"/>
  <c r="L139" i="317"/>
  <c r="H141" i="317"/>
  <c r="H140" i="317"/>
  <c r="H139" i="317"/>
  <c r="L138" i="317"/>
  <c r="L137" i="317"/>
  <c r="H137" i="317"/>
  <c r="L136" i="317"/>
  <c r="H136" i="317"/>
  <c r="L128" i="317"/>
  <c r="H128" i="317"/>
  <c r="L127" i="317"/>
  <c r="H127" i="317"/>
  <c r="L125" i="317"/>
  <c r="H125" i="317"/>
  <c r="L124" i="317"/>
  <c r="H124" i="317"/>
  <c r="L123" i="317"/>
  <c r="H123" i="317"/>
  <c r="L122" i="317"/>
  <c r="H122" i="317"/>
  <c r="L121" i="317"/>
  <c r="H121" i="317"/>
  <c r="L98" i="317"/>
  <c r="H98" i="317"/>
  <c r="L179" i="317"/>
  <c r="H179" i="317"/>
  <c r="K484" i="317"/>
  <c r="K486" i="317" s="1"/>
  <c r="J484" i="317"/>
  <c r="J486" i="317" s="1"/>
  <c r="G484" i="317"/>
  <c r="G486" i="317" s="1"/>
  <c r="F484" i="317"/>
  <c r="F486" i="317" s="1"/>
  <c r="D484" i="317"/>
  <c r="D486" i="317" s="1"/>
  <c r="C484" i="317"/>
  <c r="C486" i="317" s="1"/>
  <c r="L261" i="317"/>
  <c r="H261" i="317"/>
  <c r="L260" i="317"/>
  <c r="H260" i="317"/>
  <c r="L116" i="317"/>
  <c r="H116" i="317"/>
  <c r="L111" i="317"/>
  <c r="H111" i="317"/>
  <c r="L39" i="317"/>
  <c r="H39" i="317"/>
  <c r="O8" i="317"/>
  <c r="L8" i="317"/>
  <c r="H8" i="317"/>
  <c r="L354" i="317" l="1"/>
  <c r="L484" i="317" s="1"/>
  <c r="L486" i="317" s="1"/>
  <c r="E484" i="317"/>
  <c r="E486" i="317" s="1"/>
  <c r="P273" i="317"/>
  <c r="P297" i="317"/>
  <c r="E231" i="318"/>
  <c r="C248" i="318"/>
  <c r="E248" i="318" s="1"/>
  <c r="P340" i="317"/>
  <c r="P271" i="317"/>
  <c r="P264" i="317"/>
  <c r="P263" i="317"/>
  <c r="P73" i="317"/>
  <c r="P145" i="317"/>
  <c r="P140" i="317"/>
  <c r="P136" i="317"/>
  <c r="P84" i="317"/>
  <c r="P137" i="317"/>
  <c r="P43" i="317"/>
  <c r="P41" i="317"/>
  <c r="P142" i="317"/>
  <c r="P39" i="317"/>
  <c r="P146" i="317"/>
  <c r="I484" i="317"/>
  <c r="I486" i="317" s="1"/>
  <c r="P141" i="317"/>
  <c r="P139" i="317"/>
  <c r="P138" i="317"/>
  <c r="P128" i="317"/>
  <c r="P260" i="317"/>
  <c r="O483" i="317"/>
  <c r="P483" i="317" s="1"/>
  <c r="P122" i="317"/>
  <c r="P127" i="317"/>
  <c r="P124" i="317"/>
  <c r="P123" i="317"/>
  <c r="P125" i="317"/>
  <c r="P121" i="317"/>
  <c r="P261" i="317"/>
  <c r="N484" i="317"/>
  <c r="N486" i="317" s="1"/>
  <c r="P116" i="317"/>
  <c r="P111" i="317"/>
  <c r="M484" i="317"/>
  <c r="M486" i="317" s="1"/>
  <c r="P98" i="317"/>
  <c r="P179" i="317"/>
  <c r="P8" i="317"/>
  <c r="D52" i="316"/>
  <c r="C52" i="316"/>
  <c r="E6" i="316"/>
  <c r="E7" i="316"/>
  <c r="E8" i="316"/>
  <c r="E9" i="316"/>
  <c r="E10" i="316"/>
  <c r="E11" i="316"/>
  <c r="E12" i="316"/>
  <c r="E15" i="316"/>
  <c r="E18" i="316"/>
  <c r="E20" i="316"/>
  <c r="E21" i="316"/>
  <c r="E24" i="316"/>
  <c r="E25" i="316"/>
  <c r="E28" i="316"/>
  <c r="E31" i="316"/>
  <c r="E34" i="316"/>
  <c r="E37" i="316"/>
  <c r="E40" i="316"/>
  <c r="E41" i="316"/>
  <c r="E44" i="316"/>
  <c r="E47" i="316"/>
  <c r="E50" i="316"/>
  <c r="E51" i="316"/>
  <c r="E54" i="316"/>
  <c r="E57" i="316"/>
  <c r="E60" i="316"/>
  <c r="E61" i="316"/>
  <c r="E64" i="316"/>
  <c r="E65" i="316"/>
  <c r="E68" i="316"/>
  <c r="E69" i="316"/>
  <c r="E72" i="316"/>
  <c r="E75" i="316"/>
  <c r="E77" i="316"/>
  <c r="E80" i="316"/>
  <c r="E83" i="316"/>
  <c r="E86" i="316"/>
  <c r="E89" i="316"/>
  <c r="E5" i="316"/>
  <c r="D90" i="316"/>
  <c r="D87" i="316"/>
  <c r="D84" i="316"/>
  <c r="D81" i="316"/>
  <c r="D73" i="316"/>
  <c r="D70" i="316"/>
  <c r="D66" i="316"/>
  <c r="D62" i="316"/>
  <c r="D58" i="316"/>
  <c r="D55" i="316"/>
  <c r="D48" i="316"/>
  <c r="D45" i="316"/>
  <c r="D42" i="316"/>
  <c r="D38" i="316"/>
  <c r="D35" i="316"/>
  <c r="D32" i="316"/>
  <c r="D29" i="316"/>
  <c r="D26" i="316"/>
  <c r="D22" i="316"/>
  <c r="D19" i="316"/>
  <c r="D16" i="316"/>
  <c r="D13" i="316"/>
  <c r="C90" i="316"/>
  <c r="C87" i="316"/>
  <c r="C84" i="316"/>
  <c r="C81" i="316"/>
  <c r="E81" i="316" s="1"/>
  <c r="C73" i="316"/>
  <c r="C70" i="316"/>
  <c r="C66" i="316"/>
  <c r="C62" i="316"/>
  <c r="C58" i="316"/>
  <c r="C55" i="316"/>
  <c r="C48" i="316"/>
  <c r="C45" i="316"/>
  <c r="C42" i="316"/>
  <c r="C38" i="316"/>
  <c r="C35" i="316"/>
  <c r="C32" i="316"/>
  <c r="C29" i="316"/>
  <c r="C26" i="316"/>
  <c r="C22" i="316"/>
  <c r="C19" i="316"/>
  <c r="C16" i="316"/>
  <c r="C13" i="316"/>
  <c r="D6" i="315"/>
  <c r="D8" i="315"/>
  <c r="D10" i="315"/>
  <c r="D13" i="315"/>
  <c r="D14" i="315"/>
  <c r="D15" i="315"/>
  <c r="D16" i="315"/>
  <c r="D17" i="315"/>
  <c r="D18" i="315"/>
  <c r="D21" i="315"/>
  <c r="D22" i="315"/>
  <c r="D23" i="315"/>
  <c r="D26" i="315"/>
  <c r="D27" i="315"/>
  <c r="D28" i="315"/>
  <c r="D30" i="315"/>
  <c r="D31" i="315"/>
  <c r="D32" i="315"/>
  <c r="D35" i="315"/>
  <c r="D36" i="315"/>
  <c r="D37" i="315"/>
  <c r="D38" i="315"/>
  <c r="D39" i="315"/>
  <c r="D40" i="315"/>
  <c r="D41" i="315"/>
  <c r="D42" i="315"/>
  <c r="D43" i="315"/>
  <c r="D44" i="315"/>
  <c r="D45" i="315"/>
  <c r="D46" i="315"/>
  <c r="D47" i="315"/>
  <c r="D48" i="315"/>
  <c r="D49" i="315"/>
  <c r="D50" i="315"/>
  <c r="D51" i="315"/>
  <c r="D52" i="315"/>
  <c r="D53" i="315"/>
  <c r="D54" i="315"/>
  <c r="D55" i="315"/>
  <c r="D56" i="315"/>
  <c r="D61" i="315"/>
  <c r="D62" i="315"/>
  <c r="D63" i="315"/>
  <c r="D64" i="315"/>
  <c r="D65" i="315"/>
  <c r="D66" i="315"/>
  <c r="D67" i="315"/>
  <c r="D68" i="315"/>
  <c r="D69" i="315"/>
  <c r="D70" i="315"/>
  <c r="D71" i="315"/>
  <c r="D72" i="315"/>
  <c r="D76" i="315"/>
  <c r="D77" i="315"/>
  <c r="D78" i="315"/>
  <c r="D79" i="315"/>
  <c r="D80" i="315"/>
  <c r="D81" i="315"/>
  <c r="D82" i="315"/>
  <c r="D83" i="315"/>
  <c r="D84" i="315"/>
  <c r="D85" i="315"/>
  <c r="D86" i="315"/>
  <c r="D87" i="315"/>
  <c r="D89" i="315"/>
  <c r="D4" i="315"/>
  <c r="C88" i="315"/>
  <c r="C73" i="315"/>
  <c r="C34" i="315"/>
  <c r="C24" i="315"/>
  <c r="C20" i="315"/>
  <c r="D20" i="315" s="1"/>
  <c r="C12" i="315"/>
  <c r="B88" i="315"/>
  <c r="B73" i="315"/>
  <c r="B90" i="315" s="1"/>
  <c r="B34" i="315"/>
  <c r="B24" i="315"/>
  <c r="B20" i="315"/>
  <c r="B12" i="315"/>
  <c r="E55" i="316" l="1"/>
  <c r="E13" i="316"/>
  <c r="E84" i="316"/>
  <c r="E26" i="316"/>
  <c r="E19" i="316"/>
  <c r="E73" i="316"/>
  <c r="P354" i="317"/>
  <c r="P484" i="317" s="1"/>
  <c r="P486" i="317" s="1"/>
  <c r="H354" i="317"/>
  <c r="H484" i="317" s="1"/>
  <c r="H486" i="317" s="1"/>
  <c r="D12" i="315"/>
  <c r="D88" i="315"/>
  <c r="E58" i="316"/>
  <c r="E16" i="316"/>
  <c r="E38" i="316"/>
  <c r="E62" i="316"/>
  <c r="E87" i="316"/>
  <c r="E48" i="316"/>
  <c r="C92" i="316"/>
  <c r="D24" i="315"/>
  <c r="C90" i="315"/>
  <c r="D90" i="315" s="1"/>
  <c r="E22" i="316"/>
  <c r="E45" i="316"/>
  <c r="E70" i="316"/>
  <c r="D73" i="315"/>
  <c r="E29" i="316"/>
  <c r="E32" i="316"/>
  <c r="B58" i="315"/>
  <c r="B92" i="315" s="1"/>
  <c r="E35" i="316"/>
  <c r="D34" i="315"/>
  <c r="E42" i="316"/>
  <c r="E66" i="316"/>
  <c r="D92" i="316"/>
  <c r="O484" i="317"/>
  <c r="O486" i="317" s="1"/>
  <c r="C58" i="315"/>
  <c r="E90" i="316"/>
  <c r="E52" i="316"/>
  <c r="C92" i="315" l="1"/>
  <c r="E92" i="316"/>
  <c r="D58" i="315"/>
  <c r="D92" i="315" l="1"/>
  <c r="AE19" i="240"/>
  <c r="F21" i="260" l="1"/>
  <c r="F18" i="260"/>
  <c r="F14" i="260"/>
  <c r="C21" i="260"/>
  <c r="C18" i="260"/>
  <c r="C14" i="260"/>
  <c r="F44" i="261"/>
  <c r="F36" i="261"/>
  <c r="F27" i="261"/>
  <c r="F25" i="261"/>
  <c r="F23" i="261"/>
  <c r="F18" i="261"/>
  <c r="C44" i="261"/>
  <c r="C36" i="261"/>
  <c r="C27" i="261"/>
  <c r="C25" i="261"/>
  <c r="C23" i="261"/>
  <c r="C18" i="261"/>
  <c r="C20" i="261" s="1"/>
  <c r="Q25" i="240"/>
  <c r="P25" i="240"/>
  <c r="O25" i="240"/>
  <c r="Q21" i="240"/>
  <c r="P21" i="240"/>
  <c r="O21" i="240"/>
  <c r="Q18" i="240"/>
  <c r="P18" i="240"/>
  <c r="O18" i="240"/>
  <c r="Q14" i="240"/>
  <c r="P14" i="240"/>
  <c r="O14" i="240"/>
  <c r="Q22" i="240" l="1"/>
  <c r="O22" i="240"/>
  <c r="F20" i="261"/>
  <c r="P22" i="240"/>
  <c r="C32" i="261"/>
  <c r="C37" i="261" s="1"/>
  <c r="F32" i="261"/>
  <c r="F37" i="261" s="1"/>
  <c r="E25" i="240"/>
  <c r="E61" i="239" s="1"/>
  <c r="C25" i="240"/>
  <c r="C61" i="239" s="1"/>
  <c r="D25" i="240"/>
  <c r="D61" i="239" s="1"/>
  <c r="E18" i="240"/>
  <c r="D18" i="240"/>
  <c r="C18" i="240"/>
  <c r="E14" i="240"/>
  <c r="D14" i="240"/>
  <c r="C14" i="240"/>
  <c r="Q58" i="239"/>
  <c r="Q60" i="239" s="1"/>
  <c r="P58" i="239"/>
  <c r="P60" i="239" s="1"/>
  <c r="O58" i="239"/>
  <c r="O60" i="239" s="1"/>
  <c r="Q44" i="239"/>
  <c r="P44" i="239"/>
  <c r="O44" i="239"/>
  <c r="Q36" i="239"/>
  <c r="P36" i="239"/>
  <c r="O36" i="239"/>
  <c r="Q27" i="239"/>
  <c r="P27" i="239"/>
  <c r="O27" i="239"/>
  <c r="Q25" i="239"/>
  <c r="P25" i="239"/>
  <c r="O25" i="239"/>
  <c r="Q23" i="239"/>
  <c r="P23" i="239"/>
  <c r="O23" i="239"/>
  <c r="Q18" i="239"/>
  <c r="Q20" i="239" s="1"/>
  <c r="P18" i="239"/>
  <c r="P20" i="239" s="1"/>
  <c r="O18" i="239"/>
  <c r="O20" i="239" s="1"/>
  <c r="F59" i="239"/>
  <c r="E58" i="239"/>
  <c r="E60" i="239" s="1"/>
  <c r="F57" i="239"/>
  <c r="D58" i="239"/>
  <c r="D60" i="239" s="1"/>
  <c r="F56" i="239"/>
  <c r="F46" i="239"/>
  <c r="F45" i="239"/>
  <c r="E44" i="239"/>
  <c r="D44" i="239"/>
  <c r="C44" i="239"/>
  <c r="F43" i="239"/>
  <c r="F44" i="239" s="1"/>
  <c r="F42" i="239"/>
  <c r="F41" i="239"/>
  <c r="F39" i="239"/>
  <c r="F38" i="239"/>
  <c r="E36" i="239"/>
  <c r="D36" i="239"/>
  <c r="C36" i="239"/>
  <c r="F35" i="239"/>
  <c r="F34" i="239"/>
  <c r="F33" i="239"/>
  <c r="F29" i="239"/>
  <c r="F31" i="239" s="1"/>
  <c r="F28" i="239"/>
  <c r="E27" i="239"/>
  <c r="D27" i="239"/>
  <c r="C27" i="239"/>
  <c r="F26" i="239"/>
  <c r="F27" i="239" s="1"/>
  <c r="E25" i="239"/>
  <c r="D25" i="239"/>
  <c r="C25" i="239"/>
  <c r="F24" i="239"/>
  <c r="F25" i="239" s="1"/>
  <c r="E23" i="239"/>
  <c r="E48" i="239" s="1"/>
  <c r="D23" i="239"/>
  <c r="D48" i="239" s="1"/>
  <c r="C23" i="239"/>
  <c r="F22" i="239"/>
  <c r="F21" i="239"/>
  <c r="F19" i="239"/>
  <c r="E18" i="239"/>
  <c r="E20" i="239" s="1"/>
  <c r="D18" i="239"/>
  <c r="D20" i="239" s="1"/>
  <c r="C18" i="239"/>
  <c r="C20" i="239" s="1"/>
  <c r="F17" i="239"/>
  <c r="F16" i="239"/>
  <c r="F14" i="239"/>
  <c r="F13" i="239"/>
  <c r="F12" i="239"/>
  <c r="F11" i="239"/>
  <c r="F10" i="239"/>
  <c r="F9" i="239"/>
  <c r="C48" i="239" l="1"/>
  <c r="F23" i="239"/>
  <c r="F48" i="239" s="1"/>
  <c r="O48" i="239"/>
  <c r="Q32" i="239"/>
  <c r="Q37" i="239" s="1"/>
  <c r="Q47" i="239" s="1"/>
  <c r="P48" i="239"/>
  <c r="C22" i="240"/>
  <c r="F36" i="239"/>
  <c r="C32" i="239"/>
  <c r="C37" i="239" s="1"/>
  <c r="C47" i="239" s="1"/>
  <c r="F18" i="239"/>
  <c r="F20" i="239" s="1"/>
  <c r="D32" i="239"/>
  <c r="D37" i="239" s="1"/>
  <c r="D47" i="239" s="1"/>
  <c r="D49" i="239" s="1"/>
  <c r="Q48" i="239"/>
  <c r="O32" i="239"/>
  <c r="O37" i="239" s="1"/>
  <c r="O47" i="239" s="1"/>
  <c r="P32" i="239"/>
  <c r="P37" i="239" s="1"/>
  <c r="P47" i="239" s="1"/>
  <c r="P49" i="239" s="1"/>
  <c r="F58" i="239"/>
  <c r="F60" i="239" s="1"/>
  <c r="E32" i="239"/>
  <c r="E37" i="239" s="1"/>
  <c r="E47" i="239" s="1"/>
  <c r="E49" i="239" s="1"/>
  <c r="D22" i="240"/>
  <c r="E22" i="240"/>
  <c r="F61" i="239"/>
  <c r="F32" i="239"/>
  <c r="F37" i="239" s="1"/>
  <c r="C58" i="239"/>
  <c r="C60" i="239" s="1"/>
  <c r="E36" i="299"/>
  <c r="B36" i="299"/>
  <c r="E30" i="299"/>
  <c r="B30" i="299"/>
  <c r="E19" i="299"/>
  <c r="B19" i="299"/>
  <c r="E12" i="299"/>
  <c r="B12" i="299"/>
  <c r="O49" i="239" l="1"/>
  <c r="Q49" i="239"/>
  <c r="C49" i="239"/>
  <c r="F47" i="239"/>
  <c r="F49" i="239" s="1"/>
  <c r="F52" i="239" s="1"/>
  <c r="F55" i="239"/>
  <c r="F30" i="299"/>
  <c r="F19" i="299"/>
  <c r="B44" i="299"/>
  <c r="E41" i="299"/>
  <c r="B41" i="299"/>
  <c r="F12" i="299"/>
  <c r="E44" i="299"/>
  <c r="F36" i="299"/>
  <c r="F38" i="299" l="1"/>
  <c r="F41" i="299"/>
  <c r="F44" i="299"/>
  <c r="F21" i="299"/>
  <c r="F46" i="299" l="1"/>
  <c r="H56" i="261" l="1"/>
  <c r="H57" i="261"/>
  <c r="J57" i="261" l="1"/>
  <c r="J56" i="261"/>
  <c r="I57" i="261"/>
  <c r="I56" i="261"/>
  <c r="E57" i="261"/>
  <c r="K57" i="261" s="1"/>
  <c r="E56" i="261"/>
  <c r="K56" i="261" s="1"/>
  <c r="R33" i="239"/>
  <c r="R34" i="239"/>
  <c r="R35" i="239"/>
  <c r="G25" i="240"/>
  <c r="H25" i="240"/>
  <c r="I25" i="240"/>
  <c r="S25" i="240"/>
  <c r="T25" i="240"/>
  <c r="U25" i="240"/>
  <c r="I61" i="239" l="1"/>
  <c r="R24" i="240"/>
  <c r="V24" i="240"/>
  <c r="W24" i="240"/>
  <c r="X24" i="240"/>
  <c r="Y24" i="240"/>
  <c r="AA24" i="240"/>
  <c r="AB24" i="240"/>
  <c r="AC24" i="240"/>
  <c r="AE24" i="240"/>
  <c r="AF24" i="240"/>
  <c r="AG24" i="240"/>
  <c r="K24" i="240"/>
  <c r="L24" i="240"/>
  <c r="M24" i="240"/>
  <c r="H61" i="239"/>
  <c r="G61" i="239"/>
  <c r="J24" i="240"/>
  <c r="F24" i="240"/>
  <c r="J23" i="260"/>
  <c r="J24" i="260"/>
  <c r="I24" i="260"/>
  <c r="I23" i="260"/>
  <c r="D25" i="260"/>
  <c r="D61" i="261" s="1"/>
  <c r="C25" i="260"/>
  <c r="E24" i="260"/>
  <c r="K24" i="260" s="1"/>
  <c r="C14" i="266" s="1"/>
  <c r="AJ24" i="240" l="1"/>
  <c r="AD24" i="240"/>
  <c r="AK24" i="240"/>
  <c r="Z24" i="240"/>
  <c r="N24" i="240"/>
  <c r="AH24" i="240"/>
  <c r="AI24" i="240"/>
  <c r="AL24" i="240" l="1"/>
  <c r="AE9" i="239" l="1"/>
  <c r="AG61" i="239"/>
  <c r="AF61" i="239"/>
  <c r="AE61" i="239"/>
  <c r="AG59" i="239"/>
  <c r="AF59" i="239"/>
  <c r="AE59" i="239"/>
  <c r="AK58" i="239"/>
  <c r="AG58" i="239"/>
  <c r="AF57" i="239"/>
  <c r="AE57" i="239"/>
  <c r="AF56" i="239"/>
  <c r="AE56" i="239"/>
  <c r="AG46" i="239"/>
  <c r="AF46" i="239"/>
  <c r="AE46" i="239"/>
  <c r="AG45" i="239"/>
  <c r="AF45" i="239"/>
  <c r="AE45" i="239"/>
  <c r="AG43" i="239"/>
  <c r="AG44" i="239" s="1"/>
  <c r="AF43" i="239"/>
  <c r="AF44" i="239" s="1"/>
  <c r="AE43" i="239"/>
  <c r="AE44" i="239" s="1"/>
  <c r="AG42" i="239"/>
  <c r="AF42" i="239"/>
  <c r="AE42" i="239"/>
  <c r="AG41" i="239"/>
  <c r="AF41" i="239"/>
  <c r="AE41" i="239"/>
  <c r="AG39" i="239"/>
  <c r="AF39" i="239"/>
  <c r="AE39" i="239"/>
  <c r="AG38" i="239"/>
  <c r="AF38" i="239"/>
  <c r="AE38" i="239"/>
  <c r="AG35" i="239"/>
  <c r="AF35" i="239"/>
  <c r="AE35" i="239"/>
  <c r="AG34" i="239"/>
  <c r="AF34" i="239"/>
  <c r="AE34" i="239"/>
  <c r="AG33" i="239"/>
  <c r="AF33" i="239"/>
  <c r="AE33" i="239"/>
  <c r="AG29" i="239"/>
  <c r="AG31" i="239" s="1"/>
  <c r="AF29" i="239"/>
  <c r="AF31" i="239" s="1"/>
  <c r="AE29" i="239"/>
  <c r="AE31" i="239" s="1"/>
  <c r="AG28" i="239"/>
  <c r="AF28" i="239"/>
  <c r="AE28" i="239"/>
  <c r="AG26" i="239"/>
  <c r="AG27" i="239" s="1"/>
  <c r="AF26" i="239"/>
  <c r="AF27" i="239" s="1"/>
  <c r="AE26" i="239"/>
  <c r="AE27" i="239" s="1"/>
  <c r="AG24" i="239"/>
  <c r="AG25" i="239" s="1"/>
  <c r="AF24" i="239"/>
  <c r="AF25" i="239" s="1"/>
  <c r="AE24" i="239"/>
  <c r="AE25" i="239" s="1"/>
  <c r="AG22" i="239"/>
  <c r="AF22" i="239"/>
  <c r="AE22" i="239"/>
  <c r="AG21" i="239"/>
  <c r="AF21" i="239"/>
  <c r="AE21" i="239"/>
  <c r="AG19" i="239"/>
  <c r="AF19" i="239"/>
  <c r="AE19" i="239"/>
  <c r="AG17" i="239"/>
  <c r="AF17" i="239"/>
  <c r="AE17" i="239"/>
  <c r="AG16" i="239"/>
  <c r="AF16" i="239"/>
  <c r="AE16" i="239"/>
  <c r="AG14" i="239"/>
  <c r="AF14" i="239"/>
  <c r="AE14" i="239"/>
  <c r="AG13" i="239"/>
  <c r="AF13" i="239"/>
  <c r="AE13" i="239"/>
  <c r="AG12" i="239"/>
  <c r="AF12" i="239"/>
  <c r="AE12" i="239"/>
  <c r="AG11" i="239"/>
  <c r="AF11" i="239"/>
  <c r="AE11" i="239"/>
  <c r="AG10" i="239"/>
  <c r="AF10" i="239"/>
  <c r="AE10" i="239"/>
  <c r="AG9" i="239"/>
  <c r="AF9" i="239"/>
  <c r="Y19" i="239"/>
  <c r="X19" i="239"/>
  <c r="W19" i="239"/>
  <c r="Y21" i="239"/>
  <c r="X21" i="239"/>
  <c r="W21" i="239"/>
  <c r="Y22" i="239"/>
  <c r="X22" i="239"/>
  <c r="W22" i="239"/>
  <c r="Y24" i="239"/>
  <c r="Y25" i="239" s="1"/>
  <c r="X24" i="239"/>
  <c r="W24" i="239"/>
  <c r="Y26" i="239"/>
  <c r="Y27" i="239" s="1"/>
  <c r="X26" i="239"/>
  <c r="W26" i="239"/>
  <c r="W27" i="239" s="1"/>
  <c r="Y29" i="239"/>
  <c r="Y31" i="239" s="1"/>
  <c r="X29" i="239"/>
  <c r="X31" i="239" s="1"/>
  <c r="W29" i="239"/>
  <c r="W31" i="239" s="1"/>
  <c r="Y28" i="239"/>
  <c r="X28" i="239"/>
  <c r="W28" i="239"/>
  <c r="Y35" i="239"/>
  <c r="X35" i="239"/>
  <c r="W35" i="239"/>
  <c r="Y34" i="239"/>
  <c r="X34" i="239"/>
  <c r="W34" i="239"/>
  <c r="Y33" i="239"/>
  <c r="X33" i="239"/>
  <c r="W33" i="239"/>
  <c r="Y43" i="239"/>
  <c r="Y44" i="239" s="1"/>
  <c r="X43" i="239"/>
  <c r="X44" i="239" s="1"/>
  <c r="W43" i="239"/>
  <c r="W44" i="239" s="1"/>
  <c r="Y42" i="239"/>
  <c r="X42" i="239"/>
  <c r="W42" i="239"/>
  <c r="Y41" i="239"/>
  <c r="Y39" i="239"/>
  <c r="X39" i="239"/>
  <c r="W39" i="239"/>
  <c r="Y38" i="239"/>
  <c r="X38" i="239"/>
  <c r="W38" i="239"/>
  <c r="Y46" i="239"/>
  <c r="X46" i="239"/>
  <c r="W46" i="239"/>
  <c r="Y45" i="239"/>
  <c r="X45" i="239"/>
  <c r="W45" i="239"/>
  <c r="Y61" i="239"/>
  <c r="X61" i="239"/>
  <c r="W61" i="239"/>
  <c r="Y59" i="239"/>
  <c r="X59" i="239"/>
  <c r="W59" i="239"/>
  <c r="W57" i="239"/>
  <c r="X57" i="239"/>
  <c r="Y57" i="239"/>
  <c r="Y56" i="239"/>
  <c r="X56" i="239"/>
  <c r="W56" i="239"/>
  <c r="V61" i="239"/>
  <c r="V59" i="239"/>
  <c r="S58" i="239"/>
  <c r="S60" i="239" s="1"/>
  <c r="T58" i="239"/>
  <c r="T60" i="239" s="1"/>
  <c r="U58" i="239"/>
  <c r="U60" i="239" s="1"/>
  <c r="V57" i="239"/>
  <c r="V56" i="239"/>
  <c r="V46" i="239"/>
  <c r="V45" i="239"/>
  <c r="V41" i="239"/>
  <c r="V42" i="239"/>
  <c r="V43" i="239"/>
  <c r="V44" i="239" s="1"/>
  <c r="V39" i="239"/>
  <c r="V38" i="239"/>
  <c r="V33" i="239"/>
  <c r="V34" i="239"/>
  <c r="V35" i="239"/>
  <c r="V29" i="239"/>
  <c r="V31" i="239" s="1"/>
  <c r="V28" i="239"/>
  <c r="V26" i="239"/>
  <c r="V27" i="239" s="1"/>
  <c r="V24" i="239"/>
  <c r="V25" i="239" s="1"/>
  <c r="V22" i="239"/>
  <c r="V21" i="239"/>
  <c r="V19" i="239"/>
  <c r="S44" i="239"/>
  <c r="T44" i="239"/>
  <c r="U44" i="239"/>
  <c r="S36" i="239"/>
  <c r="T36" i="239"/>
  <c r="U36" i="239"/>
  <c r="S27" i="239"/>
  <c r="T27" i="239"/>
  <c r="U27" i="239"/>
  <c r="S25" i="239"/>
  <c r="T25" i="239"/>
  <c r="U25" i="239"/>
  <c r="W25" i="239"/>
  <c r="S23" i="239"/>
  <c r="T23" i="239"/>
  <c r="U23" i="239"/>
  <c r="S18" i="239"/>
  <c r="S20" i="239" s="1"/>
  <c r="T18" i="239"/>
  <c r="T20" i="239" s="1"/>
  <c r="U18" i="239"/>
  <c r="U20" i="239" s="1"/>
  <c r="V18" i="239"/>
  <c r="W18" i="239"/>
  <c r="X18" i="239"/>
  <c r="Y18" i="239"/>
  <c r="Z18" i="239"/>
  <c r="M61" i="239"/>
  <c r="AK61" i="239" s="1"/>
  <c r="L61" i="239"/>
  <c r="K61" i="239"/>
  <c r="M59" i="239"/>
  <c r="L59" i="239"/>
  <c r="K59" i="239"/>
  <c r="M57" i="239"/>
  <c r="L57" i="239"/>
  <c r="K57" i="239"/>
  <c r="M56" i="239"/>
  <c r="L56" i="239"/>
  <c r="K56" i="239"/>
  <c r="M46" i="239"/>
  <c r="L46" i="239"/>
  <c r="K46" i="239"/>
  <c r="M45" i="239"/>
  <c r="L45" i="239"/>
  <c r="K45" i="239"/>
  <c r="M43" i="239"/>
  <c r="L43" i="239"/>
  <c r="K43" i="239"/>
  <c r="M42" i="239"/>
  <c r="L42" i="239"/>
  <c r="K42" i="239"/>
  <c r="M41" i="239"/>
  <c r="L41" i="239"/>
  <c r="K41" i="239"/>
  <c r="M39" i="239"/>
  <c r="L39" i="239"/>
  <c r="K39" i="239"/>
  <c r="M38" i="239"/>
  <c r="L38" i="239"/>
  <c r="K38" i="239"/>
  <c r="M35" i="239"/>
  <c r="L35" i="239"/>
  <c r="K35" i="239"/>
  <c r="M34" i="239"/>
  <c r="L34" i="239"/>
  <c r="K34" i="239"/>
  <c r="M33" i="239"/>
  <c r="L33" i="239"/>
  <c r="K33" i="239"/>
  <c r="M29" i="239"/>
  <c r="M31" i="239" s="1"/>
  <c r="L29" i="239"/>
  <c r="L31" i="239" s="1"/>
  <c r="K29" i="239"/>
  <c r="K31" i="239" s="1"/>
  <c r="M28" i="239"/>
  <c r="L28" i="239"/>
  <c r="K28" i="239"/>
  <c r="M26" i="239"/>
  <c r="L26" i="239"/>
  <c r="K26" i="239"/>
  <c r="M24" i="239"/>
  <c r="L24" i="239"/>
  <c r="K24" i="239"/>
  <c r="AI24" i="239" s="1"/>
  <c r="AI25" i="239" s="1"/>
  <c r="M22" i="239"/>
  <c r="AK22" i="239" s="1"/>
  <c r="L22" i="239"/>
  <c r="AJ22" i="239" s="1"/>
  <c r="K22" i="239"/>
  <c r="M21" i="239"/>
  <c r="AK21" i="239" s="1"/>
  <c r="L21" i="239"/>
  <c r="K21" i="239"/>
  <c r="M19" i="239"/>
  <c r="L19" i="239"/>
  <c r="K19" i="239"/>
  <c r="K12" i="239"/>
  <c r="L12" i="239"/>
  <c r="AJ12" i="239" s="1"/>
  <c r="M12" i="239"/>
  <c r="AK12" i="239" s="1"/>
  <c r="K13" i="239"/>
  <c r="L13" i="239"/>
  <c r="AJ13" i="239" s="1"/>
  <c r="M13" i="239"/>
  <c r="AK13" i="239" s="1"/>
  <c r="K14" i="239"/>
  <c r="L14" i="239"/>
  <c r="AJ14" i="239" s="1"/>
  <c r="M14" i="239"/>
  <c r="AK14" i="239" s="1"/>
  <c r="K16" i="239"/>
  <c r="L16" i="239"/>
  <c r="AJ16" i="239" s="1"/>
  <c r="M16" i="239"/>
  <c r="AK16" i="239" s="1"/>
  <c r="K17" i="239"/>
  <c r="L17" i="239"/>
  <c r="AJ17" i="239" s="1"/>
  <c r="M17" i="239"/>
  <c r="AK17" i="239" s="1"/>
  <c r="K10" i="239"/>
  <c r="L10" i="239"/>
  <c r="AJ10" i="239" s="1"/>
  <c r="M10" i="239"/>
  <c r="AK10" i="239" s="1"/>
  <c r="K11" i="239"/>
  <c r="AI11" i="239" s="1"/>
  <c r="L11" i="239"/>
  <c r="AJ11" i="239" s="1"/>
  <c r="M11" i="239"/>
  <c r="AK11" i="239" s="1"/>
  <c r="L9" i="239"/>
  <c r="AJ9" i="239" s="1"/>
  <c r="M9" i="239"/>
  <c r="AK9" i="239" s="1"/>
  <c r="K9" i="239"/>
  <c r="AI9" i="239" s="1"/>
  <c r="J61" i="239"/>
  <c r="J59" i="239"/>
  <c r="G58" i="239"/>
  <c r="G60" i="239" s="1"/>
  <c r="H58" i="239"/>
  <c r="H60" i="239" s="1"/>
  <c r="I58" i="239"/>
  <c r="I60" i="239" s="1"/>
  <c r="J57" i="239"/>
  <c r="J56" i="239"/>
  <c r="J46" i="239"/>
  <c r="J45" i="239"/>
  <c r="J41" i="239"/>
  <c r="J42" i="239"/>
  <c r="J43" i="239"/>
  <c r="J39" i="239"/>
  <c r="J38" i="239"/>
  <c r="J33" i="239"/>
  <c r="J34" i="239"/>
  <c r="J35" i="239"/>
  <c r="J29" i="239"/>
  <c r="J31" i="239" s="1"/>
  <c r="J28" i="239"/>
  <c r="J26" i="239"/>
  <c r="J24" i="239"/>
  <c r="J22" i="239"/>
  <c r="AH22" i="239" s="1"/>
  <c r="J21" i="239"/>
  <c r="J19" i="239"/>
  <c r="J11" i="239"/>
  <c r="J12" i="239"/>
  <c r="AH12" i="239" s="1"/>
  <c r="J13" i="239"/>
  <c r="AH13" i="239" s="1"/>
  <c r="J14" i="239"/>
  <c r="AH14" i="239" s="1"/>
  <c r="J16" i="239"/>
  <c r="AH16" i="239" s="1"/>
  <c r="J17" i="239"/>
  <c r="AH17" i="239" s="1"/>
  <c r="J10" i="239"/>
  <c r="J9" i="239"/>
  <c r="U48" i="239" l="1"/>
  <c r="AI45" i="239"/>
  <c r="AI43" i="239"/>
  <c r="AI44" i="239" s="1"/>
  <c r="AG60" i="239"/>
  <c r="AH46" i="239"/>
  <c r="AJ21" i="239"/>
  <c r="AJ23" i="239" s="1"/>
  <c r="AJ46" i="239"/>
  <c r="W23" i="239"/>
  <c r="AI57" i="239"/>
  <c r="U32" i="239"/>
  <c r="U37" i="239" s="1"/>
  <c r="U47" i="239" s="1"/>
  <c r="U49" i="239" s="1"/>
  <c r="AI61" i="239"/>
  <c r="T48" i="239"/>
  <c r="W58" i="239"/>
  <c r="W60" i="239" s="1"/>
  <c r="X23" i="239"/>
  <c r="X48" i="239" s="1"/>
  <c r="AI33" i="239"/>
  <c r="AJ61" i="239"/>
  <c r="J58" i="239"/>
  <c r="AJ56" i="239"/>
  <c r="AI22" i="239"/>
  <c r="S48" i="239"/>
  <c r="AH19" i="239"/>
  <c r="AH45" i="239"/>
  <c r="AK43" i="239"/>
  <c r="AK44" i="239" s="1"/>
  <c r="AI46" i="239"/>
  <c r="J60" i="239"/>
  <c r="J55" i="239" s="1"/>
  <c r="Z57" i="239"/>
  <c r="T32" i="239"/>
  <c r="T37" i="239" s="1"/>
  <c r="T47" i="239" s="1"/>
  <c r="X20" i="239"/>
  <c r="Z24" i="239"/>
  <c r="Z25" i="239" s="1"/>
  <c r="V23" i="239"/>
  <c r="AH57" i="239"/>
  <c r="AF58" i="239"/>
  <c r="AF60" i="239" s="1"/>
  <c r="AH39" i="239"/>
  <c r="V20" i="239"/>
  <c r="V58" i="239"/>
  <c r="V60" i="239" s="1"/>
  <c r="V55" i="239" s="1"/>
  <c r="S32" i="239"/>
  <c r="AJ39" i="239"/>
  <c r="AK19" i="239"/>
  <c r="AJ43" i="239"/>
  <c r="AJ44" i="239" s="1"/>
  <c r="AK59" i="239"/>
  <c r="AK60" i="239" s="1"/>
  <c r="AK38" i="239"/>
  <c r="Y36" i="239"/>
  <c r="AJ29" i="239"/>
  <c r="AJ31" i="239" s="1"/>
  <c r="AF18" i="239"/>
  <c r="AF20" i="239" s="1"/>
  <c r="AG23" i="239"/>
  <c r="AG48" i="239" s="1"/>
  <c r="AH42" i="239"/>
  <c r="N59" i="239"/>
  <c r="AJ42" i="239"/>
  <c r="W36" i="239"/>
  <c r="AJ28" i="239"/>
  <c r="AE23" i="239"/>
  <c r="AE48" i="239" s="1"/>
  <c r="AJ19" i="239"/>
  <c r="AK42" i="239"/>
  <c r="AJ35" i="239"/>
  <c r="AK28" i="239"/>
  <c r="Z26" i="239"/>
  <c r="Z27" i="239" s="1"/>
  <c r="Z19" i="239"/>
  <c r="Z20" i="239" s="1"/>
  <c r="AJ24" i="239"/>
  <c r="AJ25" i="239" s="1"/>
  <c r="AH61" i="239"/>
  <c r="AK18" i="239"/>
  <c r="N24" i="239"/>
  <c r="N33" i="239"/>
  <c r="AI35" i="239"/>
  <c r="N42" i="239"/>
  <c r="AJ57" i="239"/>
  <c r="AL57" i="239" s="1"/>
  <c r="Z56" i="239"/>
  <c r="Z59" i="239"/>
  <c r="Z61" i="239"/>
  <c r="AK41" i="239"/>
  <c r="AJ34" i="239"/>
  <c r="Z22" i="239"/>
  <c r="Z21" i="239"/>
  <c r="AK24" i="239"/>
  <c r="AK25" i="239" s="1"/>
  <c r="AJ26" i="239"/>
  <c r="AJ27" i="239" s="1"/>
  <c r="AH21" i="239"/>
  <c r="AH43" i="239"/>
  <c r="AH44" i="239" s="1"/>
  <c r="AI21" i="239"/>
  <c r="AI26" i="239"/>
  <c r="AI27" i="239" s="1"/>
  <c r="AJ59" i="239"/>
  <c r="Z46" i="239"/>
  <c r="AK39" i="239"/>
  <c r="Z42" i="239"/>
  <c r="AJ33" i="239"/>
  <c r="AK34" i="239"/>
  <c r="Z28" i="239"/>
  <c r="AK29" i="239"/>
  <c r="AK31" i="239" s="1"/>
  <c r="W20" i="239"/>
  <c r="AG18" i="239"/>
  <c r="AG20" i="239" s="1"/>
  <c r="AK26" i="239"/>
  <c r="AK27" i="239" s="1"/>
  <c r="K58" i="239"/>
  <c r="K60" i="239" s="1"/>
  <c r="AJ45" i="239"/>
  <c r="N45" i="239"/>
  <c r="AI39" i="239"/>
  <c r="AJ38" i="239"/>
  <c r="N29" i="239"/>
  <c r="N31" i="239" s="1"/>
  <c r="N26" i="239"/>
  <c r="N19" i="239"/>
  <c r="AI19" i="239"/>
  <c r="N16" i="239"/>
  <c r="AL16" i="239" s="1"/>
  <c r="AF23" i="239"/>
  <c r="AF48" i="239" s="1"/>
  <c r="AJ18" i="239"/>
  <c r="AK23" i="239"/>
  <c r="AH28" i="239"/>
  <c r="AG32" i="239"/>
  <c r="AH29" i="239"/>
  <c r="AH31" i="239" s="1"/>
  <c r="AF36" i="239"/>
  <c r="AI56" i="239"/>
  <c r="AI59" i="239"/>
  <c r="L58" i="239"/>
  <c r="L60" i="239" s="1"/>
  <c r="N17" i="239"/>
  <c r="AL17" i="239" s="1"/>
  <c r="N12" i="239"/>
  <c r="AL12" i="239" s="1"/>
  <c r="N41" i="239"/>
  <c r="X36" i="239"/>
  <c r="Z45" i="239"/>
  <c r="Z35" i="239"/>
  <c r="AG36" i="239"/>
  <c r="AH33" i="239"/>
  <c r="AH35" i="239"/>
  <c r="AI42" i="239"/>
  <c r="AE58" i="239"/>
  <c r="AE60" i="239" s="1"/>
  <c r="N10" i="239"/>
  <c r="N13" i="239"/>
  <c r="AL13" i="239" s="1"/>
  <c r="N28" i="239"/>
  <c r="N35" i="239"/>
  <c r="N39" i="239"/>
  <c r="N56" i="239"/>
  <c r="Z39" i="239"/>
  <c r="Z34" i="239"/>
  <c r="Z29" i="239"/>
  <c r="Z31" i="239" s="1"/>
  <c r="AI10" i="239"/>
  <c r="AL10" i="239" s="1"/>
  <c r="AK33" i="239"/>
  <c r="AI34" i="239"/>
  <c r="AK35" i="239"/>
  <c r="N11" i="239"/>
  <c r="N14" i="239"/>
  <c r="AL14" i="239" s="1"/>
  <c r="N21" i="239"/>
  <c r="N34" i="239"/>
  <c r="N38" i="239"/>
  <c r="N43" i="239"/>
  <c r="N46" i="239"/>
  <c r="N57" i="239"/>
  <c r="V36" i="239"/>
  <c r="Z38" i="239"/>
  <c r="Z43" i="239"/>
  <c r="Z44" i="239" s="1"/>
  <c r="Z33" i="239"/>
  <c r="AH10" i="239"/>
  <c r="AI12" i="239"/>
  <c r="AI13" i="239"/>
  <c r="AI14" i="239"/>
  <c r="AI16" i="239"/>
  <c r="AI17" i="239"/>
  <c r="AI28" i="239"/>
  <c r="AI29" i="239"/>
  <c r="AI31" i="239" s="1"/>
  <c r="AI38" i="239"/>
  <c r="AK45" i="239"/>
  <c r="AK46" i="239"/>
  <c r="AH56" i="239"/>
  <c r="N61" i="239"/>
  <c r="N22" i="239"/>
  <c r="AH23" i="239"/>
  <c r="AH9" i="239"/>
  <c r="AH11" i="239"/>
  <c r="AH24" i="239"/>
  <c r="AH25" i="239" s="1"/>
  <c r="AH26" i="239"/>
  <c r="AH27" i="239" s="1"/>
  <c r="AE32" i="239"/>
  <c r="AH34" i="239"/>
  <c r="AE36" i="239"/>
  <c r="AH38" i="239"/>
  <c r="AH41" i="239"/>
  <c r="AH59" i="239"/>
  <c r="AF32" i="239"/>
  <c r="AE18" i="239"/>
  <c r="AE20" i="239" s="1"/>
  <c r="AL9" i="239"/>
  <c r="AL11" i="239"/>
  <c r="Y20" i="239"/>
  <c r="Y23" i="239"/>
  <c r="Y48" i="239" s="1"/>
  <c r="X25" i="239"/>
  <c r="X27" i="239"/>
  <c r="W48" i="239"/>
  <c r="Y32" i="239"/>
  <c r="W32" i="239"/>
  <c r="X58" i="239"/>
  <c r="X60" i="239" s="1"/>
  <c r="Y58" i="239"/>
  <c r="Y60" i="239" s="1"/>
  <c r="V48" i="239"/>
  <c r="V32" i="239"/>
  <c r="N9" i="239"/>
  <c r="M58" i="239"/>
  <c r="M60" i="239" s="1"/>
  <c r="AL24" i="239" l="1"/>
  <c r="AL25" i="239" s="1"/>
  <c r="AH58" i="239"/>
  <c r="AH60" i="239" s="1"/>
  <c r="AH55" i="239" s="1"/>
  <c r="T49" i="239"/>
  <c r="AL35" i="239"/>
  <c r="AH48" i="239"/>
  <c r="AL21" i="239"/>
  <c r="AL61" i="239"/>
  <c r="AL28" i="239"/>
  <c r="AI23" i="239"/>
  <c r="AI48" i="239" s="1"/>
  <c r="Z23" i="239"/>
  <c r="Z48" i="239" s="1"/>
  <c r="AL22" i="239"/>
  <c r="AJ58" i="239"/>
  <c r="AJ60" i="239" s="1"/>
  <c r="AL42" i="239"/>
  <c r="W37" i="239"/>
  <c r="W47" i="239" s="1"/>
  <c r="W49" i="239" s="1"/>
  <c r="AF37" i="239"/>
  <c r="AF47" i="239" s="1"/>
  <c r="AF49" i="239" s="1"/>
  <c r="AL39" i="239"/>
  <c r="AL59" i="239"/>
  <c r="Z58" i="239"/>
  <c r="Z60" i="239" s="1"/>
  <c r="Z55" i="239" s="1"/>
  <c r="AL33" i="239"/>
  <c r="AL34" i="239"/>
  <c r="AJ48" i="239"/>
  <c r="AK20" i="239"/>
  <c r="V37" i="239"/>
  <c r="V47" i="239" s="1"/>
  <c r="V49" i="239" s="1"/>
  <c r="V52" i="239" s="1"/>
  <c r="AG37" i="239"/>
  <c r="AG47" i="239" s="1"/>
  <c r="AG49" i="239" s="1"/>
  <c r="AI18" i="239"/>
  <c r="AI20" i="239" s="1"/>
  <c r="AE37" i="239"/>
  <c r="AE47" i="239" s="1"/>
  <c r="AE49" i="239" s="1"/>
  <c r="Y37" i="239"/>
  <c r="Y47" i="239" s="1"/>
  <c r="Y49" i="239" s="1"/>
  <c r="S37" i="239"/>
  <c r="S47" i="239" s="1"/>
  <c r="S49" i="239" s="1"/>
  <c r="AJ32" i="239"/>
  <c r="AL43" i="239"/>
  <c r="AL44" i="239" s="1"/>
  <c r="AJ36" i="239"/>
  <c r="X32" i="239"/>
  <c r="AL38" i="239"/>
  <c r="AJ20" i="239"/>
  <c r="AL45" i="239"/>
  <c r="AL46" i="239"/>
  <c r="AL19" i="239"/>
  <c r="AL26" i="239"/>
  <c r="AL27" i="239" s="1"/>
  <c r="Z36" i="239"/>
  <c r="AK48" i="239"/>
  <c r="AL29" i="239"/>
  <c r="AL31" i="239" s="1"/>
  <c r="Z32" i="239"/>
  <c r="AI36" i="239"/>
  <c r="AL56" i="239"/>
  <c r="AL58" i="239" s="1"/>
  <c r="AI58" i="239"/>
  <c r="AI60" i="239" s="1"/>
  <c r="AK32" i="239"/>
  <c r="AH32" i="239"/>
  <c r="N58" i="239"/>
  <c r="AK36" i="239"/>
  <c r="AI32" i="239"/>
  <c r="AL18" i="239"/>
  <c r="AH36" i="239"/>
  <c r="AH18" i="239"/>
  <c r="AH20" i="239" s="1"/>
  <c r="AL23" i="239" l="1"/>
  <c r="AL48" i="239" s="1"/>
  <c r="AL36" i="239"/>
  <c r="AI37" i="239"/>
  <c r="AI47" i="239" s="1"/>
  <c r="AI49" i="239" s="1"/>
  <c r="AH37" i="239"/>
  <c r="AH47" i="239" s="1"/>
  <c r="AH49" i="239" s="1"/>
  <c r="AH52" i="239" s="1"/>
  <c r="Z37" i="239"/>
  <c r="Z47" i="239" s="1"/>
  <c r="Z49" i="239" s="1"/>
  <c r="Z52" i="239" s="1"/>
  <c r="AJ37" i="239"/>
  <c r="AJ47" i="239" s="1"/>
  <c r="AJ49" i="239" s="1"/>
  <c r="X37" i="239"/>
  <c r="X47" i="239" s="1"/>
  <c r="X49" i="239" s="1"/>
  <c r="AK37" i="239"/>
  <c r="AK47" i="239" s="1"/>
  <c r="AK49" i="239" s="1"/>
  <c r="AL32" i="239"/>
  <c r="AL20" i="239"/>
  <c r="N60" i="239"/>
  <c r="N55" i="239" s="1"/>
  <c r="AL60" i="239"/>
  <c r="AL55" i="239" s="1"/>
  <c r="G44" i="239"/>
  <c r="H44" i="239"/>
  <c r="I44" i="239"/>
  <c r="J44" i="239"/>
  <c r="K44" i="239"/>
  <c r="L44" i="239"/>
  <c r="M44" i="239"/>
  <c r="N44" i="239"/>
  <c r="G36" i="239"/>
  <c r="H36" i="239"/>
  <c r="I36" i="239"/>
  <c r="J36" i="239"/>
  <c r="K36" i="239"/>
  <c r="L36" i="239"/>
  <c r="M36" i="239"/>
  <c r="N36" i="239"/>
  <c r="G27" i="239"/>
  <c r="G32" i="239" s="1"/>
  <c r="H27" i="239"/>
  <c r="H32" i="239" s="1"/>
  <c r="I27" i="239"/>
  <c r="J27" i="239"/>
  <c r="K27" i="239"/>
  <c r="L27" i="239"/>
  <c r="M27" i="239"/>
  <c r="N27" i="239"/>
  <c r="G25" i="239"/>
  <c r="H25" i="239"/>
  <c r="I25" i="239"/>
  <c r="J25" i="239"/>
  <c r="K25" i="239"/>
  <c r="L25" i="239"/>
  <c r="M25" i="239"/>
  <c r="N25" i="239"/>
  <c r="G23" i="239"/>
  <c r="H23" i="239"/>
  <c r="I23" i="239"/>
  <c r="J23" i="239"/>
  <c r="K23" i="239"/>
  <c r="L23" i="239"/>
  <c r="M23" i="239"/>
  <c r="N23" i="239"/>
  <c r="G18" i="239"/>
  <c r="G20" i="239" s="1"/>
  <c r="H18" i="239"/>
  <c r="H20" i="239" s="1"/>
  <c r="I18" i="239"/>
  <c r="I20" i="239" s="1"/>
  <c r="J18" i="239"/>
  <c r="J20" i="239" s="1"/>
  <c r="K18" i="239"/>
  <c r="K20" i="239" s="1"/>
  <c r="L18" i="239"/>
  <c r="L20" i="239" s="1"/>
  <c r="M18" i="239"/>
  <c r="M20" i="239" s="1"/>
  <c r="N18" i="239"/>
  <c r="N20" i="239" s="1"/>
  <c r="AL37" i="239" l="1"/>
  <c r="G37" i="239"/>
  <c r="G47" i="239" s="1"/>
  <c r="H37" i="239"/>
  <c r="H47" i="239" s="1"/>
  <c r="H48" i="239"/>
  <c r="M32" i="239"/>
  <c r="M37" i="239" s="1"/>
  <c r="M47" i="239" s="1"/>
  <c r="I32" i="239"/>
  <c r="AL47" i="239"/>
  <c r="AL49" i="239" s="1"/>
  <c r="AL52" i="239" s="1"/>
  <c r="K32" i="239"/>
  <c r="K48" i="239"/>
  <c r="G48" i="239"/>
  <c r="N48" i="239"/>
  <c r="N32" i="239"/>
  <c r="J32" i="239"/>
  <c r="J37" i="239" s="1"/>
  <c r="I48" i="239"/>
  <c r="L48" i="239"/>
  <c r="L32" i="239"/>
  <c r="M48" i="239"/>
  <c r="J48" i="239"/>
  <c r="W9" i="240"/>
  <c r="AH26" i="240"/>
  <c r="AE9" i="240"/>
  <c r="H49" i="239" l="1"/>
  <c r="I37" i="239"/>
  <c r="I47" i="239" s="1"/>
  <c r="I49" i="239" s="1"/>
  <c r="K37" i="239"/>
  <c r="K47" i="239" s="1"/>
  <c r="K49" i="239" s="1"/>
  <c r="J47" i="239"/>
  <c r="J49" i="239" s="1"/>
  <c r="J52" i="239" s="1"/>
  <c r="L37" i="239"/>
  <c r="L47" i="239" s="1"/>
  <c r="L49" i="239" s="1"/>
  <c r="N37" i="239"/>
  <c r="N47" i="239" s="1"/>
  <c r="N49" i="239" s="1"/>
  <c r="N52" i="239" s="1"/>
  <c r="G49" i="239"/>
  <c r="M49" i="239"/>
  <c r="AG23" i="240"/>
  <c r="AG25" i="240" s="1"/>
  <c r="AF23" i="240"/>
  <c r="AF25" i="240" s="1"/>
  <c r="AE23" i="240"/>
  <c r="AG20" i="240"/>
  <c r="AF20" i="240"/>
  <c r="AE20" i="240"/>
  <c r="AG19" i="240"/>
  <c r="AF19" i="240"/>
  <c r="AG17" i="240"/>
  <c r="AF17" i="240"/>
  <c r="AE17" i="240"/>
  <c r="AG16" i="240"/>
  <c r="AF16" i="240"/>
  <c r="AE16" i="240"/>
  <c r="AG15" i="240"/>
  <c r="AF15" i="240"/>
  <c r="AE15" i="240"/>
  <c r="AG13" i="240"/>
  <c r="AF13" i="240"/>
  <c r="AE13" i="240"/>
  <c r="AG12" i="240"/>
  <c r="AF12" i="240"/>
  <c r="AE12" i="240"/>
  <c r="AG11" i="240"/>
  <c r="AF11" i="240"/>
  <c r="AE11" i="240"/>
  <c r="AG10" i="240"/>
  <c r="AF10" i="240"/>
  <c r="AE10" i="240"/>
  <c r="AG9" i="240"/>
  <c r="AF9" i="240"/>
  <c r="Y23" i="240"/>
  <c r="X23" i="240"/>
  <c r="W23" i="240"/>
  <c r="V23" i="240"/>
  <c r="Y20" i="240"/>
  <c r="X20" i="240"/>
  <c r="W20" i="240"/>
  <c r="Y19" i="240"/>
  <c r="X19" i="240"/>
  <c r="W19" i="240"/>
  <c r="Y17" i="240"/>
  <c r="X17" i="240"/>
  <c r="W17" i="240"/>
  <c r="Y16" i="240"/>
  <c r="X16" i="240"/>
  <c r="W16" i="240"/>
  <c r="Y15" i="240"/>
  <c r="X15" i="240"/>
  <c r="W15" i="240"/>
  <c r="W11" i="240"/>
  <c r="X11" i="240"/>
  <c r="Y11" i="240"/>
  <c r="W12" i="240"/>
  <c r="X12" i="240"/>
  <c r="Y12" i="240"/>
  <c r="W13" i="240"/>
  <c r="X13" i="240"/>
  <c r="Y13" i="240"/>
  <c r="Y10" i="240"/>
  <c r="X10" i="240"/>
  <c r="W10" i="240"/>
  <c r="Y9" i="240"/>
  <c r="X9" i="240"/>
  <c r="V20" i="240"/>
  <c r="V19" i="240"/>
  <c r="V17" i="240"/>
  <c r="V16" i="240"/>
  <c r="V15" i="240"/>
  <c r="V11" i="240"/>
  <c r="V12" i="240"/>
  <c r="V13" i="240"/>
  <c r="V10" i="240"/>
  <c r="V9" i="240"/>
  <c r="Z26" i="240"/>
  <c r="AL26" i="240" s="1"/>
  <c r="S21" i="240"/>
  <c r="T21" i="240"/>
  <c r="U21" i="240"/>
  <c r="S18" i="240"/>
  <c r="T18" i="240"/>
  <c r="U18" i="240"/>
  <c r="S14" i="240"/>
  <c r="T14" i="240"/>
  <c r="U14" i="240"/>
  <c r="M23" i="240"/>
  <c r="L23" i="240"/>
  <c r="K23" i="240"/>
  <c r="J23" i="240"/>
  <c r="M20" i="240"/>
  <c r="L20" i="240"/>
  <c r="K20" i="240"/>
  <c r="M19" i="240"/>
  <c r="L19" i="240"/>
  <c r="K19" i="240"/>
  <c r="M17" i="240"/>
  <c r="L17" i="240"/>
  <c r="K17" i="240"/>
  <c r="M16" i="240"/>
  <c r="L16" i="240"/>
  <c r="K16" i="240"/>
  <c r="M15" i="240"/>
  <c r="L15" i="240"/>
  <c r="K15" i="240"/>
  <c r="K11" i="240"/>
  <c r="L11" i="240"/>
  <c r="M11" i="240"/>
  <c r="K12" i="240"/>
  <c r="L12" i="240"/>
  <c r="M12" i="240"/>
  <c r="K13" i="240"/>
  <c r="L13" i="240"/>
  <c r="M13" i="240"/>
  <c r="L10" i="240"/>
  <c r="M10" i="240"/>
  <c r="M9" i="240"/>
  <c r="L9" i="240"/>
  <c r="K10" i="240"/>
  <c r="K9" i="240"/>
  <c r="AI9" i="240" s="1"/>
  <c r="J20" i="240"/>
  <c r="J19" i="240"/>
  <c r="J16" i="240"/>
  <c r="J17" i="240"/>
  <c r="J15" i="240"/>
  <c r="J11" i="240"/>
  <c r="J12" i="240"/>
  <c r="J13" i="240"/>
  <c r="J10" i="240"/>
  <c r="G21" i="240"/>
  <c r="I21" i="240"/>
  <c r="G18" i="240"/>
  <c r="H18" i="240"/>
  <c r="I18" i="240"/>
  <c r="G14" i="240"/>
  <c r="H14" i="240"/>
  <c r="I14" i="240"/>
  <c r="J9" i="240"/>
  <c r="X25" i="240" l="1"/>
  <c r="V25" i="240"/>
  <c r="X21" i="240"/>
  <c r="W25" i="240"/>
  <c r="Y25" i="240"/>
  <c r="Z20" i="240"/>
  <c r="V21" i="240"/>
  <c r="AI19" i="240"/>
  <c r="U22" i="240"/>
  <c r="J25" i="240"/>
  <c r="AJ17" i="240"/>
  <c r="AJ16" i="240"/>
  <c r="AJ12" i="240"/>
  <c r="AI13" i="240"/>
  <c r="AI11" i="240"/>
  <c r="L25" i="240"/>
  <c r="K21" i="240"/>
  <c r="M21" i="240"/>
  <c r="AH23" i="240"/>
  <c r="I22" i="240"/>
  <c r="AE21" i="240"/>
  <c r="T22" i="240"/>
  <c r="AE18" i="240"/>
  <c r="AK15" i="240"/>
  <c r="Z23" i="240"/>
  <c r="AG18" i="240"/>
  <c r="M25" i="240"/>
  <c r="W21" i="240"/>
  <c r="K25" i="240"/>
  <c r="AG21" i="240"/>
  <c r="AE25" i="240"/>
  <c r="S22" i="240"/>
  <c r="AK16" i="240"/>
  <c r="AJ15" i="240"/>
  <c r="X18" i="240"/>
  <c r="AI16" i="240"/>
  <c r="AI12" i="240"/>
  <c r="W14" i="240"/>
  <c r="N10" i="240"/>
  <c r="AJ23" i="240"/>
  <c r="AI17" i="240"/>
  <c r="N13" i="240"/>
  <c r="AE14" i="240"/>
  <c r="AH13" i="240"/>
  <c r="AJ10" i="240"/>
  <c r="AK11" i="240"/>
  <c r="N11" i="240"/>
  <c r="AJ9" i="240"/>
  <c r="AK10" i="240"/>
  <c r="AK12" i="240"/>
  <c r="AK9" i="240"/>
  <c r="AK13" i="240"/>
  <c r="L21" i="240"/>
  <c r="N12" i="240"/>
  <c r="Z12" i="240"/>
  <c r="W18" i="240"/>
  <c r="Z17" i="240"/>
  <c r="AH16" i="240"/>
  <c r="AK19" i="240"/>
  <c r="AI20" i="240"/>
  <c r="AI23" i="240"/>
  <c r="Z13" i="240"/>
  <c r="Z16" i="240"/>
  <c r="AG14" i="240"/>
  <c r="AF18" i="240"/>
  <c r="AH17" i="240"/>
  <c r="AK17" i="240"/>
  <c r="AF21" i="240"/>
  <c r="AH20" i="240"/>
  <c r="AJ20" i="240"/>
  <c r="AJ13" i="240"/>
  <c r="AK20" i="240"/>
  <c r="AK23" i="240"/>
  <c r="AJ19" i="240"/>
  <c r="N20" i="240"/>
  <c r="N23" i="240"/>
  <c r="Y21" i="240"/>
  <c r="N17" i="240"/>
  <c r="L18" i="240"/>
  <c r="N15" i="240"/>
  <c r="H22" i="240"/>
  <c r="AJ11" i="240"/>
  <c r="AH11" i="240"/>
  <c r="G22" i="240"/>
  <c r="J14" i="240"/>
  <c r="N9" i="240"/>
  <c r="K18" i="240"/>
  <c r="N16" i="240"/>
  <c r="J21" i="240"/>
  <c r="V18" i="240"/>
  <c r="Z15" i="240"/>
  <c r="AI15" i="240"/>
  <c r="Z10" i="240"/>
  <c r="V14" i="240"/>
  <c r="Z11" i="240"/>
  <c r="AF14" i="240"/>
  <c r="AI10" i="240"/>
  <c r="Z9" i="240"/>
  <c r="Y14" i="240"/>
  <c r="AH10" i="240"/>
  <c r="AH12" i="240"/>
  <c r="AH9" i="240"/>
  <c r="AH15" i="240"/>
  <c r="AH19" i="240"/>
  <c r="Z25" i="240"/>
  <c r="Y18" i="240"/>
  <c r="Z19" i="240"/>
  <c r="Z21" i="240" s="1"/>
  <c r="X14" i="240"/>
  <c r="N19" i="240"/>
  <c r="M18" i="240"/>
  <c r="L14" i="240"/>
  <c r="M14" i="240"/>
  <c r="K14" i="240"/>
  <c r="J18" i="240"/>
  <c r="I45" i="261"/>
  <c r="J41" i="261"/>
  <c r="J42" i="261"/>
  <c r="J43" i="261"/>
  <c r="J44" i="261" s="1"/>
  <c r="J39" i="261"/>
  <c r="I41" i="261"/>
  <c r="I42" i="261"/>
  <c r="I43" i="261"/>
  <c r="I39" i="261"/>
  <c r="J38" i="261"/>
  <c r="I38" i="261"/>
  <c r="J19" i="261"/>
  <c r="I19" i="261"/>
  <c r="J59" i="261"/>
  <c r="I59" i="261"/>
  <c r="I60" i="261" s="1"/>
  <c r="H59" i="261"/>
  <c r="H46" i="261"/>
  <c r="H45" i="261"/>
  <c r="E46" i="261"/>
  <c r="E45" i="261"/>
  <c r="H41" i="261"/>
  <c r="H42" i="261"/>
  <c r="H43" i="261"/>
  <c r="H44" i="261" s="1"/>
  <c r="H39" i="261"/>
  <c r="H38" i="261"/>
  <c r="E41" i="261"/>
  <c r="E42" i="261"/>
  <c r="E43" i="261"/>
  <c r="E44" i="261" s="1"/>
  <c r="E39" i="261"/>
  <c r="E38" i="261"/>
  <c r="H33" i="261"/>
  <c r="H34" i="261"/>
  <c r="H35" i="261"/>
  <c r="E33" i="261"/>
  <c r="E34" i="261"/>
  <c r="E35" i="261"/>
  <c r="E29" i="261"/>
  <c r="E31" i="261" s="1"/>
  <c r="H29" i="261"/>
  <c r="H31" i="261" s="1"/>
  <c r="H28" i="261"/>
  <c r="E28" i="261"/>
  <c r="E26" i="261"/>
  <c r="H26" i="261"/>
  <c r="H27" i="261" s="1"/>
  <c r="H24" i="261"/>
  <c r="H25" i="261" s="1"/>
  <c r="E24" i="261"/>
  <c r="E25" i="261" s="1"/>
  <c r="H22" i="261"/>
  <c r="H21" i="261"/>
  <c r="E22" i="261"/>
  <c r="E21" i="261"/>
  <c r="H19" i="261"/>
  <c r="E19" i="261"/>
  <c r="H11" i="261"/>
  <c r="H12" i="261"/>
  <c r="H13" i="261"/>
  <c r="H14" i="261"/>
  <c r="H16" i="261"/>
  <c r="H17" i="261"/>
  <c r="H10" i="261"/>
  <c r="H9" i="261"/>
  <c r="E11" i="261"/>
  <c r="K11" i="261" s="1"/>
  <c r="E12" i="261"/>
  <c r="K12" i="261" s="1"/>
  <c r="E13" i="261"/>
  <c r="K13" i="261" s="1"/>
  <c r="E14" i="261"/>
  <c r="E16" i="261"/>
  <c r="K16" i="261" s="1"/>
  <c r="E17" i="261"/>
  <c r="E10" i="261"/>
  <c r="E9" i="261"/>
  <c r="H58" i="261"/>
  <c r="G58" i="261"/>
  <c r="G60" i="261" s="1"/>
  <c r="E58" i="261"/>
  <c r="E60" i="261" s="1"/>
  <c r="D58" i="261"/>
  <c r="D60" i="261" s="1"/>
  <c r="D44" i="261"/>
  <c r="G44" i="261"/>
  <c r="D36" i="261"/>
  <c r="G36" i="261"/>
  <c r="D27" i="261"/>
  <c r="G27" i="261"/>
  <c r="D25" i="261"/>
  <c r="G25" i="261"/>
  <c r="D23" i="261"/>
  <c r="F48" i="261"/>
  <c r="G23" i="261"/>
  <c r="D18" i="261"/>
  <c r="D20" i="261" s="1"/>
  <c r="G18" i="261"/>
  <c r="G20" i="261" s="1"/>
  <c r="J46" i="261"/>
  <c r="J45" i="261"/>
  <c r="J35" i="261"/>
  <c r="J34" i="261"/>
  <c r="J33" i="261"/>
  <c r="J29" i="261"/>
  <c r="J31" i="261" s="1"/>
  <c r="J28" i="261"/>
  <c r="J26" i="261"/>
  <c r="J27" i="261" s="1"/>
  <c r="J24" i="261"/>
  <c r="J25" i="261" s="1"/>
  <c r="J22" i="261"/>
  <c r="J21" i="261"/>
  <c r="J17" i="261"/>
  <c r="J16" i="261"/>
  <c r="J14" i="261"/>
  <c r="J13" i="261"/>
  <c r="J12" i="261"/>
  <c r="J11" i="261"/>
  <c r="J10" i="261"/>
  <c r="J9" i="261"/>
  <c r="J25" i="260"/>
  <c r="I25" i="260"/>
  <c r="H20" i="260"/>
  <c r="H19" i="260"/>
  <c r="H16" i="260"/>
  <c r="H17" i="260"/>
  <c r="H15" i="260"/>
  <c r="H11" i="260"/>
  <c r="H12" i="260"/>
  <c r="H13" i="260"/>
  <c r="H10" i="260"/>
  <c r="H9" i="260"/>
  <c r="H26" i="260"/>
  <c r="K26" i="260" s="1"/>
  <c r="H25" i="260"/>
  <c r="H61" i="261" s="1"/>
  <c r="E23" i="260"/>
  <c r="E20" i="260"/>
  <c r="E19" i="260"/>
  <c r="E17" i="260"/>
  <c r="E16" i="260"/>
  <c r="E15" i="260"/>
  <c r="E10" i="260"/>
  <c r="E11" i="260"/>
  <c r="E12" i="260"/>
  <c r="E13" i="260"/>
  <c r="E9" i="260"/>
  <c r="G25" i="260"/>
  <c r="G61" i="261" s="1"/>
  <c r="G21" i="260"/>
  <c r="D21" i="260"/>
  <c r="G18" i="260"/>
  <c r="D18" i="260"/>
  <c r="G14" i="260"/>
  <c r="D14" i="260"/>
  <c r="J26" i="260"/>
  <c r="J20" i="260"/>
  <c r="J19" i="260"/>
  <c r="J17" i="260"/>
  <c r="J16" i="260"/>
  <c r="J15" i="260"/>
  <c r="J13" i="260"/>
  <c r="J12" i="260"/>
  <c r="J11" i="260"/>
  <c r="J10" i="260"/>
  <c r="J9" i="260"/>
  <c r="K10" i="261" l="1"/>
  <c r="K59" i="261"/>
  <c r="H60" i="261"/>
  <c r="H55" i="261" s="1"/>
  <c r="K14" i="261"/>
  <c r="K34" i="261"/>
  <c r="AG22" i="240"/>
  <c r="AH25" i="240"/>
  <c r="AH21" i="240"/>
  <c r="AI25" i="240"/>
  <c r="AL23" i="240"/>
  <c r="AK25" i="240"/>
  <c r="N25" i="240"/>
  <c r="AI21" i="240"/>
  <c r="N21" i="240"/>
  <c r="AH18" i="240"/>
  <c r="AL9" i="240"/>
  <c r="G55" i="261"/>
  <c r="H23" i="261"/>
  <c r="H48" i="261" s="1"/>
  <c r="K22" i="261"/>
  <c r="AJ18" i="240"/>
  <c r="X22" i="240"/>
  <c r="AL12" i="240"/>
  <c r="AL13" i="240"/>
  <c r="AL15" i="240"/>
  <c r="AJ25" i="240"/>
  <c r="AJ21" i="240"/>
  <c r="D32" i="261"/>
  <c r="D37" i="261" s="1"/>
  <c r="D47" i="261" s="1"/>
  <c r="G32" i="261"/>
  <c r="G37" i="261" s="1"/>
  <c r="AE22" i="240"/>
  <c r="H21" i="260"/>
  <c r="G48" i="261"/>
  <c r="K26" i="261"/>
  <c r="K27" i="261" s="1"/>
  <c r="AK18" i="240"/>
  <c r="AL16" i="240"/>
  <c r="K9" i="260"/>
  <c r="E25" i="260"/>
  <c r="E61" i="261" s="1"/>
  <c r="K16" i="260"/>
  <c r="K12" i="260"/>
  <c r="D55" i="261"/>
  <c r="J58" i="261"/>
  <c r="J60" i="261" s="1"/>
  <c r="K29" i="261"/>
  <c r="K31" i="261" s="1"/>
  <c r="K39" i="261"/>
  <c r="K58" i="261"/>
  <c r="D48" i="261"/>
  <c r="K28" i="261"/>
  <c r="K46" i="261"/>
  <c r="H32" i="261"/>
  <c r="K24" i="261"/>
  <c r="K25" i="261" s="1"/>
  <c r="K33" i="261"/>
  <c r="K45" i="261"/>
  <c r="K43" i="261"/>
  <c r="K44" i="261" s="1"/>
  <c r="K42" i="261"/>
  <c r="K41" i="261"/>
  <c r="K38" i="261"/>
  <c r="K35" i="261"/>
  <c r="E36" i="261"/>
  <c r="E23" i="261"/>
  <c r="E48" i="261" s="1"/>
  <c r="K21" i="261"/>
  <c r="K19" i="261"/>
  <c r="W22" i="240"/>
  <c r="AK14" i="240"/>
  <c r="AL17" i="240"/>
  <c r="Z18" i="240"/>
  <c r="N18" i="240"/>
  <c r="AI18" i="240"/>
  <c r="AL11" i="240"/>
  <c r="AJ14" i="240"/>
  <c r="AL10" i="240"/>
  <c r="AL19" i="240"/>
  <c r="N14" i="240"/>
  <c r="AK21" i="240"/>
  <c r="V22" i="240"/>
  <c r="V53" i="239" s="1"/>
  <c r="V51" i="239" s="1"/>
  <c r="V62" i="239" s="1"/>
  <c r="AF22" i="240"/>
  <c r="AL20" i="240"/>
  <c r="K17" i="261"/>
  <c r="J23" i="261"/>
  <c r="J48" i="261" s="1"/>
  <c r="J32" i="261"/>
  <c r="J36" i="261"/>
  <c r="H18" i="261"/>
  <c r="H20" i="261" s="1"/>
  <c r="H36" i="261"/>
  <c r="H18" i="260"/>
  <c r="G22" i="260"/>
  <c r="G53" i="261" s="1"/>
  <c r="J18" i="261"/>
  <c r="J20" i="261" s="1"/>
  <c r="L22" i="240"/>
  <c r="J22" i="240"/>
  <c r="J53" i="239" s="1"/>
  <c r="K22" i="240"/>
  <c r="K20" i="260"/>
  <c r="J21" i="260"/>
  <c r="E21" i="260"/>
  <c r="K17" i="260"/>
  <c r="E18" i="260"/>
  <c r="K15" i="260"/>
  <c r="J18" i="260"/>
  <c r="D22" i="260"/>
  <c r="D53" i="261" s="1"/>
  <c r="K13" i="260"/>
  <c r="E14" i="260"/>
  <c r="J61" i="261"/>
  <c r="AI14" i="240"/>
  <c r="Z14" i="240"/>
  <c r="J14" i="260"/>
  <c r="AH14" i="240"/>
  <c r="Y22" i="240"/>
  <c r="M22" i="240"/>
  <c r="E27" i="261"/>
  <c r="E18" i="261"/>
  <c r="E20" i="261" s="1"/>
  <c r="K9" i="261"/>
  <c r="K11" i="260"/>
  <c r="H14" i="260"/>
  <c r="K10" i="260"/>
  <c r="K23" i="260"/>
  <c r="C13" i="266" s="1"/>
  <c r="C15" i="266" s="1"/>
  <c r="K19" i="260"/>
  <c r="K60" i="261" l="1"/>
  <c r="C9" i="266"/>
  <c r="H37" i="261"/>
  <c r="H47" i="261" s="1"/>
  <c r="H49" i="261" s="1"/>
  <c r="H52" i="261" s="1"/>
  <c r="K23" i="261"/>
  <c r="K48" i="261" s="1"/>
  <c r="AL25" i="240"/>
  <c r="AH22" i="240"/>
  <c r="AH53" i="239" s="1"/>
  <c r="AH51" i="239" s="1"/>
  <c r="AH62" i="239" s="1"/>
  <c r="J37" i="261"/>
  <c r="J47" i="261" s="1"/>
  <c r="J49" i="261" s="1"/>
  <c r="J52" i="261" s="1"/>
  <c r="J55" i="261"/>
  <c r="K18" i="261"/>
  <c r="K20" i="261" s="1"/>
  <c r="D49" i="261"/>
  <c r="D52" i="261" s="1"/>
  <c r="D51" i="261" s="1"/>
  <c r="D62" i="261" s="1"/>
  <c r="F47" i="261"/>
  <c r="F49" i="261" s="1"/>
  <c r="F52" i="261" s="1"/>
  <c r="G47" i="261"/>
  <c r="G49" i="261" s="1"/>
  <c r="G52" i="261" s="1"/>
  <c r="G51" i="261" s="1"/>
  <c r="G62" i="261" s="1"/>
  <c r="K32" i="261"/>
  <c r="AJ22" i="240"/>
  <c r="AK22" i="240"/>
  <c r="AL18" i="240"/>
  <c r="N22" i="240"/>
  <c r="AL21" i="240"/>
  <c r="E55" i="261"/>
  <c r="AI22" i="240"/>
  <c r="K25" i="260"/>
  <c r="H22" i="260"/>
  <c r="H53" i="261" s="1"/>
  <c r="E32" i="261"/>
  <c r="K36" i="261"/>
  <c r="AL14" i="240"/>
  <c r="Z22" i="240"/>
  <c r="Z53" i="239" s="1"/>
  <c r="Z51" i="239" s="1"/>
  <c r="Z62" i="239" s="1"/>
  <c r="K18" i="260"/>
  <c r="J51" i="239"/>
  <c r="J62" i="239" s="1"/>
  <c r="K21" i="260"/>
  <c r="E22" i="260"/>
  <c r="E53" i="261" s="1"/>
  <c r="J53" i="261"/>
  <c r="J22" i="260"/>
  <c r="K14" i="260"/>
  <c r="K37" i="261" l="1"/>
  <c r="K47" i="261" s="1"/>
  <c r="K49" i="261" s="1"/>
  <c r="K52" i="261" s="1"/>
  <c r="C7" i="266" s="1"/>
  <c r="E37" i="261"/>
  <c r="E47" i="261" s="1"/>
  <c r="E49" i="261" s="1"/>
  <c r="E52" i="261" s="1"/>
  <c r="E51" i="261" s="1"/>
  <c r="E62" i="261" s="1"/>
  <c r="AL22" i="240"/>
  <c r="AL53" i="239" s="1"/>
  <c r="AL51" i="239" s="1"/>
  <c r="AL62" i="239" s="1"/>
  <c r="K53" i="261"/>
  <c r="H51" i="261"/>
  <c r="H62" i="261" s="1"/>
  <c r="K22" i="260"/>
  <c r="C12" i="266" s="1"/>
  <c r="AD26" i="240"/>
  <c r="X41" i="239" l="1"/>
  <c r="AJ41" i="239" s="1"/>
  <c r="W41" i="239"/>
  <c r="Z41" i="239" l="1"/>
  <c r="AI41" i="239"/>
  <c r="AL41" i="239" s="1"/>
  <c r="I9" i="260"/>
  <c r="F25" i="260" l="1"/>
  <c r="F61" i="261" s="1"/>
  <c r="C61" i="261"/>
  <c r="I26" i="260"/>
  <c r="AC59" i="239"/>
  <c r="AA59" i="239"/>
  <c r="R59" i="239"/>
  <c r="I34" i="261"/>
  <c r="I35" i="261"/>
  <c r="F58" i="261"/>
  <c r="C58" i="261"/>
  <c r="AC23" i="240"/>
  <c r="AB23" i="240"/>
  <c r="AA23" i="240"/>
  <c r="R23" i="240"/>
  <c r="F23" i="240"/>
  <c r="AA34" i="239"/>
  <c r="AB34" i="239"/>
  <c r="AC34" i="239"/>
  <c r="AA35" i="239"/>
  <c r="AB35" i="239"/>
  <c r="AC35" i="239"/>
  <c r="AC61" i="239"/>
  <c r="AB61" i="239"/>
  <c r="AA61" i="239"/>
  <c r="R61" i="239"/>
  <c r="AB59" i="239"/>
  <c r="AC58" i="239"/>
  <c r="AB57" i="239"/>
  <c r="AA57" i="239"/>
  <c r="R57" i="239"/>
  <c r="AB56" i="239"/>
  <c r="AA56" i="239"/>
  <c r="R56" i="239"/>
  <c r="R21" i="239"/>
  <c r="R22" i="239"/>
  <c r="AD22" i="239" s="1"/>
  <c r="I22" i="261"/>
  <c r="AA22" i="239"/>
  <c r="AB22" i="239"/>
  <c r="AC22" i="239"/>
  <c r="R19" i="239"/>
  <c r="AC19" i="239"/>
  <c r="AB19" i="239"/>
  <c r="AA19" i="239"/>
  <c r="R46" i="239"/>
  <c r="R43" i="239"/>
  <c r="R44" i="239" s="1"/>
  <c r="R41" i="239"/>
  <c r="R42" i="239"/>
  <c r="R39" i="239"/>
  <c r="R38" i="239"/>
  <c r="R36" i="239"/>
  <c r="AC42" i="239"/>
  <c r="AB42" i="239"/>
  <c r="AA42" i="239"/>
  <c r="AC41" i="239"/>
  <c r="AB41" i="239"/>
  <c r="AA41" i="239"/>
  <c r="AC39" i="239"/>
  <c r="AB39" i="239"/>
  <c r="AA39" i="239"/>
  <c r="AC38" i="239"/>
  <c r="AB38" i="239"/>
  <c r="AA38" i="239"/>
  <c r="I10" i="260"/>
  <c r="I15" i="260"/>
  <c r="I46" i="261"/>
  <c r="I44" i="261"/>
  <c r="I33" i="261"/>
  <c r="I29" i="261"/>
  <c r="I31" i="261" s="1"/>
  <c r="I28" i="261"/>
  <c r="I26" i="261"/>
  <c r="I27" i="261" s="1"/>
  <c r="I24" i="261"/>
  <c r="I25" i="261" s="1"/>
  <c r="I21" i="261"/>
  <c r="I17" i="261"/>
  <c r="I16" i="261"/>
  <c r="I14" i="261"/>
  <c r="I13" i="261"/>
  <c r="I12" i="261"/>
  <c r="I11" i="261"/>
  <c r="I10" i="261"/>
  <c r="I9" i="261"/>
  <c r="R18" i="239"/>
  <c r="I20" i="260"/>
  <c r="I19" i="260"/>
  <c r="I17" i="260"/>
  <c r="I16" i="260"/>
  <c r="I13" i="260"/>
  <c r="I12" i="260"/>
  <c r="AC29" i="239"/>
  <c r="AC31" i="239" s="1"/>
  <c r="AB29" i="239"/>
  <c r="AB31" i="239" s="1"/>
  <c r="AA29" i="239"/>
  <c r="AA31" i="239" s="1"/>
  <c r="R29" i="239"/>
  <c r="R31" i="239" s="1"/>
  <c r="AA45" i="239"/>
  <c r="R45" i="239"/>
  <c r="AC11" i="240"/>
  <c r="AC10" i="240"/>
  <c r="F9" i="240"/>
  <c r="AA9" i="240"/>
  <c r="AC9" i="240"/>
  <c r="F10" i="240"/>
  <c r="AA10" i="240"/>
  <c r="AB10" i="240"/>
  <c r="F11" i="240"/>
  <c r="R11" i="240"/>
  <c r="AB11" i="240"/>
  <c r="F13" i="240"/>
  <c r="R13" i="240"/>
  <c r="AA13" i="240"/>
  <c r="AB13" i="240"/>
  <c r="AC13" i="240"/>
  <c r="F12" i="240"/>
  <c r="R12" i="240"/>
  <c r="AA12" i="240"/>
  <c r="AB12" i="240"/>
  <c r="AC12" i="240"/>
  <c r="F15" i="240"/>
  <c r="R15" i="240"/>
  <c r="AA15" i="240"/>
  <c r="AB15" i="240"/>
  <c r="AC15" i="240"/>
  <c r="F16" i="240"/>
  <c r="R16" i="240"/>
  <c r="AA16" i="240"/>
  <c r="AB16" i="240"/>
  <c r="AC16" i="240"/>
  <c r="F17" i="240"/>
  <c r="R17" i="240"/>
  <c r="AA17" i="240"/>
  <c r="AB17" i="240"/>
  <c r="AC17" i="240"/>
  <c r="F19" i="240"/>
  <c r="R19" i="240"/>
  <c r="AA19" i="240"/>
  <c r="AB19" i="240"/>
  <c r="AC19" i="240"/>
  <c r="F20" i="240"/>
  <c r="R20" i="240"/>
  <c r="AA20" i="240"/>
  <c r="AB20" i="240"/>
  <c r="AC20" i="240"/>
  <c r="R26" i="239"/>
  <c r="R27" i="239" s="1"/>
  <c r="AA26" i="239"/>
  <c r="AA27" i="239" s="1"/>
  <c r="AB26" i="239"/>
  <c r="AB27" i="239" s="1"/>
  <c r="AC26" i="239"/>
  <c r="AC27" i="239" s="1"/>
  <c r="R24" i="239"/>
  <c r="R25" i="239" s="1"/>
  <c r="AA24" i="239"/>
  <c r="AA25" i="239" s="1"/>
  <c r="AB24" i="239"/>
  <c r="AB25" i="239" s="1"/>
  <c r="AC24" i="239"/>
  <c r="AC25" i="239" s="1"/>
  <c r="AA33" i="239"/>
  <c r="AB33" i="239"/>
  <c r="AC33" i="239"/>
  <c r="AA28" i="239"/>
  <c r="AB28" i="239"/>
  <c r="AC28" i="239"/>
  <c r="AA9" i="239"/>
  <c r="AB9" i="239"/>
  <c r="AC9" i="239"/>
  <c r="AA10" i="239"/>
  <c r="AB10" i="239"/>
  <c r="AC10" i="239"/>
  <c r="AB11" i="239"/>
  <c r="AC11" i="239"/>
  <c r="AD12" i="239"/>
  <c r="AA12" i="239"/>
  <c r="AB12" i="239"/>
  <c r="AC12" i="239"/>
  <c r="AD13" i="239"/>
  <c r="AA13" i="239"/>
  <c r="AB13" i="239"/>
  <c r="AC13" i="239"/>
  <c r="AD14" i="239"/>
  <c r="AA14" i="239"/>
  <c r="AB14" i="239"/>
  <c r="AC14" i="239"/>
  <c r="AD16" i="239"/>
  <c r="AA16" i="239"/>
  <c r="AB16" i="239"/>
  <c r="AC16" i="239"/>
  <c r="AD17" i="239"/>
  <c r="AA17" i="239"/>
  <c r="AB17" i="239"/>
  <c r="AC17" i="239"/>
  <c r="AC45" i="239"/>
  <c r="AA43" i="239"/>
  <c r="AA44" i="239" s="1"/>
  <c r="AB43" i="239"/>
  <c r="AB44" i="239" s="1"/>
  <c r="AC43" i="239"/>
  <c r="AC44" i="239" s="1"/>
  <c r="AA21" i="239"/>
  <c r="AB21" i="239"/>
  <c r="AC21" i="239"/>
  <c r="AA46" i="239"/>
  <c r="AB46" i="239"/>
  <c r="AC46" i="239"/>
  <c r="AB45" i="239"/>
  <c r="AA11" i="239"/>
  <c r="R9" i="240"/>
  <c r="AA11" i="240"/>
  <c r="AB9" i="240"/>
  <c r="R10" i="240"/>
  <c r="I11" i="260"/>
  <c r="AC23" i="239" l="1"/>
  <c r="AC48" i="239" s="1"/>
  <c r="R58" i="239"/>
  <c r="R60" i="239" s="1"/>
  <c r="R55" i="239" s="1"/>
  <c r="R25" i="240"/>
  <c r="AA21" i="240"/>
  <c r="I23" i="261"/>
  <c r="I48" i="261" s="1"/>
  <c r="AC60" i="239"/>
  <c r="I58" i="261"/>
  <c r="AB25" i="240"/>
  <c r="R32" i="239"/>
  <c r="R37" i="239" s="1"/>
  <c r="R21" i="240"/>
  <c r="AA25" i="240"/>
  <c r="AD19" i="240"/>
  <c r="I21" i="260"/>
  <c r="F25" i="240"/>
  <c r="AC25" i="240"/>
  <c r="F55" i="261"/>
  <c r="F22" i="260"/>
  <c r="F53" i="261" s="1"/>
  <c r="F51" i="261" s="1"/>
  <c r="C55" i="261"/>
  <c r="C48" i="261"/>
  <c r="I32" i="261"/>
  <c r="I18" i="261"/>
  <c r="I20" i="261" s="1"/>
  <c r="R18" i="240"/>
  <c r="AD23" i="240"/>
  <c r="AB58" i="239"/>
  <c r="AB60" i="239" s="1"/>
  <c r="R23" i="239"/>
  <c r="R48" i="239" s="1"/>
  <c r="AD57" i="239"/>
  <c r="AA58" i="239"/>
  <c r="AA60" i="239" s="1"/>
  <c r="AC18" i="239"/>
  <c r="AC20" i="239" s="1"/>
  <c r="K61" i="261"/>
  <c r="K55" i="261" s="1"/>
  <c r="I61" i="261"/>
  <c r="AD28" i="239"/>
  <c r="AD29" i="239"/>
  <c r="AD31" i="239" s="1"/>
  <c r="AD33" i="239"/>
  <c r="AD34" i="239"/>
  <c r="AC18" i="240"/>
  <c r="K51" i="261"/>
  <c r="J51" i="261"/>
  <c r="J62" i="261" s="1"/>
  <c r="F21" i="240"/>
  <c r="AD20" i="240"/>
  <c r="I14" i="260"/>
  <c r="R14" i="240"/>
  <c r="I18" i="260"/>
  <c r="AD26" i="239"/>
  <c r="AD27" i="239" s="1"/>
  <c r="I36" i="261"/>
  <c r="AD9" i="239"/>
  <c r="AD61" i="239"/>
  <c r="AD46" i="239"/>
  <c r="AD38" i="239"/>
  <c r="R20" i="239"/>
  <c r="AC36" i="239"/>
  <c r="AB23" i="239"/>
  <c r="AB48" i="239" s="1"/>
  <c r="AB32" i="239"/>
  <c r="AD24" i="239"/>
  <c r="AD25" i="239" s="1"/>
  <c r="AB36" i="239"/>
  <c r="AD41" i="239"/>
  <c r="AD35" i="239"/>
  <c r="AD59" i="239"/>
  <c r="AD56" i="239"/>
  <c r="AD45" i="239"/>
  <c r="AD39" i="239"/>
  <c r="AD42" i="239"/>
  <c r="AA23" i="239"/>
  <c r="AA48" i="239" s="1"/>
  <c r="AD19" i="239"/>
  <c r="AB18" i="239"/>
  <c r="AB20" i="239" s="1"/>
  <c r="AA18" i="239"/>
  <c r="AA20" i="239" s="1"/>
  <c r="C22" i="260"/>
  <c r="C53" i="261" s="1"/>
  <c r="AD15" i="240"/>
  <c r="AB18" i="240"/>
  <c r="AD11" i="240"/>
  <c r="AD12" i="240"/>
  <c r="AD10" i="240"/>
  <c r="AB21" i="240"/>
  <c r="AD17" i="240"/>
  <c r="F18" i="240"/>
  <c r="AB14" i="240"/>
  <c r="AA14" i="240"/>
  <c r="AA32" i="239"/>
  <c r="AD9" i="240"/>
  <c r="AD11" i="239"/>
  <c r="AC32" i="239"/>
  <c r="AA36" i="239"/>
  <c r="AD13" i="240"/>
  <c r="AA18" i="240"/>
  <c r="AD43" i="239"/>
  <c r="AD44" i="239" s="1"/>
  <c r="AD21" i="239"/>
  <c r="AD23" i="239" s="1"/>
  <c r="AD10" i="239"/>
  <c r="AC21" i="240"/>
  <c r="AD16" i="240"/>
  <c r="F14" i="240"/>
  <c r="AC14" i="240"/>
  <c r="I53" i="261" l="1"/>
  <c r="AD58" i="239"/>
  <c r="AD60" i="239" s="1"/>
  <c r="AD55" i="239" s="1"/>
  <c r="AB37" i="239"/>
  <c r="AB47" i="239" s="1"/>
  <c r="AB49" i="239" s="1"/>
  <c r="AA37" i="239"/>
  <c r="AA47" i="239" s="1"/>
  <c r="AA49" i="239" s="1"/>
  <c r="I37" i="261"/>
  <c r="I47" i="261" s="1"/>
  <c r="I49" i="261" s="1"/>
  <c r="C47" i="261"/>
  <c r="C49" i="261" s="1"/>
  <c r="C52" i="261" s="1"/>
  <c r="C51" i="261" s="1"/>
  <c r="C62" i="261" s="1"/>
  <c r="AC37" i="239"/>
  <c r="R22" i="240"/>
  <c r="R53" i="239" s="1"/>
  <c r="AD25" i="240"/>
  <c r="AD21" i="240"/>
  <c r="F62" i="261"/>
  <c r="I55" i="261"/>
  <c r="K62" i="261"/>
  <c r="C8" i="266"/>
  <c r="C10" i="266" s="1"/>
  <c r="C18" i="266" s="1"/>
  <c r="AD32" i="239"/>
  <c r="AC47" i="239"/>
  <c r="AC49" i="239" s="1"/>
  <c r="AD18" i="239"/>
  <c r="AD20" i="239" s="1"/>
  <c r="F22" i="240"/>
  <c r="I22" i="260"/>
  <c r="R47" i="239"/>
  <c r="R49" i="239" s="1"/>
  <c r="R52" i="239" s="1"/>
  <c r="AD36" i="239"/>
  <c r="AB22" i="240"/>
  <c r="AD18" i="240"/>
  <c r="AA22" i="240"/>
  <c r="AC22" i="240"/>
  <c r="AD14" i="240"/>
  <c r="AD48" i="239"/>
  <c r="F53" i="239" l="1"/>
  <c r="F51" i="239" s="1"/>
  <c r="F62" i="239" s="1"/>
  <c r="AD37" i="239"/>
  <c r="AD47" i="239" s="1"/>
  <c r="AD49" i="239" s="1"/>
  <c r="AD52" i="239" s="1"/>
  <c r="R51" i="239"/>
  <c r="R62" i="239" s="1"/>
  <c r="I52" i="261"/>
  <c r="I51" i="261" s="1"/>
  <c r="I62" i="261" s="1"/>
  <c r="C17" i="266"/>
  <c r="C19" i="266" s="1"/>
  <c r="AD22" i="240"/>
  <c r="AD53" i="239" s="1"/>
  <c r="N53" i="239" l="1"/>
  <c r="N51" i="239" s="1"/>
  <c r="N62" i="239" s="1"/>
  <c r="AD51" i="239"/>
  <c r="AD62" i="239" s="1"/>
</calcChain>
</file>

<file path=xl/sharedStrings.xml><?xml version="1.0" encoding="utf-8"?>
<sst xmlns="http://schemas.openxmlformats.org/spreadsheetml/2006/main" count="3680" uniqueCount="1377">
  <si>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</si>
  <si>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</si>
  <si>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</si>
  <si>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</si>
  <si>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</si>
  <si>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</si>
  <si>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</si>
  <si>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</si>
  <si>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</si>
  <si>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</si>
  <si>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</si>
  <si>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</si>
  <si>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</si>
  <si>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</si>
  <si>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</si>
  <si>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</si>
  <si>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</si>
  <si>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</si>
  <si>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</si>
  <si>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</si>
  <si>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</si>
  <si>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</si>
  <si>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Székesfehérvár Megyei Jogú Város Önkormányzat</t>
  </si>
  <si>
    <t>Költségvetési szervek összesen</t>
  </si>
  <si>
    <t>Eredeti előirányzat</t>
  </si>
  <si>
    <t>~ ebből: Szent István Király Múzeum támogatása</t>
  </si>
  <si>
    <t xml:space="preserve">              Vörösmarty Mihály Megyei Könyvtár és a városi könyvtár támogatása</t>
  </si>
  <si>
    <t xml:space="preserve">              Vörösmarty Színház támogatása</t>
  </si>
  <si>
    <t>1, Személyi juttatás</t>
  </si>
  <si>
    <t>2, Munkaadókat terhelő járulékok és szociális hozzájárulási adó</t>
  </si>
  <si>
    <t>3, Dologi kiadás</t>
  </si>
  <si>
    <t>Személyi juttatás</t>
  </si>
  <si>
    <t>Munkaadókat terhelő járulékok és szociális hozzájárulási adó</t>
  </si>
  <si>
    <t>Dologi kiadás</t>
  </si>
  <si>
    <t>g.=b. +…+ f.</t>
  </si>
  <si>
    <t>h.</t>
  </si>
  <si>
    <t>i.</t>
  </si>
  <si>
    <t>j.</t>
  </si>
  <si>
    <t>k.=h. +i.+ j.</t>
  </si>
  <si>
    <t>l.</t>
  </si>
  <si>
    <t>m.</t>
  </si>
  <si>
    <t xml:space="preserve">III. </t>
  </si>
  <si>
    <t>Városfejlesztés</t>
  </si>
  <si>
    <t>Humán Szolgáltatás</t>
  </si>
  <si>
    <t>A.</t>
  </si>
  <si>
    <t>Kiadások összesen (I-VIII.)</t>
  </si>
  <si>
    <t>Céltartalék összesen</t>
  </si>
  <si>
    <t>IX.</t>
  </si>
  <si>
    <t>Tartalékok összesen</t>
  </si>
  <si>
    <t>C.</t>
  </si>
  <si>
    <t>KIADÁSOK MINDÖSSZESEN (I-IX.)</t>
  </si>
  <si>
    <t xml:space="preserve">             Alba Regia Sport Club - Ingatlan üzemeltetésével összefüggő költségekhez</t>
  </si>
  <si>
    <t>Beruházások</t>
  </si>
  <si>
    <t>MEGNEVEZÉS</t>
  </si>
  <si>
    <t>Működési bevételek</t>
  </si>
  <si>
    <t>Személyi juttatások</t>
  </si>
  <si>
    <t>Közhatalmi bevételek</t>
  </si>
  <si>
    <t>Dologi kiadások</t>
  </si>
  <si>
    <t>Tartalékok</t>
  </si>
  <si>
    <t>Felhalmozási bevételek</t>
  </si>
  <si>
    <t>Felújítások</t>
  </si>
  <si>
    <t>Költségvetési bevételek-kiadások egyenlege</t>
  </si>
  <si>
    <t>Költségvetési kiadások összesen:</t>
  </si>
  <si>
    <t>Költségvetési bevételek összesen:</t>
  </si>
  <si>
    <t>VAGYONGAZDÁLKODÁS</t>
  </si>
  <si>
    <t>VÁROS- ÉS KÖZSÉGGAZDÁLKODÁS</t>
  </si>
  <si>
    <t>HUMÁN SZOLGÁLTATÁS</t>
  </si>
  <si>
    <t xml:space="preserve">             Alba Regia Atlétikai Klub</t>
  </si>
  <si>
    <t>NEMZETISÉGI ÖNKORMÁNYZATOK</t>
  </si>
  <si>
    <t>Társadalmi Felelősségvállalási Alap</t>
  </si>
  <si>
    <t>Céltartalék</t>
  </si>
  <si>
    <t>Önkormányzat mindösszesen</t>
  </si>
  <si>
    <t xml:space="preserve">           Fehérvári Kézművesek Egyesülete</t>
  </si>
  <si>
    <t xml:space="preserve">           Székesfehérvári Művészek Társasága</t>
  </si>
  <si>
    <t>Általános tartalék</t>
  </si>
  <si>
    <t>Kiadások összesen</t>
  </si>
  <si>
    <t>I.</t>
  </si>
  <si>
    <t>Pénzügyi igazgatási feladatok</t>
  </si>
  <si>
    <t>Különféle adók, díjak, pénzügyi kiadások</t>
  </si>
  <si>
    <t>Közösségi, társadalmi és információs tevékenység</t>
  </si>
  <si>
    <t>Társadalmi kapcsolatok kiadásai</t>
  </si>
  <si>
    <t>Személyügyi kiadások</t>
  </si>
  <si>
    <t>Informatikai terület</t>
  </si>
  <si>
    <t>Szociális ellátási és gyermekvédelmi feladatok</t>
  </si>
  <si>
    <t>Fejlesztési, felhalmozási ráfordítások</t>
  </si>
  <si>
    <t>IV.</t>
  </si>
  <si>
    <t>Lakás-, vagyongazdálkodási kiadások</t>
  </si>
  <si>
    <t>V.</t>
  </si>
  <si>
    <t>Székesfehérvár Városgondnoksága Kft.</t>
  </si>
  <si>
    <t>Főépítészi kiadások</t>
  </si>
  <si>
    <t>Környezetvédelmi kiadások</t>
  </si>
  <si>
    <t>VI.</t>
  </si>
  <si>
    <t>Közoktatási feladatok</t>
  </si>
  <si>
    <t>Szociális intézményi és egészségügyi feladatok</t>
  </si>
  <si>
    <t>Közművelődési kiadások</t>
  </si>
  <si>
    <t>Diáksport és szabadidős tevékenység</t>
  </si>
  <si>
    <t>VII.</t>
  </si>
  <si>
    <t>VIII.</t>
  </si>
  <si>
    <t>Polgármesteri keret</t>
  </si>
  <si>
    <t>Képviselői Alap</t>
  </si>
  <si>
    <t xml:space="preserve">             Egyéb sportszakosztályi támogatások</t>
  </si>
  <si>
    <t xml:space="preserve">              Kegyeleti rendelet végrehajtása</t>
  </si>
  <si>
    <t xml:space="preserve">              Rászorulókat segítő karácsonyi programok és támogatások</t>
  </si>
  <si>
    <t>Nemzetközi kapcsolatok és reprezentáció</t>
  </si>
  <si>
    <t>~ ebből: Önkormányzati Informatikai Központ Nonprofit Kft.</t>
  </si>
  <si>
    <t>Rendvédelmi, közbiztonsági feladatok, védelmi felkészítés</t>
  </si>
  <si>
    <t>II.</t>
  </si>
  <si>
    <t>HATÓSÁGI TEVÉKENYSÉG</t>
  </si>
  <si>
    <t>III.</t>
  </si>
  <si>
    <t>IGAZGATÁSI TEVÉKENYSÉG</t>
  </si>
  <si>
    <t>Közbeszerzési és egyéb jogi eljárásokkal kapcsolatos kiadások</t>
  </si>
  <si>
    <t xml:space="preserve">             Köfém Sport Club Női Kézilabda Szakosztály</t>
  </si>
  <si>
    <t xml:space="preserve">           KÖFÉM Oktatási és Közművelődési Központ Nonprofit Közhasznú Kft.</t>
  </si>
  <si>
    <t>Környezetvédelmi Alap</t>
  </si>
  <si>
    <t>~ ebből: Nemzetközi kapcsolatok</t>
  </si>
  <si>
    <t xml:space="preserve">              Reprezentáció</t>
  </si>
  <si>
    <t xml:space="preserve">              Határon túli magyar kapcsolatok</t>
  </si>
  <si>
    <t xml:space="preserve">              Székesfehérvári Csemete Alapítvány támogatása - bölcsődei ellátás</t>
  </si>
  <si>
    <t xml:space="preserve">           Székesfehérvári Egyházmegye</t>
  </si>
  <si>
    <t xml:space="preserve"> - Kulturális feladatok</t>
  </si>
  <si>
    <t xml:space="preserve">  - Közművelődési megállapodások, támogatások</t>
  </si>
  <si>
    <t xml:space="preserve">           Vörösmarty Társaság</t>
  </si>
  <si>
    <t>~ ebből: Diáksportkör kiadásai</t>
  </si>
  <si>
    <t xml:space="preserve">              Sportcélok és feladatok</t>
  </si>
  <si>
    <t>~ ebből: Nyugdíjazással kapcsolatos kifizetések</t>
  </si>
  <si>
    <t xml:space="preserve">              Székesfehérvári Református Egyházközség támogatása - Olajfa Református Óvoda</t>
  </si>
  <si>
    <t>Tagdíjak, testületek</t>
  </si>
  <si>
    <t xml:space="preserve">              Alapítvány a Székesfehérvári Fogyasztóvédelemért</t>
  </si>
  <si>
    <t xml:space="preserve">           Alba Regia Vegyeskar Egyesület</t>
  </si>
  <si>
    <t xml:space="preserve">           Székesfehérvári "Bakony" Népzenei Együttes Egyesület</t>
  </si>
  <si>
    <t xml:space="preserve">           Székesfehérvári Ifjúsági Fúvószenekar Egyesület</t>
  </si>
  <si>
    <t xml:space="preserve">           "Aranybulla" Könyvtár Alapítvány</t>
  </si>
  <si>
    <t>Kötelező feladat</t>
  </si>
  <si>
    <t>Önként vállalt feladat</t>
  </si>
  <si>
    <t>-</t>
  </si>
  <si>
    <t>Sportlétesítményekkel kapcsolatos kiadások</t>
  </si>
  <si>
    <t xml:space="preserve">             Handball Future Szolgáltató Kft.- Ingatlan üzemeltetésével összefüggő költségekhez</t>
  </si>
  <si>
    <t>Megnevezés</t>
  </si>
  <si>
    <t>a.</t>
  </si>
  <si>
    <t>b.</t>
  </si>
  <si>
    <t>c.</t>
  </si>
  <si>
    <t>d.</t>
  </si>
  <si>
    <t>e.</t>
  </si>
  <si>
    <t>f.</t>
  </si>
  <si>
    <t>Összesen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</si>
  <si>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</si>
  <si>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</si>
  <si>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</si>
  <si>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</si>
  <si>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</si>
  <si>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</si>
  <si>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</si>
  <si>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</si>
  <si>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</si>
  <si>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Rovat száma</t>
  </si>
  <si>
    <t>K1</t>
  </si>
  <si>
    <t>K2</t>
  </si>
  <si>
    <t>K3</t>
  </si>
  <si>
    <t>K4</t>
  </si>
  <si>
    <t>K6</t>
  </si>
  <si>
    <t>K7</t>
  </si>
  <si>
    <t>K8</t>
  </si>
  <si>
    <t>7, Beruházások</t>
  </si>
  <si>
    <t>8, Felújítások</t>
  </si>
  <si>
    <t>(K1-K8)</t>
  </si>
  <si>
    <t>B1</t>
  </si>
  <si>
    <t>B2</t>
  </si>
  <si>
    <t>B3</t>
  </si>
  <si>
    <t>B4</t>
  </si>
  <si>
    <t>B5</t>
  </si>
  <si>
    <t>B6</t>
  </si>
  <si>
    <t>B7</t>
  </si>
  <si>
    <t>4. Előző évi felhalmozási célú költségvetési maradvány igénybevétele</t>
  </si>
  <si>
    <t>5. Maradvány igénybevétele (3+4)</t>
  </si>
  <si>
    <t>B8</t>
  </si>
  <si>
    <t>Székesfehérvár Vizi Társulat éves tagdíja</t>
  </si>
  <si>
    <t>Tervezési munkák</t>
  </si>
  <si>
    <t>Hatósági és egyéb díjak</t>
  </si>
  <si>
    <t>Belvárosi épületek rekonstrukcióját szolgáló fejlesztési alap (vissza nem térítendő támogatás)</t>
  </si>
  <si>
    <t>5, Egyéb működési célú kiadások</t>
  </si>
  <si>
    <t>3. Előző évi működési célú költségvetési  maradvány igénybevétele</t>
  </si>
  <si>
    <t>Tájékoztató Székesfehérvár Megyei Jogú Város Önkormányzat és  Költségvetési szervei</t>
  </si>
  <si>
    <t>Költségvetési szervek</t>
  </si>
  <si>
    <t>b/1</t>
  </si>
  <si>
    <t>c/1</t>
  </si>
  <si>
    <t>d/1</t>
  </si>
  <si>
    <t>1, Helyi önkormányzatok működésének általános támogatása</t>
  </si>
  <si>
    <t xml:space="preserve">4, Települési önkormányzatok kulturális feladatainak támogatása </t>
  </si>
  <si>
    <t>5, Működési célú központosított előirányzatok</t>
  </si>
  <si>
    <t>6, Önkormányzatok működési támogatásai összesen (1+2+3+4+5):</t>
  </si>
  <si>
    <t>B111</t>
  </si>
  <si>
    <t>B112</t>
  </si>
  <si>
    <t>B113</t>
  </si>
  <si>
    <t>B114</t>
  </si>
  <si>
    <t>B115</t>
  </si>
  <si>
    <t>B11</t>
  </si>
  <si>
    <t>B21</t>
  </si>
  <si>
    <t>B34</t>
  </si>
  <si>
    <t>B351</t>
  </si>
  <si>
    <t>B354</t>
  </si>
  <si>
    <t>B355</t>
  </si>
  <si>
    <t>B35</t>
  </si>
  <si>
    <t>B36</t>
  </si>
  <si>
    <t>B404</t>
  </si>
  <si>
    <t>B408</t>
  </si>
  <si>
    <t>B52</t>
  </si>
  <si>
    <t>11, Általános tartalék</t>
  </si>
  <si>
    <t>12, Céltartalék</t>
  </si>
  <si>
    <t>13, Tartalékok összesen:</t>
  </si>
  <si>
    <t>14,Költségvetési kiadások összesen:</t>
  </si>
  <si>
    <t>K9</t>
  </si>
  <si>
    <t>~ ebből: Tulajdonosi bevételek</t>
  </si>
  <si>
    <t xml:space="preserve">              Kiszámlázott általános forgalmi adó, és általános forgalmi adó visszatérítése</t>
  </si>
  <si>
    <t>B406-B407</t>
  </si>
  <si>
    <t xml:space="preserve">              Kamatbevételek</t>
  </si>
  <si>
    <t>B813</t>
  </si>
  <si>
    <t>1. Költségvetési bevételek mindösszesen</t>
  </si>
  <si>
    <t>2. Költségvetési kiadások mindösszesen</t>
  </si>
  <si>
    <t>I. Költségvetési bevételek</t>
  </si>
  <si>
    <t>III. Költségvetési kiadások</t>
  </si>
  <si>
    <t>V. Költségvetési egyenleg I-III.</t>
  </si>
  <si>
    <t>VI. Finanszírozási egyenleg II-IV.</t>
  </si>
  <si>
    <t>VII. Egyenleg V-VI.</t>
  </si>
  <si>
    <t>Székesfehérvár Megyei Jogú Város Önkormányzat és  Költségvetési szervei</t>
  </si>
  <si>
    <t>(B1-B7)</t>
  </si>
  <si>
    <t>1. Maradvány igénybevétele</t>
  </si>
  <si>
    <t>Műszaki ellenőrzések kerete</t>
  </si>
  <si>
    <t>7, Egyéb működési célú támogatások bevételei államháztartáson belülről</t>
  </si>
  <si>
    <t>B16</t>
  </si>
  <si>
    <t>8, Működési célú támogatások államháztartáson belülről összesen (6+7):</t>
  </si>
  <si>
    <t>9, Felhalmozási célú önkormányzati támogatások</t>
  </si>
  <si>
    <t>B25</t>
  </si>
  <si>
    <t>10, Egyéb felhalmozási célú támogatások bevételei államháztartáson belülről</t>
  </si>
  <si>
    <t>11, Felhalmozási célú támogatások államháztartáson belülről összesen: (9+10)</t>
  </si>
  <si>
    <t xml:space="preserve">              Közbiztonsági problémák társadalmi kezelése</t>
  </si>
  <si>
    <t>Anyakönyvi népesség-nyilvántartási és okmánykibocsátási tevékenység</t>
  </si>
  <si>
    <t xml:space="preserve">           Fehérvári Versünnep, a Költészet Napja - Fehérvár Médiacentrum Kft.</t>
  </si>
  <si>
    <t xml:space="preserve">           Székesfehérvári Turisztikai Közhasznú Nonprofit Kft. - működéshez</t>
  </si>
  <si>
    <t xml:space="preserve"> - Kulturális feladatokhoz kapcsolódó egyéb rendezvények</t>
  </si>
  <si>
    <t>Sportszakosztályi és csarnoküzemeltetési támogatások</t>
  </si>
  <si>
    <t>Egyéb sportcélú támogatások</t>
  </si>
  <si>
    <t>~ ebből: Civil nap megrendezési költségei</t>
  </si>
  <si>
    <t xml:space="preserve">              Önkormányzati kitüntetések, címek</t>
  </si>
  <si>
    <t xml:space="preserve">              Lakásbérlők és Lakástulajdonosok Érdekvédelmi Egyesülete</t>
  </si>
  <si>
    <t xml:space="preserve">              Alba Regia Nyugdíjas Egyesület</t>
  </si>
  <si>
    <t xml:space="preserve">              Széna Egyesület a Családokért</t>
  </si>
  <si>
    <t xml:space="preserve">              Szegényeket Támogató Alapítvány</t>
  </si>
  <si>
    <t xml:space="preserve">              Ifjúság A Jövő Családjaiért Kulturális Közhasznú Egyesület</t>
  </si>
  <si>
    <t xml:space="preserve">              Székesfehérvári Egyházmegye-Belvárosi templomok turisztikai célú támogatása</t>
  </si>
  <si>
    <t xml:space="preserve">              Székesfehérvári Városszépítő- és Védő Egyesület</t>
  </si>
  <si>
    <t xml:space="preserve">              Magyar Hadisírgondozó Szövetség</t>
  </si>
  <si>
    <t xml:space="preserve">              Fehérvári Tűzoltó Egyesület</t>
  </si>
  <si>
    <t>Lakáselidegenítés kiadásai</t>
  </si>
  <si>
    <t xml:space="preserve">           Primavera Vegyeskórus Egyesület</t>
  </si>
  <si>
    <t xml:space="preserve">           Székesfehérvár-Tác Önkormányzati Társulás működésével kapcsolatos költségekre</t>
  </si>
  <si>
    <t xml:space="preserve">           "Ars Musica" Zenebarátok Egyesülete</t>
  </si>
  <si>
    <t>Egyéb felhalmozási célú kiadások</t>
  </si>
  <si>
    <t>Költségvetési kiadások összesen</t>
  </si>
  <si>
    <t>K5</t>
  </si>
  <si>
    <t>Működési célú támogatások államháztartáson belülről</t>
  </si>
  <si>
    <t>Felhalmozási célú támogatások államháztartáson belülről</t>
  </si>
  <si>
    <t>Működési célú átvett pénzeszközök</t>
  </si>
  <si>
    <t>Felhalmozási célú átvett pénzeszközök</t>
  </si>
  <si>
    <t>Maradvány igénybevétele</t>
  </si>
  <si>
    <t>n.=l.+m.</t>
  </si>
  <si>
    <t xml:space="preserve">           Vox Mirabilis Közhasznú Kulturális Egyesület</t>
  </si>
  <si>
    <t>Egyéb működési célú kiadások</t>
  </si>
  <si>
    <t>Egyéb felhalmozási célú  kiadások</t>
  </si>
  <si>
    <t>9, Egyéb felhalmozási célú kiadások</t>
  </si>
  <si>
    <t>K5(k512)</t>
  </si>
  <si>
    <t>K1-8.</t>
  </si>
  <si>
    <t>K1-5.</t>
  </si>
  <si>
    <t>K6-8.</t>
  </si>
  <si>
    <t>(K1-8.)</t>
  </si>
  <si>
    <t>B1-7.</t>
  </si>
  <si>
    <t>o.=g.+k.+n.</t>
  </si>
  <si>
    <t>Közlekedési kiadások</t>
  </si>
  <si>
    <t>~ ebből: HEROSZ Egyesület</t>
  </si>
  <si>
    <t>Felhalmozási célú támogatások bevételei államháztartáson belülről</t>
  </si>
  <si>
    <t>Működési költségvetési kiadások összesen:</t>
  </si>
  <si>
    <t>Működési költségvetési bevételek összesen:</t>
  </si>
  <si>
    <t>Működési költségvetési kiadások</t>
  </si>
  <si>
    <t>Működési költségvetési bevételek</t>
  </si>
  <si>
    <t>Felhalmozási költségvetési kiadások</t>
  </si>
  <si>
    <t>Felhalmozási költségvetési bevételek</t>
  </si>
  <si>
    <t xml:space="preserve">Felhalmozási bevételek </t>
  </si>
  <si>
    <t>Működési költségvetési bevételek-kiadások egyenlege</t>
  </si>
  <si>
    <t>Felhalmozási költségvetési bevételek- kiadások egyenlege</t>
  </si>
  <si>
    <t>Felhalmozási költségvetési kiadások összesen:</t>
  </si>
  <si>
    <t>Felhalmozási költségvetési bevételek összesen:</t>
  </si>
  <si>
    <t>Működési finanszírozási kiadások</t>
  </si>
  <si>
    <t>Működési finanszírozási bevételek</t>
  </si>
  <si>
    <t>Működési finanszírozási bevételek-kiadások egyenlege</t>
  </si>
  <si>
    <t>Működési finanszírozási kiadások összesen:</t>
  </si>
  <si>
    <t>Működési finanszírozási bevételek összesen:</t>
  </si>
  <si>
    <t>Működési egyenleg</t>
  </si>
  <si>
    <t>Felhalmozási finanszírozási kiadások</t>
  </si>
  <si>
    <t>Felhalmozási finanszírozási kiadások összesen:</t>
  </si>
  <si>
    <t>Felhalmozási finanszírozási bevételek</t>
  </si>
  <si>
    <t>Felhalmozási finanszírozási bevételek összesen:</t>
  </si>
  <si>
    <t>Felhalmozási egyenleg</t>
  </si>
  <si>
    <t>Finanszírozási kiadások összesen:</t>
  </si>
  <si>
    <t>Finanszírozási bevételek összesen:</t>
  </si>
  <si>
    <t>Egyenleg</t>
  </si>
  <si>
    <t>Finanszírozási bevételek-kiadások egyenlege</t>
  </si>
  <si>
    <t>Felhalmozási finanszírozási bevételek-kiadások egyenlege</t>
  </si>
  <si>
    <t>Támogatási keretek, alapok</t>
  </si>
  <si>
    <t>2. Irányító szervi támogatás</t>
  </si>
  <si>
    <t>Irányító szervi támogatás folyósítása</t>
  </si>
  <si>
    <t xml:space="preserve">Irányító szervi támogatás </t>
  </si>
  <si>
    <t>I. Költségvetési egyenleg (1-2) az Áht. szerint</t>
  </si>
  <si>
    <t>6. Irányító szervi támogatás</t>
  </si>
  <si>
    <t>B816</t>
  </si>
  <si>
    <t>3, Települési önkormányzatok szociális, gyermekjóléti és gyermekétkeztetési feladatainak támogatása</t>
  </si>
  <si>
    <t>K915</t>
  </si>
  <si>
    <t>K5 (K501-K512)</t>
  </si>
  <si>
    <t>K5 (K513)</t>
  </si>
  <si>
    <t>2, Települési önkormányzatok egyes köznevelési feladatainak támogatása</t>
  </si>
  <si>
    <t>5, Működési célú költségvetési támogatások és kiegészítő támogatások</t>
  </si>
  <si>
    <t xml:space="preserve">VÁROSFEJLESZTÉS </t>
  </si>
  <si>
    <t xml:space="preserve">           Alba Regia Táncegyesület - közszolgáltatási szerződés</t>
  </si>
  <si>
    <t xml:space="preserve">           Alba Regia Táncegyesület - programok és működési támogatás</t>
  </si>
  <si>
    <t xml:space="preserve">           Gárdonyi Géza Művelődési Ház és Könyvtár Egyesület</t>
  </si>
  <si>
    <t xml:space="preserve">             Alba Regia SC Kft. Kosárlabda Szakosztály</t>
  </si>
  <si>
    <t xml:space="preserve">             Delfin Sportegyesület- működésre</t>
  </si>
  <si>
    <t xml:space="preserve">             Laroco Motorsport Klub Veszprém-Fehérvár rally megrendezése</t>
  </si>
  <si>
    <t xml:space="preserve">             Pro Rekreatione Közhasznú Nonprofit Kft.- Velence-tavi Vízi Sportiskola működési támogatás</t>
  </si>
  <si>
    <t xml:space="preserve">           Fehérvári Programszervező Kft.</t>
  </si>
  <si>
    <t>~ ebből: Székesfehérvári Többcélú Kistérségi Társulás feladatellátásához való működési hozzájárulás</t>
  </si>
  <si>
    <t>Feladat megnevezése</t>
  </si>
  <si>
    <t>Csapadékcsatorna üzemeltetés</t>
  </si>
  <si>
    <t>Belvárosi épületek rekonstrukcióját szolgáló fejlesztési alap (visszatérítendő támogatás)</t>
  </si>
  <si>
    <t>544/2015. (VII.23.) kgy.határozathoz kapcsolódó fejlesztési keret</t>
  </si>
  <si>
    <t>Székesfehérvár-Csala 22 kV-os vezeték kiváltása</t>
  </si>
  <si>
    <t>Autóbusz-hálózat átalakításával összefüggő feladatok</t>
  </si>
  <si>
    <t>Államigazgatási feladat</t>
  </si>
  <si>
    <t>Államigaz-gatási feladat</t>
  </si>
  <si>
    <t>Székesfehérvári Mikrovállalkozások Kamattámogatási Programja</t>
  </si>
  <si>
    <t>Álláshely</t>
  </si>
  <si>
    <t>6, Működési költségvetési kiadások összesen</t>
  </si>
  <si>
    <t>10, Felhalmozási költségvetési kiadások összesen</t>
  </si>
  <si>
    <t>6, Működési költségvetési kiadások  összesen:</t>
  </si>
  <si>
    <t>10, Felhalmozási költségvetési kiadások összesen:</t>
  </si>
  <si>
    <t>Előző évi felhalmozási célú költségvetési maradvány igénybevétele</t>
  </si>
  <si>
    <t>Előző évi működési célú költségvetési maradvány igénybevétele</t>
  </si>
  <si>
    <t>Működési költségvetés összesen</t>
  </si>
  <si>
    <t>Felhalmozási költségvetés összesen</t>
  </si>
  <si>
    <t>Önkormányzat eredeti előirányzata</t>
  </si>
  <si>
    <t xml:space="preserve">Költségvetési és finanszírozási egyenleg működési és felhalmozási cél szerinti bontásban (eFt-ban)  </t>
  </si>
  <si>
    <t>Módosított előirányzat</t>
  </si>
  <si>
    <t>Javasolt módosítás</t>
  </si>
  <si>
    <t>b/2</t>
  </si>
  <si>
    <t>b/3</t>
  </si>
  <si>
    <t>c/2</t>
  </si>
  <si>
    <t>c/3</t>
  </si>
  <si>
    <t>d/2</t>
  </si>
  <si>
    <t>d/3</t>
  </si>
  <si>
    <t>d/1=b/1+c/1</t>
  </si>
  <si>
    <t>d/2=b/2+c/2</t>
  </si>
  <si>
    <t>d/3=b/3+c/3</t>
  </si>
  <si>
    <t>b/1.</t>
  </si>
  <si>
    <t>b/2.</t>
  </si>
  <si>
    <t>b/3.</t>
  </si>
  <si>
    <t>c/1.</t>
  </si>
  <si>
    <t>c/2.</t>
  </si>
  <si>
    <t>c/3.</t>
  </si>
  <si>
    <t>d/1.=b/1.+c/1.</t>
  </si>
  <si>
    <t>d/2.=b/2.+c/2.</t>
  </si>
  <si>
    <t>d/3.=b/3.+c/3.</t>
  </si>
  <si>
    <t>Székesfehérvár Megyei Jogú Város Önkormányzat és Költségvetési szervei</t>
  </si>
  <si>
    <t>Tervezett felújítási munka</t>
  </si>
  <si>
    <t>Összesen:</t>
  </si>
  <si>
    <t>Akadálymentesítéshez, lift kialakításához kapcsolódó munkák</t>
  </si>
  <si>
    <t xml:space="preserve">Polgármesteri Hivatal </t>
  </si>
  <si>
    <t>Polgármesteri Hivatal épületeit érintő felújítások</t>
  </si>
  <si>
    <t>Tartalék keret</t>
  </si>
  <si>
    <t>Vis Maior</t>
  </si>
  <si>
    <t>Mindösszesen:</t>
  </si>
  <si>
    <t>Kríziskezelő Központ</t>
  </si>
  <si>
    <t xml:space="preserve">           Önként vállalt feladat összesen</t>
  </si>
  <si>
    <t>Ebből: Kötelező feladat összesen</t>
  </si>
  <si>
    <t>összesen:</t>
  </si>
  <si>
    <t xml:space="preserve">            Önként vállalt feladat e.i.</t>
  </si>
  <si>
    <t>~ ebből:Kötelező feladate.i.</t>
  </si>
  <si>
    <t>Polgármesteri Hivatal</t>
  </si>
  <si>
    <t>Intézmények összesen:</t>
  </si>
  <si>
    <t>Kulturális ellátás összesen:</t>
  </si>
  <si>
    <t>Ebből: Önként vállalt feladat összesen</t>
  </si>
  <si>
    <t>~ ebből:Önként vállalt feladat e.i.</t>
  </si>
  <si>
    <t>Vörösmarty Színház</t>
  </si>
  <si>
    <t>Alba Regia Szimfonikus Zenekar</t>
  </si>
  <si>
    <t>Szent István Király Múzeum</t>
  </si>
  <si>
    <t>Vörösmarty Mihály Könyvtár</t>
  </si>
  <si>
    <t>Városi Levéltár és Kutatóintézet</t>
  </si>
  <si>
    <t xml:space="preserve">Székesfehérvári Intézményi Központ </t>
  </si>
  <si>
    <t>Szociális ellátás összesen</t>
  </si>
  <si>
    <t>Humán Szolg. összesen</t>
  </si>
  <si>
    <t>Óvodák összesen</t>
  </si>
  <si>
    <t>Ligetsori Óvoda</t>
  </si>
  <si>
    <t>Szivárvány Óvoda</t>
  </si>
  <si>
    <t>Szárazréti Óvoda</t>
  </si>
  <si>
    <t>Napsugár Óvoda</t>
  </si>
  <si>
    <t>Maroshegyi Óvoda</t>
  </si>
  <si>
    <t>Hosszúsétatéri Óvoda</t>
  </si>
  <si>
    <t>Felsővárosi Óvoda</t>
  </si>
  <si>
    <t>Árpád Úti Óvoda</t>
  </si>
  <si>
    <t>Bölcsőde összesen</t>
  </si>
  <si>
    <t>Nyitnikék Bölcsőde</t>
  </si>
  <si>
    <t>Napraforgó Bölcsőde</t>
  </si>
  <si>
    <t>Százszorszép Bölcsőde</t>
  </si>
  <si>
    <t>Eü. Ellátás összesen</t>
  </si>
  <si>
    <t>Frim Jakab Képességfejlesztő Szakosított Otthon</t>
  </si>
  <si>
    <t>Humán Szolgáltató Intézet</t>
  </si>
  <si>
    <t>l.=j.+k.</t>
  </si>
  <si>
    <t>k.=d.+g.+i.</t>
  </si>
  <si>
    <t>j.=c.+e +f.+h.</t>
  </si>
  <si>
    <t>g.</t>
  </si>
  <si>
    <t>(B1-8.)</t>
  </si>
  <si>
    <t>(B1-7.)</t>
  </si>
  <si>
    <t>(B2+B5+B7)</t>
  </si>
  <si>
    <t>(B1+B3+B4+B6)</t>
  </si>
  <si>
    <t>Önkormányzati támogatás</t>
  </si>
  <si>
    <t>Bevételek  összesen</t>
  </si>
  <si>
    <t>Finanszírozási bevételek</t>
  </si>
  <si>
    <t>Költségvetési  bevételek összesen</t>
  </si>
  <si>
    <t xml:space="preserve"> Közhatalmi bevételek</t>
  </si>
  <si>
    <t>KÖLTSÉGVETÉSI SZERVEK</t>
  </si>
  <si>
    <t>cím</t>
  </si>
  <si>
    <t>o.=m.+n.</t>
  </si>
  <si>
    <t>n.</t>
  </si>
  <si>
    <t>m.=h.+l.</t>
  </si>
  <si>
    <t>l.=i.+j.+k.</t>
  </si>
  <si>
    <t>k.</t>
  </si>
  <si>
    <t>h.=c.+d.+e.+f.+g.</t>
  </si>
  <si>
    <t>(K1-9.)</t>
  </si>
  <si>
    <t>(K6-8.)</t>
  </si>
  <si>
    <t>(K1-5.)</t>
  </si>
  <si>
    <t>Kiadások  összesen</t>
  </si>
  <si>
    <t>Finanszírozási kiadások</t>
  </si>
  <si>
    <t>Egyéb működési célú  kiadások</t>
  </si>
  <si>
    <t>Ellátottak pénzbeli juttatásai</t>
  </si>
  <si>
    <t>Munkaadókat terhelő járulékok és szocilis hozzájárulási adó</t>
  </si>
  <si>
    <t xml:space="preserve"> INTÉZMÉNYEK</t>
  </si>
  <si>
    <t>Cím</t>
  </si>
  <si>
    <t>Működési költségvetési bevételek összesen</t>
  </si>
  <si>
    <t>Felhalmozási költségvetési bevételek összesen</t>
  </si>
  <si>
    <t>Rákóczi Utcai Óvoda</t>
  </si>
  <si>
    <t>Tolnai Utcai Óvoda</t>
  </si>
  <si>
    <t xml:space="preserve">           Államigazgatási feladat
           összesen</t>
  </si>
  <si>
    <t xml:space="preserve">            Államigazgatási feladat e.i.</t>
  </si>
  <si>
    <t>Működési költségvetési kiadások összesen</t>
  </si>
  <si>
    <t>Felhalmozási költségvetési kiadások  összesen</t>
  </si>
  <si>
    <t xml:space="preserve">I. </t>
  </si>
  <si>
    <t>Igazgatási tevékenység</t>
  </si>
  <si>
    <t>~ Bevétel miatti növekedés</t>
  </si>
  <si>
    <t>4, Ellátottak pénzbeli juttatásai</t>
  </si>
  <si>
    <t>K914</t>
  </si>
  <si>
    <t>II. Finanszírozási egyenleg (8-9)</t>
  </si>
  <si>
    <t>Egyenleg (I-II.)</t>
  </si>
  <si>
    <t>Szolidaritási hozzájárulás</t>
  </si>
  <si>
    <t>~ ebből: Városrészi közbiztonsági feladatok támogatása</t>
  </si>
  <si>
    <t xml:space="preserve">              Térfigyelő kamerarendszer bővítése (Közbiztonság növelését szolgáló fejlesztések megvalósítása)</t>
  </si>
  <si>
    <t>Víziközmű-fejlesztési Alap</t>
  </si>
  <si>
    <t>~ ebből: Helyi közösségi közlekedés finanszírozási kerete</t>
  </si>
  <si>
    <t xml:space="preserve">              Önálló Főiskolai Közalapítvány támogatása</t>
  </si>
  <si>
    <t xml:space="preserve">              Székesfehérvári Tankerületi Központ- oktatásszakmai munkájának támogatása</t>
  </si>
  <si>
    <t xml:space="preserve">              Székesfehérvári Szakképzési Centrum - oktatásszakmai munkájának támogatása</t>
  </si>
  <si>
    <t xml:space="preserve">              Mozgássérültek Fejér Megyei Egyesülete által fenntartott Viktória Rehabilitációs Központ egészségügyi és szociális ellátásának támogatása</t>
  </si>
  <si>
    <t xml:space="preserve">              Alba Civitan Rehabilitációs Nonprofit Kft. támogatása</t>
  </si>
  <si>
    <t xml:space="preserve">              Székesfehérvár Fejlődéséért Alapítvány támogatása</t>
  </si>
  <si>
    <t xml:space="preserve">              Kégl György Program - Fejér Megyei Szent György Egyetemi Oktató Kórház működési és fejlesztési támogatása</t>
  </si>
  <si>
    <t xml:space="preserve">              Kégl György Program - Egészségügyi feladatok</t>
  </si>
  <si>
    <t xml:space="preserve">           Bory-Vár Alapítvány támogatása</t>
  </si>
  <si>
    <t xml:space="preserve">           Kákics Kulturális Egyesület</t>
  </si>
  <si>
    <t>~ ebből: Fehérvár FC Kft.</t>
  </si>
  <si>
    <t xml:space="preserve">             Alba Volán Sportclub Öttusa Szakosztály</t>
  </si>
  <si>
    <t xml:space="preserve">             Fehérvár Enthroners Sportegyesület</t>
  </si>
  <si>
    <t xml:space="preserve">             Fehérvár Frizbi Sportegyesület</t>
  </si>
  <si>
    <t>TÁMOGATÁSI ALAPOK (KERETEK, ALAPOK)</t>
  </si>
  <si>
    <t>Közösségi terek tervezése, létrehozása</t>
  </si>
  <si>
    <t>Székesfehérvár szennyvíztisztító telep biogáz vonalának fejlesztése</t>
  </si>
  <si>
    <t>Palotavárosi tavak sport és rekreációs célú hasznosítása</t>
  </si>
  <si>
    <t>Budai u. 56/a ingatlan felújítása (Csemete Gyermekcentrum Bölcsőde)</t>
  </si>
  <si>
    <t>Integrált Területi Program (ITP) felújításai</t>
  </si>
  <si>
    <t>Integrált Területi Program (ITP) felújításai összesen:</t>
  </si>
  <si>
    <t>Államháztartáson belüli megelőlegezések visszafizetése</t>
  </si>
  <si>
    <t xml:space="preserve">IV. </t>
  </si>
  <si>
    <t>Vagyongazdálkodás</t>
  </si>
  <si>
    <t xml:space="preserve">II. </t>
  </si>
  <si>
    <t>Hatósági tevékenység</t>
  </si>
  <si>
    <t>Mindösszesen</t>
  </si>
  <si>
    <t>Parkolóház kialakítására (282/2017.(IV.7.) kgy.hat.alapján)</t>
  </si>
  <si>
    <t>Kötlező feladat</t>
  </si>
  <si>
    <t>Önként vállat feladat</t>
  </si>
  <si>
    <t>Önként  vállalt feladat</t>
  </si>
  <si>
    <t xml:space="preserve"> </t>
  </si>
  <si>
    <t>Bevételek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</si>
  <si>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</si>
  <si>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</si>
  <si>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</si>
  <si>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</si>
  <si>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</si>
  <si>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</si>
  <si>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</si>
  <si>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</si>
  <si>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</si>
  <si>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</si>
  <si>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</si>
  <si>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</si>
  <si>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összesen</t>
  </si>
  <si>
    <t>Működési célú pénzeszköz átvétel</t>
  </si>
  <si>
    <t>Felhalmozási célú pénzeszköz átvétel</t>
  </si>
  <si>
    <t>Bevétel összesen*</t>
  </si>
  <si>
    <t>Kiadások</t>
  </si>
  <si>
    <t>Költségvetési szervek  kiadásai</t>
  </si>
  <si>
    <t>Igazgatási és egyéb központosított kiadások</t>
  </si>
  <si>
    <t>Fejlesztési kiadások, Viziközmű-fejlesztési Alap</t>
  </si>
  <si>
    <t>Tartalék</t>
  </si>
  <si>
    <t>Államháztartáson belüli megelőlegezések</t>
  </si>
  <si>
    <t>Kiadás összesen*</t>
  </si>
  <si>
    <t>* Megjegyzés: Tartalmazza a finanszírozási célú bevételeket és kiadásokat, kivéve az irányító szervi támogatást a duplikáció elkerülése okán.</t>
  </si>
  <si>
    <t>12, Építményadó</t>
  </si>
  <si>
    <t>13, Vagyoni típusú adók összesen: (12)</t>
  </si>
  <si>
    <t>14, Iparűzési adó</t>
  </si>
  <si>
    <t>15, Értékesítési és forgalmi adók (14)</t>
  </si>
  <si>
    <t>16, Gépjárműadó</t>
  </si>
  <si>
    <t>17, Idegenforgalmi adó</t>
  </si>
  <si>
    <t>21, Adópótlék, adóbírság</t>
  </si>
  <si>
    <t>22, Szabálysértési pénz és helyszíni bírság és közigazgatási bírság</t>
  </si>
  <si>
    <t>23, Egyéb bírság</t>
  </si>
  <si>
    <t>26, Működési bevételek</t>
  </si>
  <si>
    <t>27, Ingatlanok értékesítése</t>
  </si>
  <si>
    <t>28, Felhalmozási bevételek összesen (27):</t>
  </si>
  <si>
    <t>29, Működési célú átvett pénzeszközök</t>
  </si>
  <si>
    <t>30, Felhalmozási célú átvett pénzeszközök</t>
  </si>
  <si>
    <t>31, Működési költségvetési bevételek összesen (8+25+26+29):</t>
  </si>
  <si>
    <t>32, Felhalmozási költségvetési bevételek összesen (11+28+30):</t>
  </si>
  <si>
    <t>33, Költségvetési bevételek összesen (31+32):</t>
  </si>
  <si>
    <t>Felújítási kiadások</t>
  </si>
  <si>
    <t>Az Önkormányzat költségvetési kiadásai feladatonkénti bontásban
(eFt-ban)</t>
  </si>
  <si>
    <t>x</t>
  </si>
  <si>
    <t xml:space="preserve">             Vadmadárkórház Természetvédelmi Alapítvány a Vadon Élő Madarak Megmentéséért</t>
  </si>
  <si>
    <t xml:space="preserve">              Fejér Megyei Rendőr-Főkapitányság - Székesfehérvári Rendőrkapitányság működésére</t>
  </si>
  <si>
    <t>Közműellátási feladatok</t>
  </si>
  <si>
    <t xml:space="preserve">              "Aranyeső" Alapítvány az egészséges emberért támogatása - Hétpettyes Óvoda</t>
  </si>
  <si>
    <t xml:space="preserve">              "Lánczos Kornél-Szekfű Gyula" Ösztöndíj Közalapítvány támogatása</t>
  </si>
  <si>
    <t xml:space="preserve">              Tóth István és Tóth Terézia Ösztöndíj Közalapítvány támogatása</t>
  </si>
  <si>
    <t xml:space="preserve">              Színes Diploma átadó ünnepség megrendezésére - Pedagógusok Szakszervezete Fejér Megyei Szervezete</t>
  </si>
  <si>
    <t xml:space="preserve">              "Alba Regia" tanulmányi ösztöndíj</t>
  </si>
  <si>
    <t xml:space="preserve">              Fehérvári Pályakezdő Orvosok Egyesülete támogatása</t>
  </si>
  <si>
    <t xml:space="preserve">              Segítő Fehérvár program</t>
  </si>
  <si>
    <t xml:space="preserve">           Városi rendezvények</t>
  </si>
  <si>
    <t xml:space="preserve">           "Szín-Tér"/Színjátszó-Versmondó/ Egyesület </t>
  </si>
  <si>
    <t xml:space="preserve">         Könyvkiadás</t>
  </si>
  <si>
    <t xml:space="preserve">         Kulturális célú kiadások év közben jelentkező többletfeladatok</t>
  </si>
  <si>
    <t xml:space="preserve">         Jazz Fesztivál megrendezése- M.A.P.! Workshop Kft.</t>
  </si>
  <si>
    <t xml:space="preserve">         Székelyföldi Verstábor - Fortis Hungarorum Kulturális Egyesület</t>
  </si>
  <si>
    <t xml:space="preserve">         Magyar Zsidó Kulturális Egyesület</t>
  </si>
  <si>
    <t xml:space="preserve">         Bálok támogatása </t>
  </si>
  <si>
    <t xml:space="preserve">             Fehérvár AV 19 Sport Club Jégkorong Szakosztály</t>
  </si>
  <si>
    <t>~ ebből: Fehérvár AV 19 Sport Club  - Ingatlan üzemeltetésével, fejlesztésével összefüggő költségekhez</t>
  </si>
  <si>
    <t xml:space="preserve">             Track&amp;Race - Sportügynökség Korlátolt Felelősségű Társaság - "Gyulai István Memorial-Atlétikai Magyar Nagydíj" </t>
  </si>
  <si>
    <t xml:space="preserve">             Alba Regia Atlétikai Klub - Országos atlétikai versenyek megrendezésére</t>
  </si>
  <si>
    <t xml:space="preserve">             Felsővárosi Fésüs Röplabda Akadémia Fehérvár</t>
  </si>
  <si>
    <t xml:space="preserve">            "Fehérvár Kiskút Teniszklub" Sportegyesület </t>
  </si>
  <si>
    <t>Alba Geotrade Zrt. EKN. Vezetés, bemérések</t>
  </si>
  <si>
    <t>Tervfelülvizsgálatok, közműegyeztetések</t>
  </si>
  <si>
    <t>Székesfehérvári Stadionrekonstrukciós program megvalósítására, figyelemmel a 1285/2015.(IV.30.) Korm. Határozatra, valamint a megvalósítás ütemezésére</t>
  </si>
  <si>
    <t>Városmester üzemeltetés, fejlesztés</t>
  </si>
  <si>
    <t>Bory-vár épületdiagnosztikai és tartószerkezeti vizsgálat</t>
  </si>
  <si>
    <t>Gárdonyi Géza Művelődési Ház és Könyvtár felújítására irányuló beruházás előkészítése (1841/2017.(XI.10.) Kormány határozat alapján)</t>
  </si>
  <si>
    <t>Fekete Sas Szálló rekonstrukciójához és fejlesztéséhez szükséges előkészítő és tervezési feladatok</t>
  </si>
  <si>
    <t>Velencei Gyermek- és Ifjúsági Tábor fejlesztése</t>
  </si>
  <si>
    <t>A belváros élhetőségének javítását szolgáló Zichy-liget projekt tervezése</t>
  </si>
  <si>
    <t>ITP keretében megvalósuló fejlesztések</t>
  </si>
  <si>
    <t>Óvodai udvarok megújítása</t>
  </si>
  <si>
    <t>Innovatív Szociális Szolgáltató Központ kialakítása Székesfehérváron</t>
  </si>
  <si>
    <t>Épület felújítása és eszközbeszerzés a TOP 6.6.1-16 kódszámú pályázati felhívás keretében</t>
  </si>
  <si>
    <t>Felnőtt háziorvosi rendelő felújítása</t>
  </si>
  <si>
    <t>Gyermekorvosi rendelő és védőnői tanácsadó átalakítása, bővítése, felújítása a TOP 6.2.1-16 kódszámú pályázati felhívás keretében</t>
  </si>
  <si>
    <t>Záró Pénzkészlet (Nyitó pénzkészlet + Bevétel-Kiadás különbözete)</t>
  </si>
  <si>
    <t>32.</t>
  </si>
  <si>
    <t>33.</t>
  </si>
  <si>
    <t>Székesfehérvári Balett Színház</t>
  </si>
  <si>
    <t>~ Főösszeget nem érintő saját hatáskörű átcsoportosítás</t>
  </si>
  <si>
    <t>Nemzeti Szabadidős-Egészség Sportpark Program önkormányzati saját erő (194/2018.(III.19.) kgy.hat.alapján)</t>
  </si>
  <si>
    <t xml:space="preserve">         Államalapító Szent István Érdemrend és Díj Alapítvány</t>
  </si>
  <si>
    <t xml:space="preserve">             Rászoruló gyermekek intézményen kívüli szünidei étkeztetésének támogatása</t>
  </si>
  <si>
    <t>Siklósi Gyula Várostörténeti Kutatóközpont</t>
  </si>
  <si>
    <t xml:space="preserve">              Kábítószerügyi Egyeztető Fórum</t>
  </si>
  <si>
    <t xml:space="preserve">              Vadásztölténygyári Vasas Ifjúsági és Sport Egyesület- Futballfesztivál megrendezésének támogatása</t>
  </si>
  <si>
    <t xml:space="preserve">              Maroshegyi Ifjúsági Egyesület</t>
  </si>
  <si>
    <t xml:space="preserve">              Egészség és Kultúra Egyesület - Fehérvár Feszt megrendezésének támogatása </t>
  </si>
  <si>
    <t xml:space="preserve">              Egészség és Kultúra Egyesület - Skate Park és szurkolói klub működtetése</t>
  </si>
  <si>
    <t xml:space="preserve">              Székesfehérvári Városszépítő- és Védő Egyesület - Székesfehérvár Hosszútemető műemlék jellegű sírjainak karbantartására, felújítására</t>
  </si>
  <si>
    <t xml:space="preserve">              Ifjúsági feladatok és a Székesfehérvári Diáktanács működése</t>
  </si>
  <si>
    <t xml:space="preserve">              Székesfehérvári Szerb Nemzetiségi Önkormányzat- Szerb templom karbantartásához, felújításához, nyitvatartásához</t>
  </si>
  <si>
    <t xml:space="preserve">              Székesfehérvári Születési Támogatási Program - települési támogatás</t>
  </si>
  <si>
    <t xml:space="preserve">              Székesfehérvári Szociális Alapítvány</t>
  </si>
  <si>
    <t xml:space="preserve">              Székesfehérvári Érzékenyítő Program</t>
  </si>
  <si>
    <t xml:space="preserve">              Gaja Környezetvédő Egyesület működési támogatása</t>
  </si>
  <si>
    <t xml:space="preserve">              Önkormányzati közalapítványok támogatása (379/2016. (V.27.) kgy. hat. alapján)</t>
  </si>
  <si>
    <t xml:space="preserve">              Katonai Emlékpark Közhasznú Nonprofit Kft.- A Katonai Emlékpark kiemelt- elsősorban pedagógiai-programjainak támogatása</t>
  </si>
  <si>
    <t xml:space="preserve">              1956-os Magyar Szabadságharcosok Világszövetsége Egyesület</t>
  </si>
  <si>
    <t xml:space="preserve">              Honvédség és Társadalom Baráti Kör Székesfehérvári Szervezete</t>
  </si>
  <si>
    <t xml:space="preserve">              Dévai Szent Ferenc Alapítvány- Szent Imre Iskolaház működéséhez támogatás</t>
  </si>
  <si>
    <t xml:space="preserve">              Fehérvári Civil Központ üzemeltetése</t>
  </si>
  <si>
    <t xml:space="preserve">              Civil Centrum Közhasznú Alapítvány - Esélykör működtetése</t>
  </si>
  <si>
    <t xml:space="preserve">              Magyar Vöröskereszt Fejér Megyei Szervezete</t>
  </si>
  <si>
    <t xml:space="preserve">              Tarsoly Ifjúságért Egyesület</t>
  </si>
  <si>
    <t xml:space="preserve">              Nagycsaládosok Országos Egyesülete - székesfehérvári csoport támogatása</t>
  </si>
  <si>
    <t xml:space="preserve">              Vasútmodell kiállítás üzemeltetésének támogatása</t>
  </si>
  <si>
    <t xml:space="preserve">              Prosperis Alba Kutatóközpont Nonprofit Kft.</t>
  </si>
  <si>
    <t xml:space="preserve">              Székesfehérvári Zsidó Hitközség</t>
  </si>
  <si>
    <t xml:space="preserve">              Állatotthonok működési támogatása - ASKA Alapítvány</t>
  </si>
  <si>
    <t xml:space="preserve">              Állatotthonok működési támogatása - FEMA Állatmentő és Állatvédelmi Egyesület</t>
  </si>
  <si>
    <t xml:space="preserve">              Smart Grant Alapítvány</t>
  </si>
  <si>
    <t xml:space="preserve">              Informatikai fejlesztés</t>
  </si>
  <si>
    <t>~ ebből: Ingatlangazdálkodási Alap</t>
  </si>
  <si>
    <t xml:space="preserve">             Helyi közösségi közlekedés viteldíjához kapcsolódó intézkedések kerete</t>
  </si>
  <si>
    <t xml:space="preserve">              Székesfehérvári felsőoktatási intézmények támogatása</t>
  </si>
  <si>
    <t xml:space="preserve">              Digitális kompetencia fejlesztése - okos osztályterem pilot program keretében (Székesfehérvár Fejlődéséért Alapítvány)</t>
  </si>
  <si>
    <t xml:space="preserve">              Digitális kompetencia fejlesztése - digitális felnőttképzési pilot program keretében (Székesfehérvár Fejlődéséért Alapítvány)</t>
  </si>
  <si>
    <t xml:space="preserve">           Babamúzeum jogdíja</t>
  </si>
  <si>
    <t xml:space="preserve">           Réber Hagyaték</t>
  </si>
  <si>
    <t xml:space="preserve">           Vasutas Országos Közművelődési és Szabadidő Egyesület Vörösmarty Mihály Művelődési Ház és Könyvtár</t>
  </si>
  <si>
    <t xml:space="preserve">          Quartettissimo Fesztivál- Károlyi József Alapítvány</t>
  </si>
  <si>
    <t xml:space="preserve">          Fehérvári Zenei Napok- FEZEN Művészeti és Jószolgálati Alapítvány</t>
  </si>
  <si>
    <t xml:space="preserve">         Nemzeti és állami ünnepeink</t>
  </si>
  <si>
    <t xml:space="preserve">         Városrészi rendezvények</t>
  </si>
  <si>
    <t xml:space="preserve">         Emléktábla elhelyezéséhez támogatás</t>
  </si>
  <si>
    <t xml:space="preserve">         Trianon Centenárium</t>
  </si>
  <si>
    <t>~ ebből: Magyar Labdarúgó Szövetség Fejér Megyei Igazgatósága - "Alba Liga" kispályás labdarúgó bajnokság támogatása</t>
  </si>
  <si>
    <t xml:space="preserve">             MÁV Előre Sport Club </t>
  </si>
  <si>
    <t xml:space="preserve">             Év közben jelentkező sportcélú kiadások</t>
  </si>
  <si>
    <t xml:space="preserve">             Free Spirit Tánc-Sport Egyesület</t>
  </si>
  <si>
    <t xml:space="preserve">             Fehérvári Vizilabda Sportegyesület- uszoda fejlesztéssel kapcsolatos tervek elkészítéséhez támogatás (230/2018.(IV.20.) kgy.hat.alapján)</t>
  </si>
  <si>
    <t>Kulturális Alap</t>
  </si>
  <si>
    <t>Egészségügyi Alap</t>
  </si>
  <si>
    <t>Sport Alap</t>
  </si>
  <si>
    <t>Ifjúsági Alap</t>
  </si>
  <si>
    <t>Nemzetiségi Alap</t>
  </si>
  <si>
    <t xml:space="preserve">             Jubileumi jutalom, jogszabályból fakadó személyi jellegű többlet kifizetések kerete</t>
  </si>
  <si>
    <t xml:space="preserve">             Intézményi kafetéria juttatás fedezetére</t>
  </si>
  <si>
    <t xml:space="preserve">             Költségvetési szervek működési költségeinek  tartalék kerete, valamint az új illetve átszervezéssel érintett intézmények megalakulásával és átszervezésével kapcsolatos eseti költségeinek fedezetére</t>
  </si>
  <si>
    <t xml:space="preserve">             Óvodai és iskolai szociális segítő tevékenység támogatása</t>
  </si>
  <si>
    <t xml:space="preserve">      </t>
  </si>
  <si>
    <t xml:space="preserve">             Járásszékhely múzeumok szakmai támogatása</t>
  </si>
  <si>
    <t xml:space="preserve">             Katonai Főváros Program kerete</t>
  </si>
  <si>
    <t>Javasolt módosítás     (2)</t>
  </si>
  <si>
    <t>Költségvetési szerveknek lebontás
(6)</t>
  </si>
  <si>
    <t>Csóri karsztakna védelembe helyezése előkészítő feladatok</t>
  </si>
  <si>
    <t>Székesfehérvár, Juharfa utca 7899/68 helyrajzi számú ingatlanon álló épület és kerítés felújítási munkái</t>
  </si>
  <si>
    <t>Önerős fejlesztések összesen</t>
  </si>
  <si>
    <t>MVP, egyedi projektek</t>
  </si>
  <si>
    <t>MVP, egyedi projektek összesen:</t>
  </si>
  <si>
    <t>Támogatásból megvalósuló fejlesztések összesen</t>
  </si>
  <si>
    <t>Alagsori szint talajvíz elleni szigeteléséhez és felújításához kapcsolódó tervezési feladat</t>
  </si>
  <si>
    <t xml:space="preserve">Napraforgó Bölcsőde </t>
  </si>
  <si>
    <t>Udvari babakocsi és kerékpár tároló kialakítása,
megsüllyedt és balesteveszélyes térkő burkolat helyreállítása</t>
  </si>
  <si>
    <t>Tetőhéjazat csere</t>
  </si>
  <si>
    <t>Felsővárosi Óvoda Ybl Miklós Tagóvoda</t>
  </si>
  <si>
    <t>Udvari szervízjárda és emeleti felnőtt vizesblokk felújítása</t>
  </si>
  <si>
    <t>Hosszúsétatéri Óvoda Tóvárosi Tagóvoda</t>
  </si>
  <si>
    <t>3db vizesblokk felújítása, ereszcsatorna és bölcsőde álmennyezet lapok cseréje/pótlása</t>
  </si>
  <si>
    <t>Fűtési rendszer felújítása</t>
  </si>
  <si>
    <t>Tolnai utcai Óvoda</t>
  </si>
  <si>
    <t>Vörösmarty Mihály Általános Iskola</t>
  </si>
  <si>
    <t>Tornacsarnok nyílászáróinak és sportpadlójának cseréje</t>
  </si>
  <si>
    <t>Oromfal felújítás</t>
  </si>
  <si>
    <t>Konyha épületrész belső felújítási munkái tervdokumentáció alapján</t>
  </si>
  <si>
    <t>Háziorvosi és fogorvosi rendelő felújítása, fejlesztése</t>
  </si>
  <si>
    <t>Informatikai kiadások</t>
  </si>
  <si>
    <t>kötelező</t>
  </si>
  <si>
    <t>önként</t>
  </si>
  <si>
    <t xml:space="preserve">         Alba Regia Teátrum Alapítvány a Vörösmarty Színházért</t>
  </si>
  <si>
    <t xml:space="preserve">     </t>
  </si>
  <si>
    <t>köt</t>
  </si>
  <si>
    <t xml:space="preserve">Pályázat előkészítésére és önerő keret </t>
  </si>
  <si>
    <t>Belvárosi Brunszvik T. Óvoda</t>
  </si>
  <si>
    <t>Gyöngyvirág Óvoda-Székesfehérvár-Kindergarten Maiglöckchen</t>
  </si>
  <si>
    <t>Rákóczi Úti Óvoda</t>
  </si>
  <si>
    <t>Tolnai Úti Óvoda</t>
  </si>
  <si>
    <t>~ ebből: Önként vállalt feladat e.i.</t>
  </si>
  <si>
    <t xml:space="preserve">           Összesen</t>
  </si>
  <si>
    <t xml:space="preserve">           Kötelező feladat összesen</t>
  </si>
  <si>
    <t xml:space="preserve">           Államigazgatási feladat összesen</t>
  </si>
  <si>
    <t xml:space="preserve">            Kötelező feladat összesen</t>
  </si>
  <si>
    <t>összes módosítás:</t>
  </si>
  <si>
    <t>Ell.</t>
  </si>
  <si>
    <t>~ Főösszeget nem érintő átcsoportosítás</t>
  </si>
  <si>
    <t xml:space="preserve">             Szociális ágazati összevont pótlék</t>
  </si>
  <si>
    <t xml:space="preserve">             Szociális ágazatban egészségügyi végzettséghez kötött munkakörben foglalkoztatottak egészségügyi kiegészítő pótléka</t>
  </si>
  <si>
    <t xml:space="preserve">            Kulturális illetménypótlék</t>
  </si>
  <si>
    <t xml:space="preserve">            Költségvetési szerveknél foglalkoztatottak bérkompenzációja</t>
  </si>
  <si>
    <t xml:space="preserve">              Helyi közösségfejlesztés Székesfehérváron</t>
  </si>
  <si>
    <t xml:space="preserve">              Állatotthonok működési támogatása - HEROSZ Fehérvári Állatotthona</t>
  </si>
  <si>
    <t xml:space="preserve">              Magyarországi Zsidó Hitközségek Szövetsége</t>
  </si>
  <si>
    <t xml:space="preserve">              Magyar Máltai Szeretetszolgálat Egyesület</t>
  </si>
  <si>
    <t xml:space="preserve">              Ausztráliai tűzvész által okozott károk enyhítését célzó adományozásra</t>
  </si>
  <si>
    <t xml:space="preserve">              Év közben jelentkező, társadalmi kapcsolatokkal összefüggő kiadások</t>
  </si>
  <si>
    <t xml:space="preserve">              V. Adventi Jótékonysági Futás és a IX. Székesfehérvári Jótékonysági Estély (674/2019.(XI.7.) kgy.hat.alapján)</t>
  </si>
  <si>
    <t xml:space="preserve">              Magyar Szórvány Napja</t>
  </si>
  <si>
    <t>~ ebből:Települési támogatás</t>
  </si>
  <si>
    <t>Felújítási kiadások (költségvetési szerveket érintő felújítási, fejlesztési kiadások)</t>
  </si>
  <si>
    <t xml:space="preserve">             MOL Aréna Sóstó üzemeltetési feladatainak ellátására (Székesfehérvári Városfejlesztési Kft)</t>
  </si>
  <si>
    <t xml:space="preserve">              Alba Volán Zrt. 504/2012.(VIII.17.) kgy.hat. .I. 1. b. pontja alapján történő finanszírozására (jelenleg: Volánbusz Zrt.)</t>
  </si>
  <si>
    <t xml:space="preserve">              Ciszterci Szent István Gimnázium-2020. évi jubileumi programok</t>
  </si>
  <si>
    <t xml:space="preserve">              HPV 9 komponensű oltóanyag beszerzése a székesfehérvári lakóhellyel rendelkező 2020. évben 12. életévüket betöltő fiú gyermekek részére Humán Szolgáltató Intézeten keresztül</t>
  </si>
  <si>
    <t xml:space="preserve">              Házi gyermekorvosok és iskolaorvosok szolgálatának működtetése</t>
  </si>
  <si>
    <t xml:space="preserve">              Autizmussal élő fiatal felnőttek nappali ellátásának megszervezése</t>
  </si>
  <si>
    <t xml:space="preserve">              Kégl György Program: oltástámogatási program</t>
  </si>
  <si>
    <t xml:space="preserve">              Egészségügyi célú kiadások, év közben jelentkező többletfeladatok</t>
  </si>
  <si>
    <t xml:space="preserve">         Országos Diákparlament</t>
  </si>
  <si>
    <t xml:space="preserve">         Burján Zsigmond- "Szégyen" munkacímű filmalkotás felhasználási jogának megvásárlása</t>
  </si>
  <si>
    <t xml:space="preserve">         Kossuth udvari órajáték bővítése adventi időszakban</t>
  </si>
  <si>
    <t xml:space="preserve">         Kültéri természetfotó kiállítás Városház téren</t>
  </si>
  <si>
    <t xml:space="preserve">         XVI. Alba Regia Nemzetközi Gyermekkórus Fesztivál</t>
  </si>
  <si>
    <t xml:space="preserve">         Székesfehérvári Egyházmegye- Szent II. János Pál pápa szobor állítása</t>
  </si>
  <si>
    <t xml:space="preserve">         Székely Vásár</t>
  </si>
  <si>
    <t xml:space="preserve">         "Királyi utakon Horvátországban" című film elkészítéséhez támogatás</t>
  </si>
  <si>
    <t xml:space="preserve">            Alba Volán Sporclub -  Öttusa Európa Bajnokság</t>
  </si>
  <si>
    <t xml:space="preserve">             Fehérvár Sakk Sportegyesület</t>
  </si>
  <si>
    <t xml:space="preserve">            Bridge Club Székesfehérvár</t>
  </si>
  <si>
    <t xml:space="preserve">             Giro d'Italia székesfehérvári szakaszához kapcsolódó költségek</t>
  </si>
  <si>
    <t xml:space="preserve">             Alba Triatlon és Szabadidő Sprtegyesület - triatlon és futóverseny szervezése</t>
  </si>
  <si>
    <t>Fejlesztési kiadások 2020. évi feladatonkénti megbontása
(eFt-ban)</t>
  </si>
  <si>
    <t>Saára Gyula program - Útépítések, felújítások</t>
  </si>
  <si>
    <t>Saára Gyula progam - Útfelújítás viziközmű fejlesztési alaphoz kapcsolódó feladatai</t>
  </si>
  <si>
    <t>Saára Gyula program - Közlekedésbiztonság</t>
  </si>
  <si>
    <t>Saára Gyula program - Csapadékvíz elvezetése, árvíz-belvíz védekezés</t>
  </si>
  <si>
    <t>Saára Gyula és Ybl Miklós program végrehajtásához kapcsolódó feladatok</t>
  </si>
  <si>
    <t>Korlátozási kártalanítás, idegen ingatlanokon lévő viziközművek szolgalmi rendezése</t>
  </si>
  <si>
    <t>Saára Gyula program - Közösségi közlekedés fejlesztése</t>
  </si>
  <si>
    <t>Városüzemeltetéssel kapcsolatos feladatok</t>
  </si>
  <si>
    <t>Térinformatika</t>
  </si>
  <si>
    <t>Szemünk Fénye Program</t>
  </si>
  <si>
    <t>Csapadékelvezetés, Szennyvízelvezetés</t>
  </si>
  <si>
    <t>Székesfehérvár Város és Térsége Szennyvízcsatorna Hálózat Bővítési Önkormányzati Társulás 2020. évi önkormányzati önrésze</t>
  </si>
  <si>
    <t>Egyéb fejlesztések</t>
  </si>
  <si>
    <t>Arany János utca 10. szám alatti ingatlan felújításával kapcsolatos tervezési feladatok</t>
  </si>
  <si>
    <t>Jókai utca 2. épület fal sótlanítás és falszárítás dokumentáció</t>
  </si>
  <si>
    <t>Prohászka Ottokár út 32/a. épület bontási terve</t>
  </si>
  <si>
    <t>Székesfehérvár, Városház tér 1. szám alatti épület tartószerkezeti véleményezése, épületenergetika, elektromos felújítás költségbecslése</t>
  </si>
  <si>
    <t>Székesfehérvár 428 hrsz-ú ingatlanon álló épület építészeti, műszaki felmérése, hasznosítási elemzések</t>
  </si>
  <si>
    <t>Felsővárosi Tájház kialakítása – Kertalja utca II. ütem</t>
  </si>
  <si>
    <t>Székesfehérvár, Mura utca 2. ingatlanon elhelyezsére kerülő raktárkonténer telepítésének költsége és bérleti díja (654/2018.(X.12.) kgy.hat.alapján</t>
  </si>
  <si>
    <t>Elektromos gépjárművek beszerzése</t>
  </si>
  <si>
    <t>Királyi Bazilika köveinek elszállítása</t>
  </si>
  <si>
    <t xml:space="preserve">Országos Futópálya-építési Program (9196 hrsz.alatti Halesz ligetben) - 424/2019. (VI.21.) kgy.határozat alapján </t>
  </si>
  <si>
    <t>Kültéri kézilabdapálya építésére pályázati önrész biztosítása</t>
  </si>
  <si>
    <t>Kégl és Távirda utca felújítása</t>
  </si>
  <si>
    <t>Székesfehérvári Sóstó Természetvédelmi Terület és Vidámparki Csónakázótó rehabilitációjára, figyelemmel a 1285/2015.(IV.30.) Korm. határozatra, valamint a megvalósítás ütemezésére</t>
  </si>
  <si>
    <t>Multifunkcionális csarnok megvalósítása (teljes körű tervezés, előkészítés)</t>
  </si>
  <si>
    <t>Szent István Király Múzeum épületének rekonstrukciója előkészítése 1793/2017.(XI.8) Korm.hat.</t>
  </si>
  <si>
    <t>Szent István Király Múzeum épületének rekonstrukciója előkészítése - önerő kerete</t>
  </si>
  <si>
    <t>„Az ország bölcsője” kiemelt székesfehérvári alprogram első szakaszának megvalósításáról és a második szakasz egyes fejlesztési elemeinek bemutatásáról szóló 1469/2017. (VII.25.) Kormányhatározat értelmében</t>
  </si>
  <si>
    <t>Szent István Király Múzeum épületének rekonstrukciója megvalósítása 1006/2020.(I.29.) Korm.határozat értelmében</t>
  </si>
  <si>
    <t>Székesfehérvár Középiskolai Campus</t>
  </si>
  <si>
    <t>Berényi út felújítása II.ütem</t>
  </si>
  <si>
    <t>Déli összekötőút megépítése</t>
  </si>
  <si>
    <t>Déli összekötőút megépítése -  támogatói előleg visszautalása</t>
  </si>
  <si>
    <t>Zöld Város Fehérvár Tüdeje II.ütem</t>
  </si>
  <si>
    <t>Berényi II. ütem vízrendezése</t>
  </si>
  <si>
    <t>Távirda-Kégl Gy. utcai csapadékcsatorna rekonstrukciója</t>
  </si>
  <si>
    <t xml:space="preserve">Székesfehérvár területén fenntartható városi közlekedés fejlesztés </t>
  </si>
  <si>
    <t xml:space="preserve">Bartók Béla tér fejlesztése </t>
  </si>
  <si>
    <t>Költségvetési szerveket érintő felújítási, fejlesztési kiadások 2020. évben
(eFt-ban)</t>
  </si>
  <si>
    <t>Ybl Miklós-program: Intézményfelújítások, fejlesztések</t>
  </si>
  <si>
    <t>Kossuth Zsuzsanna Szociális Intézmény</t>
  </si>
  <si>
    <t>Kossuth Zsuzsanna Szociális Intézmény (korábbi ESZI székhelyintézmény) tetőtér beépítési munkáival készülő férőhely bővítés feladataira</t>
  </si>
  <si>
    <t>Kossuth Zsuzsanna Szociális Intézmény ((korábbi ESZI székhelyintézmény) villamos hálózat rekonstrukciója kiviteli terv alapján (tervezés és kivitelezés)</t>
  </si>
  <si>
    <t>Feketehegy-Szárazréti Idősek Otthona (korábbi III. számú Idősek Otthona, telephelyintézmény) lépcsőházi acél üvegportál cseréje műanyag szerkezetre, hőtükrös fóliázással</t>
  </si>
  <si>
    <t>Feketehegy-Szárazréti Idősek Otthona (korábbi III. számú Idősek Otthona, telephelyintézmény) villamos és gépészeti rendszerének felújításával kapcsolatos tervezési és kivitelezési feladatok, valamint a Maroshegyi Gondozási Központ (korábbi IV. számú Gndozási Központ, telephelyintézmény) bővítésével kapcsolatos tervezési feladatok</t>
  </si>
  <si>
    <t>Kossuth Zsuzsanna Szociális Intézmény (korábbi ESZI székhelyintézmény) villamoshálózat korszerűsítéséhez és a fűtési rendszer átalakításához, valamint az ingatlanon található 2. számú épület tetőtérbeépítésével kapcsolatos tervezési feladatok</t>
  </si>
  <si>
    <t>Feketehegy-Szárazréti Idősek Otthona (korábbi III. számú Idősek Otthona, telephelyintézmény)  tűzvédelmi átalakítás</t>
  </si>
  <si>
    <t>Hosszúsétatéri Idősek Otthona (korábbi II. számú Idősek Otthona, telephelyintézmény) homlokzati javítás</t>
  </si>
  <si>
    <t xml:space="preserve">Kríziskezelő Központ </t>
  </si>
  <si>
    <t>Kikindai utca 8. szám alatt lévő 1. számú és 3. számú lakás vizesblokkok felújítása, kazáncsere</t>
  </si>
  <si>
    <t>Medencetér felújítása</t>
  </si>
  <si>
    <t>TÁVHŐ szolgáltatáshoz új hőközpont építése</t>
  </si>
  <si>
    <t>Villamoshálózat korszerüsítése</t>
  </si>
  <si>
    <t xml:space="preserve">Székesfehérvári Tankerületi Központ </t>
  </si>
  <si>
    <t>Arany János Óvoda, Általános Iskola, Szakiskola, Készségfejlesztő Iskola és Egységes Gyógypedagógiai Módszertani Intézménye
Felújítási munkálatokkal kapcsolatos feladatok</t>
  </si>
  <si>
    <t>Székesfehérvári Teleki Blanka Gimnázium és Általános Iskola
Kémia terem és szertár felújítás</t>
  </si>
  <si>
    <t>Mészöly Géza utca 5. szám alatti rendelő</t>
  </si>
  <si>
    <t>Csók István Képtár homlokzatának helyreállítása, árkádsor alatti világítás kiépítése lépcső helyreállítással</t>
  </si>
  <si>
    <t>Városház tér 1-2. épület, Várkörút 1/a. épület karbantartás</t>
  </si>
  <si>
    <t>Tác Gorsium-épület körüli csapadékvíz elvezetési probléma megoldása</t>
  </si>
  <si>
    <t xml:space="preserve">Székesfehérvár, Bőrgyár u. 2. szám alatti ingatlan </t>
  </si>
  <si>
    <t>Tetőszerkezet cseréje</t>
  </si>
  <si>
    <t>Batthyány utca 12. szám alatti rendelő</t>
  </si>
  <si>
    <t>Ybl lakótelepi rendelő</t>
  </si>
  <si>
    <t>Szekfű Gyula utca 9. szám alatti rendelő</t>
  </si>
  <si>
    <t>2020. évi bevételei eFt-ban</t>
  </si>
  <si>
    <t>2020. évi kiadásai eFt-ban</t>
  </si>
  <si>
    <t>összevont 2020. évi bevételeiről eFt-ban</t>
  </si>
  <si>
    <t>összevont 2020. évi kiadásairól eFt-ban</t>
  </si>
  <si>
    <t>összevont 2020. évi bevételi és kiadási  egyenlege eFt-ban</t>
  </si>
  <si>
    <t xml:space="preserve">              Fejér Megyei Katasztrófavédelmi Igazgatóság - Polgári Védelmi Kirendeltségének 2020. évi támogatására</t>
  </si>
  <si>
    <t xml:space="preserve">             Felsővárosi Fésüs Röplabda Akadémia Fehérvár (234/2019. (IV.26.) kgy. határozat alapján</t>
  </si>
  <si>
    <t xml:space="preserve">             Kistelepülési könyvtári és közművelődési kiegészítő támogatás (Vörösmarty Mihály Könyvtár)</t>
  </si>
  <si>
    <t>Önkormányzat 2020. évi költségvetési kiadásai (eFt-ban)</t>
  </si>
  <si>
    <t>2020. évre áthúzódó
(4)</t>
  </si>
  <si>
    <t>2020. évi előirányzat     (5)</t>
  </si>
  <si>
    <t>Költségvetési szerveket érintő felújítási, fejlesztési kiadások</t>
  </si>
  <si>
    <t>ö</t>
  </si>
  <si>
    <t xml:space="preserve">   Nemzetközi kapcsolatok</t>
  </si>
  <si>
    <t>önk</t>
  </si>
  <si>
    <t xml:space="preserve">   Év közben jelentkező sportcélú kiadások</t>
  </si>
  <si>
    <t xml:space="preserve">   Polgármesteri keret</t>
  </si>
  <si>
    <t xml:space="preserve">   Humán  járvány megelőzése, következményeink elhárítása (pénzadományok beemelése)</t>
  </si>
  <si>
    <t xml:space="preserve">              Alba Regia Szimfonikus Zenekar</t>
  </si>
  <si>
    <t>18, Talajterhelési díj</t>
  </si>
  <si>
    <t>19, Egyéb áruhasználati és szolgáltatási adók (17+18)</t>
  </si>
  <si>
    <t>20, Termékek és szolgáltatások adói összesen (15+16+19):</t>
  </si>
  <si>
    <t>24, Egyéb közhatalmi bevételek összesen (21+22+23):</t>
  </si>
  <si>
    <t>25, Közhatalmi bevételek összesen (13+20+24):</t>
  </si>
  <si>
    <t>16, Irányító szervi támogatás folyósítása</t>
  </si>
  <si>
    <t>17, Finanszírozási kiadások összesen:</t>
  </si>
  <si>
    <t>15, Államháztartáson belüli megelőlegezések visszafizetése</t>
  </si>
  <si>
    <t>Mesevilág.Bölcsőde</t>
  </si>
  <si>
    <t>Szeder Bölcsőde</t>
  </si>
  <si>
    <t>Tündérkert Bölcsőde</t>
  </si>
  <si>
    <t>Alba Bástya  Család- és Gyermekjóléti Központ</t>
  </si>
  <si>
    <t>Székesfehérvári Közösségi és Kulturális Központ</t>
  </si>
  <si>
    <t>Költségvetési szervek 2020. évi kiadási előirányzata (eFt-ban)</t>
  </si>
  <si>
    <t>Mesevilág Bölcsőde</t>
  </si>
  <si>
    <t>Alba Bástya Család- és Gyermekjóléti Központ</t>
  </si>
  <si>
    <t xml:space="preserve">   Digitális kompetencia fejlesztése - okos osztályterem pilot program keretében (Székesfehérvár Fejlődéséért Alapítvány)</t>
  </si>
  <si>
    <t>Nyitó pénzkészlet (maradvány nélkül)</t>
  </si>
  <si>
    <t>Bevétel-Kiadás különbözet havi bontásban (maradvány igénybevételével)</t>
  </si>
  <si>
    <t>7. Finanszírozási bevételek összesen (5+6):</t>
  </si>
  <si>
    <t>8. Finanszírozási kiadások összesen:</t>
  </si>
  <si>
    <t>II. Finanszírozási bevételek összesen (1+2)</t>
  </si>
  <si>
    <t>2, Irányító szervi támogatás folyósítása</t>
  </si>
  <si>
    <t>IV. Finanszírozási kiadások összesen (1+2)</t>
  </si>
  <si>
    <t>1, Államháztartáson belüli megelőlegezések visszafizetése</t>
  </si>
  <si>
    <t>Székesfehérvári közösségi közlekedési stratégia elkészítése, a közösségi közlekedéssel kapcsolatos feladatok</t>
  </si>
  <si>
    <t>2020. év</t>
  </si>
  <si>
    <t>2021. év</t>
  </si>
  <si>
    <t>2022. év</t>
  </si>
  <si>
    <t>2023. év</t>
  </si>
  <si>
    <t>További évek összesen</t>
  </si>
  <si>
    <t>g.=b.+…+f.</t>
  </si>
  <si>
    <t>I. Európai uniós és hazai forrásból megvalósuló projektekkel kapcsolatos kiadások</t>
  </si>
  <si>
    <t>Székesfehérvári Sóstó Természetvédelmi Terület és Vidámparki Csónakázótó rehabilitációjára, figyelemmel a 1285/2015.(IV.30.) Korm. Határozatra, valamint a megvalósítás ütemezésére</t>
  </si>
  <si>
    <t xml:space="preserve">Szekfű Gyula utcai rendelőépület fejlesztése </t>
  </si>
  <si>
    <t>Segítő Fehérvár program</t>
  </si>
  <si>
    <t>Helyi közösségfejlesztés Székesfehérváron</t>
  </si>
  <si>
    <t>Székesfehérvári Középiskolai Campus kialakítása</t>
  </si>
  <si>
    <t>Bartók Béla tér fejlesztése</t>
  </si>
  <si>
    <t>Zöld Város - Fehérvár Tüdeje II. ütem</t>
  </si>
  <si>
    <t>Szent István Király Múzeum épületének rekonstrukciója megvalósítása 1006/2020.(I.29) Korm.határozat alapján</t>
  </si>
  <si>
    <t>I. Európai uniós és hazai forrásból megvalósuló projektekkel kapcsolatos kiadások összesen</t>
  </si>
  <si>
    <t>II. Egyéb beruházási, felhalmozási kiadások</t>
  </si>
  <si>
    <t>Alba Geotrade Zrt. – központi közműnyilvántartás és alaptérkép vezetése</t>
  </si>
  <si>
    <t>II. Egyéb beruházási, felhalmozási kiadások összesen</t>
  </si>
  <si>
    <t>III. Helyi közösségi közlekedéssel kapcsolatos kiadások</t>
  </si>
  <si>
    <t>Alba Volán Zrt. - 2006. január 1. napjától 2012. december 31. napjáig terjedő időszak veszteségének kiegyenlése (jelenleg Volánbusz Zrt.)</t>
  </si>
  <si>
    <t>III. Helyi közösségi közlekedéssel kapcsolatos kiadások összesen</t>
  </si>
  <si>
    <t>Sportcsarnok, egyéb létesítmények, felszíni parkolók, zöldfelület építésének önkormányzati önrésze (233/2019.(IV.26.) kgy.hat.alapján)</t>
  </si>
  <si>
    <t>Sportcsarnok, egyéb létesítmények, felszíni parkolók, zöldfelület építésének önkormányzati önrésze 233/2019.(IV.26.) kgy.hat.alapján)</t>
  </si>
  <si>
    <t>II. módosítás</t>
  </si>
  <si>
    <t>Új Módosított előirányzat</t>
  </si>
  <si>
    <t>Önkormányzat I. módosított előirányzata</t>
  </si>
  <si>
    <t>Módosított előirányzat
(1)</t>
  </si>
  <si>
    <t>Új Módosított előírányzat
(3)=(1)+(2)</t>
  </si>
  <si>
    <t xml:space="preserve">   Önkormányzati Informatikai Központ Nonprofit Kft. </t>
  </si>
  <si>
    <t xml:space="preserve">   Réber Hagyaték</t>
  </si>
  <si>
    <t xml:space="preserve">   Kulturális célú kiadások év közben jelentkező többletfeladatok</t>
  </si>
  <si>
    <t xml:space="preserve">   Országos Diákparlament</t>
  </si>
  <si>
    <t xml:space="preserve">    Ifjúsági feladatok és a Székesfehérvári Diáktanács működése</t>
  </si>
  <si>
    <t xml:space="preserve">    „Az ország bölcsője” kiemelt székesfehérvári alprogram első szakaszának megvalósításáról és a második szakasz egyes fejlesztési elemeinek bemutatásáról szóló 1469/2017. (VII.25.) Kormányhatározat értelmében</t>
  </si>
  <si>
    <t xml:space="preserve">   „Az ország bölcsője” kiemelt székesfehérvári alprogram első szakaszának megvalósításáról és a második szakasz egyes fejlesztési elemeinek bemutatásáról szóló 1469/2017. (VII.25.) Kormányhatározat értelmében</t>
  </si>
  <si>
    <t>~ Főösszeget nem érintő saját hatásksörű átcsoportosítás</t>
  </si>
  <si>
    <t>Személyügyi  kiadások</t>
  </si>
  <si>
    <t xml:space="preserve">   Elektromos autó üzemeltetésével kapcsolatos kiadások</t>
  </si>
  <si>
    <t xml:space="preserve">   Személyügyi kiadások (Elektormos autó üzemeltetésével kapcsolatos kiadások)</t>
  </si>
  <si>
    <t xml:space="preserve">   Nemzetiségi önkormányzatok</t>
  </si>
  <si>
    <t>Nemzetiségi önkormányzatok</t>
  </si>
  <si>
    <t xml:space="preserve">   Környezetvédelmi Alap</t>
  </si>
  <si>
    <t>Ssz.</t>
  </si>
  <si>
    <t>2020. évi terv (eFt-ban)</t>
  </si>
  <si>
    <t>2019. évi alap maradványa</t>
  </si>
  <si>
    <t>Kamatbevétel 2020.</t>
  </si>
  <si>
    <t>Bírságok 2020.</t>
  </si>
  <si>
    <t>Talajterhelési díj 2020.</t>
  </si>
  <si>
    <t>Önkormányzati egyéb bevételből biztosított forrás</t>
  </si>
  <si>
    <t>2020. évi összes bevétel:</t>
  </si>
  <si>
    <t>Környezetvédelmi Nevelési Alap - szemléletformálást segítő előadások, pályázatok, pedagógiai továbbképzések támogatása</t>
  </si>
  <si>
    <t>1000 fa ültetése projekt</t>
  </si>
  <si>
    <t>Székesfehérvár zöldfelületi elemeinek növelése</t>
  </si>
  <si>
    <t>Környezetvédelmi program kidolgozása</t>
  </si>
  <si>
    <t>Környezetvédelmi feladatok összesen:</t>
  </si>
  <si>
    <t>Bankköltség, forgalmi jutalék</t>
  </si>
  <si>
    <t>Fel nem osztott keret</t>
  </si>
  <si>
    <t>Kiadások összesen:</t>
  </si>
  <si>
    <t>Előirányzat módosítás</t>
  </si>
  <si>
    <t xml:space="preserve">     Belvárosi épületek rekonstrukcióját szolgáló fejlesztési alap (visszatérítendő támogatás)</t>
  </si>
  <si>
    <t xml:space="preserve">   Központi támogatások és szerződéses kötelmek elszámolási kerete</t>
  </si>
  <si>
    <t xml:space="preserve">   Megyei Jogú Városok Szövetsége</t>
  </si>
  <si>
    <t xml:space="preserve">   Sport Alap (Iskolai Sportkörök támogatása)</t>
  </si>
  <si>
    <t xml:space="preserve">   Közlekedési kiadások (Helyi közösségi közlekedés finanszírozási kerete)</t>
  </si>
  <si>
    <t xml:space="preserve">   Közlekedési kiadások (Alba Volán Zrt. 504/2012.(VIII.17.) kgy.hat. .I. 1. b. pontja alapján történő finanszírozására (jelenleg: Volánbusz Zrt.))</t>
  </si>
  <si>
    <t xml:space="preserve">   Humán  járvány megelőzése, következményeink elhárítása </t>
  </si>
  <si>
    <t xml:space="preserve">   Sport Alap (Utánpótlás nevelés támogatása)</t>
  </si>
  <si>
    <t xml:space="preserve">   Képviselői Alap</t>
  </si>
  <si>
    <t xml:space="preserve">   Szolidaritási hozzájárulás</t>
  </si>
  <si>
    <t>~2019. évi maradvány igénybevétele</t>
  </si>
  <si>
    <t xml:space="preserve">   Költségvtési szervek kiutalatlan támogatása</t>
  </si>
  <si>
    <t>~ 2019. évi maradvány igénybevétele</t>
  </si>
  <si>
    <t xml:space="preserve">   Kulturális Alap</t>
  </si>
  <si>
    <t xml:space="preserve">   Települési támogatás</t>
  </si>
  <si>
    <t>ÖNKÉNT</t>
  </si>
  <si>
    <t xml:space="preserve">   Szociális ellátási és gyermekvédelmi feladatok (Települési támogatás)</t>
  </si>
  <si>
    <t xml:space="preserve">   Diáksportkör kiadásai</t>
  </si>
  <si>
    <t xml:space="preserve">   Sportcélok és feladatok</t>
  </si>
  <si>
    <t>~Várható bevételkiesés miatti rendezés</t>
  </si>
  <si>
    <t xml:space="preserve">   Megbízási díjak</t>
  </si>
  <si>
    <t xml:space="preserve">   Munkaadókat terhelő járulék</t>
  </si>
  <si>
    <t xml:space="preserve">   Kéményseprő ipari közszolgáltatás helyi önkormányat általi ellátásának támogatása</t>
  </si>
  <si>
    <t xml:space="preserve">   Frim Jakab Képességfejlesztő Szakosított Otthon - Alagsori szint talajvíz elleni szigeteléséhez és felújításához kapcsolódó tervezési feladat</t>
  </si>
  <si>
    <t xml:space="preserve">   Székesfehérvári Tankerületi Központ - Székesfehérvári Teleki Blanka Gimnázium és Általános Iskola Kémia terem és szertár felújítás</t>
  </si>
  <si>
    <t xml:space="preserve">   Szent István Király Múzeum - Tác Gorsium-épület körüli csapadékvíz elvezetési probléma megoldása</t>
  </si>
  <si>
    <t xml:space="preserve">   Székesfehérvár, Bőrgyár u. 2. szám alatti ingatlan - Tetőszerkezet cseréje</t>
  </si>
  <si>
    <t>önkfe kötelező (ezek az önként fa-ok)</t>
  </si>
  <si>
    <t xml:space="preserve">   Saára Gyula program - Közösségi közlekedés fejlesztése (Székesfehérvári közösségi közlekedési stratégia elkészítése, a közösségi közlekedéssel kapcsolatos feladatok)</t>
  </si>
  <si>
    <t xml:space="preserve">   Arany János utca 10. szám alatti ingatlan felújításával kapcsolatos tervezési feladatok</t>
  </si>
  <si>
    <t xml:space="preserve">   Bory-vár épületdiagnosztikai és tartószerkezeti vizsgálat</t>
  </si>
  <si>
    <t xml:space="preserve">   Szent István Király Múzeum épületének rekonstrukciója előkészítése - önerő kerete</t>
  </si>
  <si>
    <t xml:space="preserve">   Kültéri kézilabdapálya építésére pályázati önrész biztosítása</t>
  </si>
  <si>
    <t xml:space="preserve">   Helyi közösségi közlekedés viteldíjához kapcsolódó intézkedések kerete</t>
  </si>
  <si>
    <t>Városmarketing és kommunikáció máshová nem sorolt kiadásai</t>
  </si>
  <si>
    <t>Székesfehérvári Egyházmegye- Belvárosi templomok turisztikai célú támogatása</t>
  </si>
  <si>
    <t>Katonai Emlékpark Közhasznú Nonprofit Kft.- A Katonai Emlékpark kiemelt- elsősorban pedagógiai-programjainak támogatása</t>
  </si>
  <si>
    <t>Székesfehérvári Városszépítő- és Védő Egyesület</t>
  </si>
  <si>
    <t>1956-os Magyar Szabadságharcosok Világszövetsége Egyesület</t>
  </si>
  <si>
    <t>Alapítvány a Székesfehérvári Fogyasztóvédelemért</t>
  </si>
  <si>
    <t>Magyar Hadisírgondozó Szövetség</t>
  </si>
  <si>
    <t>Fehérvári Tűzoltó Egyesület</t>
  </si>
  <si>
    <t>Vadásztölténygyári Vasas Ifjúsági és Sport Egyesület- Futballfesztivál megrendezésének támogatása</t>
  </si>
  <si>
    <t>Ifjúsági feladatok és a Székesfehérvári Diáktanács működése</t>
  </si>
  <si>
    <t>Maroshegyi Ifjúsági Egyesület</t>
  </si>
  <si>
    <t>Honvédség és Társadalom Baráti Kör Székesfehérvári Szervezete</t>
  </si>
  <si>
    <t>Székesfehérvári Városszépítő- és Védő Egyesület - Székesfehérvár Hosszútemető műemlék jellegű sírjainak karbantartására, felújítására</t>
  </si>
  <si>
    <t>Székesfehérvári Szerb Nemzetiségi Önkormányzat- Szerb templom karbantartásához, felújításához, nyitvatartásához</t>
  </si>
  <si>
    <t>Székesfehérvári Szociális Alapítvány</t>
  </si>
  <si>
    <t>Székesfehérvári Érzékenyítő Program</t>
  </si>
  <si>
    <t>Gaja Környezetvédő Egyesület működési támogatása</t>
  </si>
  <si>
    <t>Dévai Szent Ferenc Alapítvány- Szent Imre Iskolaház működéséhez támogatás</t>
  </si>
  <si>
    <t>Civil Centrum Közhasznú Alapítvány - Esélykör működtetése</t>
  </si>
  <si>
    <t>Magyar Vöröskereszt Fejér Megyei Szervezete</t>
  </si>
  <si>
    <t>Tarsoly Ifjúságért Egyesület</t>
  </si>
  <si>
    <t>Vasútmodell kiállítás üzemeltetésének támogatása</t>
  </si>
  <si>
    <t>Prosperis Alba Kutatóközpont Nonprofit Kft.</t>
  </si>
  <si>
    <t>Magyarországi Zsidó Hitközségek Szövetsége</t>
  </si>
  <si>
    <t>Az év fagylaltja verseny támogatási kerete</t>
  </si>
  <si>
    <t>Egyházi Közösségek Hitéleti Támogatása</t>
  </si>
  <si>
    <t xml:space="preserve">   Informatikai fejlesztés</t>
  </si>
  <si>
    <t xml:space="preserve">   Térfigyelő kamerarendszer bővítése (Közbiztonság növelését szolgáló fejlesztések megvalósítása)</t>
  </si>
  <si>
    <t xml:space="preserve">   Környezetvédelmi kiadások (KERT-EXPO támogatása)</t>
  </si>
  <si>
    <t xml:space="preserve">   Lánczos Kornél-Szekfű Gyula" Ösztöndíj Közalapítvány támogatása</t>
  </si>
  <si>
    <t xml:space="preserve">   Tóth István és Tóth Terézia Ösztöndíj Közalapítvány támogatása</t>
  </si>
  <si>
    <t xml:space="preserve">   Székesfehérvári Tankerületi Központ- oktatásszakmai munkájának támogatása</t>
  </si>
  <si>
    <t xml:space="preserve">   Székesfehérvári Szakképzési Centrum - oktatásszakmai munkájának támogatása</t>
  </si>
  <si>
    <t xml:space="preserve">   Székesfehérvári felsőoktatási intézmények támogatása</t>
  </si>
  <si>
    <t xml:space="preserve">   Székesfehérvári Többcélú Kistérségi Társulás feladatellátásához való működési hozzájárulás</t>
  </si>
  <si>
    <t xml:space="preserve">   Kégl György Program: oltástámogatási program</t>
  </si>
  <si>
    <t xml:space="preserve">   Köztéri alkotások lektorátusi díja</t>
  </si>
  <si>
    <t xml:space="preserve">   Székesfehérvári Egyházmegye</t>
  </si>
  <si>
    <t xml:space="preserve">   Alba Regia Táncegyesület - közszolgáltatási szerződés</t>
  </si>
  <si>
    <t xml:space="preserve">   Alba Regia Vegyeskar Egyesület</t>
  </si>
  <si>
    <t xml:space="preserve">   Székesfehérvári "Bakony" Népzenei Együttes Egyesület</t>
  </si>
  <si>
    <t xml:space="preserve">   Fehérvári Kézművesek Egyesülete</t>
  </si>
  <si>
    <t xml:space="preserve">   Székesfehérvári Művészek Társasága</t>
  </si>
  <si>
    <t xml:space="preserve">   Székesfehérvári Ifjúsági Fúvószenekar Egyesület</t>
  </si>
  <si>
    <t xml:space="preserve">   KÖFÉM Oktatási és Közművelődési Központ Nonprofit Közhasznú Kft.</t>
  </si>
  <si>
    <t xml:space="preserve">   Vasutas Országos Közművelődési és Szabadidő Egyesület Vörösmarty Mihály Művelődési Ház és Könyvtár</t>
  </si>
  <si>
    <t xml:space="preserve">   Vörösmarty Társaság</t>
  </si>
  <si>
    <t xml:space="preserve">   Aranybulla Könyvtár Alapítvány</t>
  </si>
  <si>
    <t xml:space="preserve">   Gárdonyi Géza Művelődési Ház és Könyvtár Egyesület</t>
  </si>
  <si>
    <t xml:space="preserve">   Vox Mirabilis Közhasznú Kulturális Egyesület</t>
  </si>
  <si>
    <t xml:space="preserve">   Primavera Vegyeskórus Egyesület</t>
  </si>
  <si>
    <t xml:space="preserve">   "Ars Musica" Zenebarátok Egyesülete</t>
  </si>
  <si>
    <t xml:space="preserve">   "Szín-Tér"/Színjátszó-Versmondó/ Egyesület </t>
  </si>
  <si>
    <t xml:space="preserve">   Kákics Kulturális Egyeslet</t>
  </si>
  <si>
    <t>Könyvkiadás</t>
  </si>
  <si>
    <t>Magyar Zsidó Kulturális Egyesület</t>
  </si>
  <si>
    <t xml:space="preserve">Bálok támogatása </t>
  </si>
  <si>
    <t>Jazz Fesztivál megrendezése- M.A.P.! Workshop Kft.</t>
  </si>
  <si>
    <t>Városrészi rendezvények</t>
  </si>
  <si>
    <t>Emléktábla elhelyezéséhez támogatás</t>
  </si>
  <si>
    <t>Alba Regia Teátrum Alapítvány a Vörösmarty Színházért</t>
  </si>
  <si>
    <t>Trianon Centenárium</t>
  </si>
  <si>
    <t>Kossuth udvari órajáték bővítése adventi időszakban</t>
  </si>
  <si>
    <t>Kültéri természetfotó kiállítás Városház téren</t>
  </si>
  <si>
    <t>Fehérvár FC Kft.</t>
  </si>
  <si>
    <t>Köfém Sport Club Női Kézilabda Szakosztály</t>
  </si>
  <si>
    <t>Alba Regia Atlétikai Klub</t>
  </si>
  <si>
    <t>Alba Regia SC Kft. Kosárlabda Szakosztály</t>
  </si>
  <si>
    <t>Egyéb sportszakosztályi támogatások</t>
  </si>
  <si>
    <t>Alba Volán Sporclub -  Öttusa Európa Bajnokság</t>
  </si>
  <si>
    <t xml:space="preserve">   Fehérvár AV 19 Sport Club  - Ingatlan üzemeltetésével, fejlesztésével összefüggő költségekhez</t>
  </si>
  <si>
    <t xml:space="preserve">   Handball Future Szolgáltató Kft.- Ingatlan üzemeltetésével összefüggő költségekhez</t>
  </si>
  <si>
    <t xml:space="preserve">   Alba Regia Sport Club - Ingatlan üzemeltetésével összefüggő költségekhez</t>
  </si>
  <si>
    <t xml:space="preserve">   Szent István Múzeum muzeális emlékeinek  elhelyezésére szolgáló ingatlannal kapcsolatos üzemeltetési költségek</t>
  </si>
  <si>
    <t xml:space="preserve">   Földhivatali eljárási díj</t>
  </si>
  <si>
    <t xml:space="preserve">   Mura u. 2. sz. ingatlan használatával kapcsolatos költségek</t>
  </si>
  <si>
    <t xml:space="preserve">   MOL Aréna Sóstó üzemeltetési feladatainak ellátására (Önkormányzat)</t>
  </si>
  <si>
    <t xml:space="preserve">   MOL Aréna Sóstó üzemeltetési feladatainak ellátására (Székesfehérvári Városfejlesztési Kft.)</t>
  </si>
  <si>
    <t xml:space="preserve">   Gépjárműadó</t>
  </si>
  <si>
    <t xml:space="preserve">   Idegenforgalmi adó</t>
  </si>
  <si>
    <t xml:space="preserve">   Adópótlék, adóbírság</t>
  </si>
  <si>
    <t xml:space="preserve">   Önkormányízati lakások és nem lakás c. helyiségek bérleti díja</t>
  </si>
  <si>
    <t xml:space="preserve">   Helyi lakáscélú támogatás törlesztése</t>
  </si>
  <si>
    <t>~ Várható bevételkiesés miatti rendezés (Intézményi, önkormányzati támogatás csökkenés)</t>
  </si>
  <si>
    <t>KÖTELEZŐ</t>
  </si>
  <si>
    <t xml:space="preserve">   Székesfehérvári Turisztikai Közhasznú Nonprofit Kft. - működéshez (Székesfehérvár Megyei Jogú Város Önkormányzat Közgyűlése 
hatáskörében eljáró Székesfehérvár Megyei Jogú Város Polgármesterének 59/2020. (IV. 8.) számú határozata alapján)</t>
  </si>
  <si>
    <t xml:space="preserve">   Kégl György Program - Fejér Megyei Szent György Egyetemi Oktató Kórház működési és fejlesztési támogatása</t>
  </si>
  <si>
    <t xml:space="preserve">   Választott tisztségviselők juttatásai</t>
  </si>
  <si>
    <t xml:space="preserve">   Kerekítési különbözet</t>
  </si>
  <si>
    <t xml:space="preserve">   Székesfehérvár Városfejlesztési Nonprofit Kft. Ingatlangazdálkodási kiadások lakás és nem lakás célú felújítási kerettel</t>
  </si>
  <si>
    <t>Humán járvány megelőzése, követkeezményeink elhárítása</t>
  </si>
  <si>
    <t>Humán  járvány megelőzése, következményeink elhárítása  (étkezési térítési díj bevétel)</t>
  </si>
  <si>
    <t xml:space="preserve">    V. Adventi Jótékonysági Futás és a IX. Székesfehérvári Jótékonysági Estély</t>
  </si>
  <si>
    <t>~Bevétel miatti növekedés</t>
  </si>
  <si>
    <t xml:space="preserve">   Települési önkormányzatok szociális, gyermekjóléti és gyermekétkeztetési feladatainak támogatása</t>
  </si>
  <si>
    <t xml:space="preserve">   Reprezentációs kiadások Polgármester</t>
  </si>
  <si>
    <t xml:space="preserve">   Reprezentációs kiadások Alpolgármester</t>
  </si>
  <si>
    <t>~ Várható bevételkiesés miatti rendezés</t>
  </si>
  <si>
    <t xml:space="preserve">   Székesfehérvári Érzékenyítő Program</t>
  </si>
  <si>
    <t xml:space="preserve">   Jogszabályokhoz, jogszabályváltozásokhoz kapcsolódó finanszírozási keret</t>
  </si>
  <si>
    <t xml:space="preserve">   Ausztráliaia tűzvész által okozott károk enyhítését célzó adomány</t>
  </si>
  <si>
    <t xml:space="preserve">   Határon túli magyar kapcsolatok</t>
  </si>
  <si>
    <t xml:space="preserve">   Képviselők és egyéb önkormányzati tanácsadó, testületi tagok juttatásai  (helyi bérlet is)</t>
  </si>
  <si>
    <t xml:space="preserve">   Vis maior</t>
  </si>
  <si>
    <t xml:space="preserve">   Vörösmarty Mihály Könyvtár - Oromfal felújítás</t>
  </si>
  <si>
    <t xml:space="preserve">   Kossuth Zsuzsanna Szociális Intézmény (korábbi ESZI székhelyintézmény) villamoshálózat korszerűsítéséhez és a fűtési rendszer átalakításához, valamint az ingatlanon található 2. számú épület tetőtérbeépítésével kapcsolatos tervezési feladatok</t>
  </si>
  <si>
    <t>kötel</t>
  </si>
  <si>
    <t xml:space="preserve">   Batthyány utca városrészi központ, parkolók és járdák rendezése (I. ütem)</t>
  </si>
  <si>
    <t xml:space="preserve">   Fürdősor hídfelújítás és mederrendezés</t>
  </si>
  <si>
    <t xml:space="preserve">   Budapesti Corvinus Egyetem Székesfehérvári Campusa elhelyezésével és működtetésével kapcsolatos beruházások elvégzésére </t>
  </si>
  <si>
    <t xml:space="preserve">   Autóbusz-hálózat átalakításával összefüggő feladatok</t>
  </si>
  <si>
    <t xml:space="preserve">   Országos Futópálya-építési Program (9196 hrsz.alatti Halesz ligetben) - 424/2019. (VI.21.) kgy.határozat alapján </t>
  </si>
  <si>
    <t xml:space="preserve">   Multifunkcionális csarnok megvalósítása (teljes körű tervezés, előkészítés)</t>
  </si>
  <si>
    <t xml:space="preserve">   Bartók Béla tér fejlesztése </t>
  </si>
  <si>
    <t xml:space="preserve">   Szent István Király Múzeum épületének rekonstrukciója megvalósítása 1006/2020.(I.29.) Korm.határozat értelmében</t>
  </si>
  <si>
    <t xml:space="preserve">   Palotavárosi tavak sport és rekreációs célú hasznosítása</t>
  </si>
  <si>
    <t xml:space="preserve">   Székesfehérvár szennyvíztisztító telep biogáz vonalának fejlesztése</t>
  </si>
  <si>
    <t xml:space="preserve">   Székesfehérvár Városfejlesztési Nonprofit Kft. (Ingatlangazdálkodási kiadások lakás és nem lakás célú felújítási kerettel)</t>
  </si>
  <si>
    <t xml:space="preserve">   Alba Airport működési költségeire</t>
  </si>
  <si>
    <t xml:space="preserve">   Főépítészi kiadások - Településrendezést, településkép védelmet, építészeti értékvédelmet és örökségvédelmet megalapozó dokumentumok, tanulmánytervek, pályázati tervek, tervezési, kutatási szerződések, meghívásos tervpályázatok lebonyolítása, szakmai konferencia</t>
  </si>
  <si>
    <t xml:space="preserve">   Főépítészi kiadások - Rendezési terv készítése, meglévő szabályozások módosítása, felülvizsgálata, integrálása, karbantartása</t>
  </si>
  <si>
    <t xml:space="preserve">   8532. hrsz alatti ingatlan bérleti díja</t>
  </si>
  <si>
    <t xml:space="preserve">   Mura utca 4/A-B-C szám alatti  három lakóépület központi fűtési hőtermelő- és elosztó berendezéseinek üzemeltetésére és karbantartására (575/2013.(XI.14.) kgy.hat.alapján) </t>
  </si>
  <si>
    <t xml:space="preserve">   Életjáradék lakásért</t>
  </si>
  <si>
    <t xml:space="preserve">   Székesfehérvár Fejlődéséért Alapítvány támogatása</t>
  </si>
  <si>
    <t xml:space="preserve">   Segítő Fehérvár Program</t>
  </si>
  <si>
    <t xml:space="preserve">   Városrészi rendezvények</t>
  </si>
  <si>
    <t xml:space="preserve">   Emléktábla elhelyezéséhez támogatás</t>
  </si>
  <si>
    <t xml:space="preserve">   "Királyi utakon Horvátországban" című film elkészítéséhez támogatás</t>
  </si>
  <si>
    <t>II.R.mód</t>
  </si>
  <si>
    <t>tényadat önk.</t>
  </si>
  <si>
    <t xml:space="preserve">   Katonai Főváros Program kerete</t>
  </si>
  <si>
    <t xml:space="preserve">   Egyéb bérleti díjak</t>
  </si>
  <si>
    <t>2020. évi tervezett   előirányzat</t>
  </si>
  <si>
    <t>Önkormányzati tulajdonú lakás- és nem lakáscélú helyiségek üzemeltetési költségei és azok forrásai
2020. évben
(eFt-ban)</t>
  </si>
  <si>
    <t>FORRÁSOK</t>
  </si>
  <si>
    <t>Épületek bérl. díj bevétele</t>
  </si>
  <si>
    <t>Ebből:</t>
  </si>
  <si>
    <t>Lakások</t>
  </si>
  <si>
    <t>Nem lakás célú helyiségek</t>
  </si>
  <si>
    <t>Nem lakáscélú helyiségek bérleti díj ÁFA bevétele</t>
  </si>
  <si>
    <t>ÖSSZES FORRÁS</t>
  </si>
  <si>
    <t>FELHASZNÁLÁSOK</t>
  </si>
  <si>
    <t>Önkormányzati ingatlankezelés üzemeltetési költsége</t>
  </si>
  <si>
    <t>Önkormányzati ingatlankezelés alapdíja</t>
  </si>
  <si>
    <t>Önkormányzati ingatlankezelés egyéb díja</t>
  </si>
  <si>
    <t>~ebből közös költség</t>
  </si>
  <si>
    <t>ÁFA befizetés</t>
  </si>
  <si>
    <t>ÖSSZES FELHASZNÁLÁS</t>
  </si>
  <si>
    <t>Új módosított  előirányzat</t>
  </si>
  <si>
    <t xml:space="preserve">   Mozgássérültek Fejér Megyei Egyesülete által fenntartott Viktória Rehabilitációs Központ egészségügyi és szociális ellátásának támogatása</t>
  </si>
  <si>
    <t>Pályázat tervezett kiírása</t>
  </si>
  <si>
    <t>Pályázat célja</t>
  </si>
  <si>
    <t>Maximálisan felosztható összeg</t>
  </si>
  <si>
    <t>2020. február 15-ét követően</t>
  </si>
  <si>
    <t>Székesfehérvári gyermekek táboroztatásának és programjainak támogatása</t>
  </si>
  <si>
    <t>Székesfehérváron megvalósuló szociális és esélyegyenlőségi programok támogatása</t>
  </si>
  <si>
    <t>Székesfehérvári civil szervezetek működési költségeinek támogatása</t>
  </si>
  <si>
    <t>Társadalmi Felelősségvállalási Alap felosztása (eFt-ban)</t>
  </si>
  <si>
    <t>Állami hozzájárulás jogcíme</t>
  </si>
  <si>
    <t>2020. évi előirányzat</t>
  </si>
  <si>
    <t>2020. évi költségvetési törvény melléklete</t>
  </si>
  <si>
    <t>Támogatás mértéke (Ft)</t>
  </si>
  <si>
    <t>Jogosultság alapja (fő)</t>
  </si>
  <si>
    <t>Állami hozzájárulás összege (eFt)</t>
  </si>
  <si>
    <t>2. sz. melléklet I.2.</t>
  </si>
  <si>
    <t>Nem közművel összegyűjtött háztartási szennyvíz ártalmatlanítása</t>
  </si>
  <si>
    <t>180 m3</t>
  </si>
  <si>
    <t>2. sz. melléklet II.1.</t>
  </si>
  <si>
    <t>Óvodapedagógusok és az óvodapedagógusok nevelőmunkáját közvetlenül segítők bértámogatása</t>
  </si>
  <si>
    <t>2. sz. melléklet II.2.</t>
  </si>
  <si>
    <t>Óvodaműködtetési támogatás</t>
  </si>
  <si>
    <t>2. sz. melléklet II.4.</t>
  </si>
  <si>
    <t>Kiegészítő támogatás az óvodapedagógusok és pedagógus szakképzettséggel rendelkező segítők minősítéséből adódó többletkiadásokhoz</t>
  </si>
  <si>
    <t>2. sz. melléklet II.5.</t>
  </si>
  <si>
    <t>Nemzetiségi pótlék</t>
  </si>
  <si>
    <t>2. sz. melléklet III.2.a)</t>
  </si>
  <si>
    <t>Család - és gyermekjóléti szolgálat</t>
  </si>
  <si>
    <t>2. sz. melléklet III.2.b)</t>
  </si>
  <si>
    <t>Család- és gyermekjóléti központ</t>
  </si>
  <si>
    <t>2. sz. melléklet III.2.c)</t>
  </si>
  <si>
    <t>Szociális étkeztetés</t>
  </si>
  <si>
    <t>2. sz. melléklet III.2.da)</t>
  </si>
  <si>
    <t>Házi segítségnyújtás-szociális segítség</t>
  </si>
  <si>
    <t>2. sz. melléklet III.2.db)</t>
  </si>
  <si>
    <t>Házi segítségnyújtás-személyi gondozás</t>
  </si>
  <si>
    <t>2. sz. melléklet III.2.f)</t>
  </si>
  <si>
    <t>Időskorúak nappali intézményi ellátása</t>
  </si>
  <si>
    <t>2. sz. melléklet III.2.g)</t>
  </si>
  <si>
    <t>Fogyatékos és demens személyek nappali intézményi ellátása</t>
  </si>
  <si>
    <t>2. sz. melléklet III.2.i)</t>
  </si>
  <si>
    <t>Hajléktalanok nappali intézményi ellátása</t>
  </si>
  <si>
    <t>2. sz. melléklet III.2.k)</t>
  </si>
  <si>
    <t>Hajléktalanok átmeneti intézményei</t>
  </si>
  <si>
    <t>2. sz. melléklet III.2.n)</t>
  </si>
  <si>
    <t>Óvodai és iskolai szociális segítő tevékenység támogatása</t>
  </si>
  <si>
    <t>2. sz. melléklet III.4.a)</t>
  </si>
  <si>
    <t>A települési önkormányzatok által biztosított egyes szociális szakosított ellátások, valamint a gyermekek átmeneti gondosásával kapcsolatos feladatok támogatása- A finanszírozás szempontjából elismert szakmai dolgozók bértámogatása</t>
  </si>
  <si>
    <t>2. sz. melléklet III.4.b)</t>
  </si>
  <si>
    <t>A települési önkormányzatok által biztosított egyes szociális szakosított ellátások, valamint a gyermekek átmeneti gondosásával kapcsolatos feladatok támogatása- Intézményüzemeltetési támogatás</t>
  </si>
  <si>
    <t>2. sz. melléklet III.5.aa)</t>
  </si>
  <si>
    <t>Intézményi gyermekétkeztetés támogatása - Az intézményi gyermekétkeztetés kapcsán az étkeztetési feladatot ellátók után járó bértámogatás</t>
  </si>
  <si>
    <t>2. sz. melléklet III.5.ab)</t>
  </si>
  <si>
    <t>Intézményi gyermekétkeztetés támogatása - Az intézményi gyermekétkeztetés üzemeltetési támogatása</t>
  </si>
  <si>
    <t>2. sz. melléklet III.5.b)</t>
  </si>
  <si>
    <t>A rászoruló gyermekek szünidei étkeztetésének támogatása</t>
  </si>
  <si>
    <t>2. sz. melléklet III.3.a)</t>
  </si>
  <si>
    <t>Bölcsőde, mini bölcsőde támogatása - A finanszírozás szempontjából elismert szakmai dolgozók bértámogatása</t>
  </si>
  <si>
    <t>2. sz. melléklet III.3.b)</t>
  </si>
  <si>
    <t>Bölcsődei üzemeltetési támogatás</t>
  </si>
  <si>
    <t xml:space="preserve">2. sz. melléklet IV.1.a) </t>
  </si>
  <si>
    <t>Megyeszékhely megyei jogú városok közművelődési feladatainak támogatása</t>
  </si>
  <si>
    <t>2. sz. melléklet IV.1.e)</t>
  </si>
  <si>
    <t>Megyei hatókörű városi könyvtár kistelepülési könyvtári célú kiegészítő támogatása</t>
  </si>
  <si>
    <t>2. sz. melléklet összesen:</t>
  </si>
  <si>
    <t xml:space="preserve">3. sz. melléklet I.13.a) </t>
  </si>
  <si>
    <t>Települési önkormányzatok kulturális feladatainak kiegészítő támogatása -Megyei hatókörű városi múzeumok feladatainak támogatása</t>
  </si>
  <si>
    <t xml:space="preserve">3. sz. melléklet I.13.b) </t>
  </si>
  <si>
    <t>Települési önkormányzatok kulturális feladatainak kiegészítő támogatása - Megyei hatókörű városi könyvtárak feladatainak támogatása</t>
  </si>
  <si>
    <t xml:space="preserve">3. sz. melléklet I.13.g) </t>
  </si>
  <si>
    <t>Települési önkormányzatok kulturális feladatainak kiegészítő támogatása - Zeneművészeti szervezetek támogatása</t>
  </si>
  <si>
    <t>3. sz. melléklet I.13.e)</t>
  </si>
  <si>
    <t>Települési önkormányzatok kulturális feladatainak kiegészítő támogatása - Színházművészeti szervezetek támogatása</t>
  </si>
  <si>
    <t>3. sz. melléklet I.13.d)</t>
  </si>
  <si>
    <t>Települési önkormányzatok kulturális feladatainak kiegészítő támogatása - érdekeltségnövelő támogatás</t>
  </si>
  <si>
    <t>3. számú melléklet összesen</t>
  </si>
  <si>
    <t>2020. évi központi költségvetésből 
származó  állami hozzájárulás (eFt-ban)</t>
  </si>
  <si>
    <t>Székesfehérvár Mancz János Bölcsőde kialakítása</t>
  </si>
  <si>
    <t xml:space="preserve">   Nyitnikék Bölcsőde - Tetőhéjazat csere</t>
  </si>
  <si>
    <t xml:space="preserve">   Nyitnikék Bölcsőde - Medencetér felújítás</t>
  </si>
  <si>
    <t xml:space="preserve">   Saára Gyula program - Csapadékvíz elvezetése, árvíz-belvíz védekezés </t>
  </si>
  <si>
    <t xml:space="preserve">   Saára Gyula program - Útépítések, felújítások</t>
  </si>
  <si>
    <t>önk:26750 K:3500</t>
  </si>
  <si>
    <t xml:space="preserve">   Székesfehérvári Városfejlesztési Közhasznú Nonprofit Kft.- Ingatlangazdálkodási kiadások lakás és nem lakás célú felújítási kerettel (Székesfehérvár Megyei Jogú Város Önkormányzat Közgyűlése hatáskörében eljáró Székesfehérvár Megyei Jogú Város Polgármesterének 143/2020. (V.21.) számú határozata alapján)</t>
  </si>
  <si>
    <t xml:space="preserve">   Székesfehérvár Városgondnoksága Kft. (Székesfehérvár Megyei Jogú Város Önkormányzat Közgyűlése hatáskörében eljáró Székesfehérvár Megyei Jogú Város Polgármesterének 142/2020. (V. 21.) számú határozata alapján)</t>
  </si>
  <si>
    <t xml:space="preserve">   Önkormányzati Informatikai Központ Nonprofit Kft. (Székesfehérvár Megyei Jogú Város Önkormányzat Közgyűlése hatáskörében eljáró Székesfehérvár Megyei Jogú Város Polgármesterének 131/2020. (V.20.) számú határozata alapján)</t>
  </si>
  <si>
    <t>~ Intézményhez lebontva</t>
  </si>
  <si>
    <t xml:space="preserve">   Költségvetési szervek működési költségeinek  tartalék kerete, valamint az új illetve átszervezéssel érintett intézmények megalakulásával és átszervezésével kapcsolatos eseti költségeinek fedezetére (Könyvtári érdekeltségnövelő támogatás)</t>
  </si>
  <si>
    <t xml:space="preserve">   Intézményi kafetéria juttatás fedezetére</t>
  </si>
  <si>
    <t xml:space="preserve">   Jubileumi jutalom, jogszabályból fakadó személyi jellegű többlet kifizetések kerete</t>
  </si>
  <si>
    <t xml:space="preserve">   Kistelepülési könyvtári és közművelődési kiegészítő támogatás (Vörösmarty Mihály Könyvtár)</t>
  </si>
  <si>
    <t>~ Bevétel miatti csökkenés</t>
  </si>
  <si>
    <t xml:space="preserve">   Szociális ágazati összevont pótlék</t>
  </si>
  <si>
    <t xml:space="preserve">   Szociális ágazatban egészségügyi végzettséghez kötött munkakörben foglalkoztatottak egészségügyi kiegészítő pótléka</t>
  </si>
  <si>
    <t xml:space="preserve">   Kulturális illetménypótlék</t>
  </si>
  <si>
    <t xml:space="preserve">   Költségvetési szerveknél foglalkoztatottak bérkompenzációja</t>
  </si>
  <si>
    <t xml:space="preserve">   Önkormányzati feladatellátást szolgáló támogatási keret (HSZI - Székesfehérvár Megyei Jogú Város Önkormányzat Közgyűlése hatáskörében eljáró Székesfehérvár Megyei Jogú Város Polgármesterének   159/2020. (V.27.) számú határozata alapján)</t>
  </si>
  <si>
    <t xml:space="preserve">   Költségvetési szervek működési költségeinek  tartalék kerete, valamint az új illetve átszervezéssel érintett intézmények megalakulásával és átszervezésével kapcsolatos eseti költségeinek fedezetére (Intézményi műkdéshez kapcsolódó kiadások, óvodák, bölcsődék eszközbeszerzés, karbantartás)</t>
  </si>
  <si>
    <t xml:space="preserve">   Költségvetési szervek működési költségeinek  tartalék kerete, valamint az új illetve átszervezéssel érintett intézmények megalakulásával és átszervezésével kapcsolatos eseti költségeinek fedezetére (Álláshely létesítés- Kossuth Zsuzsanna Szociális Intézmény)</t>
  </si>
  <si>
    <t xml:space="preserve">   Költségvetési szervek működési költségeinek  tartalék kerete, valamint az új illetve átszervezéssel érintett intézmények megalakulásával és átszervezésével kapcsolatos eseti költségeinek fedezetére (Költöztetéssel kapcsolatos keret biztosítása - Belvárosi Brunsvik Teréz, Rákóczi úti, Tolnai úti Óvodák)</t>
  </si>
  <si>
    <t xml:space="preserve">   Költségvetési szervek működési költségeinek  tartalék kerete, valamint az új illetve átszervezéssel érintett intézmények megalakulásával és átszervezésével kapcsolatos eseti költségeinek fedezetére (Humán járvány kezeléséhez kapcsolódó jutalomkeret)</t>
  </si>
  <si>
    <t xml:space="preserve">   Költségvetési szervek működési költségeinek  tartalék kerete, valamint az új illetve átszervezéssel érintett intézmények megalakulásával és átszervezésével kapcsolatos eseti költségeinek fedezetére (Humán járvány kezeléséhez kapcsolódó egyszeri juttatás)</t>
  </si>
  <si>
    <t xml:space="preserve">   Költségvetési szervek működési költségeinek  tartalék kerete, valamint az új illetve átszervezéssel érintett intézmények megalakulásával és átszervezésével kapcsolatos eseti költségeinek fedezetére (Intézményi működéshez kapcsolódó átcsoportosítás - PH)</t>
  </si>
  <si>
    <t xml:space="preserve">   Költségvetési szervek működési költségeinek  tartalék kerete, valamint az új illetve átszervezéssel érintett intézmények megalakulásával és átszervezésével kapcsolatos eseti költségeinek fedezetére (Intézményi működéshez kapcsolódó átcsoportosítás - Alba Regia Szimfonikus Zenekar)</t>
  </si>
  <si>
    <t>~Intézményhez lebontva</t>
  </si>
  <si>
    <t xml:space="preserve">   2020. február 3. napján megvalósult Wallenberg nyomán c. vetélkedő megrendezésével összefüggő dologi kiadásoka - Városi Levéltár)</t>
  </si>
  <si>
    <t xml:space="preserve">   A Fehérvári Nótaklub által 2020. évben megvalósításra kerülő programokhoz kapcsolódó költségekhez (Székesfehérvári Közösségi és Kulturális Központ)</t>
  </si>
  <si>
    <t xml:space="preserve">   A Víz világnapja alkalmából 2020. évben megvalósításra kerülő programokhoz kapcolódó költségekhez (Árpád úti Óvoda)</t>
  </si>
  <si>
    <t xml:space="preserve">   Budai úti Tagkönyvtárnak 2020. évben megvalósuló programjaihoz kapcsolódó költségekhez (Vörösmarty Könyvtár)</t>
  </si>
  <si>
    <t xml:space="preserve">   Tolnai úti Tagkönyvtárnak 2020. évben megvalósuló programjaihoz kapcsolódó költségekhez (Vörösmarty Könyvtár)</t>
  </si>
  <si>
    <t xml:space="preserve">   Költségvetési szervek működési költségeinek  tartalék kerete, valamint az új illetve átszervezéssel érintett intézmények megalakulásával és átszervezésével kapcsolatos eseti költségeinek fedezetére (Feladatellátáshoz szükséges gépjármű vásárlására - Alba Bástya Család- és Gyermekjóléti Központ)</t>
  </si>
  <si>
    <t xml:space="preserve">   Székesfehérvár Városgondnoksága Kft. </t>
  </si>
  <si>
    <t xml:space="preserve">   Fehérvári Programszervező Kft. </t>
  </si>
  <si>
    <t>~ 2019. évi kötelezettséggel terhelt maradvány</t>
  </si>
  <si>
    <t>~Bérkompenzáció (2019.XII. ; 2020.I.; II.;III. havi)</t>
  </si>
  <si>
    <t>~ 2020. 07.01-től érvényes járulékcsökkentés kihatásának rendezése</t>
  </si>
  <si>
    <t>~ Keresetkiegészítés rendezése</t>
  </si>
  <si>
    <t>~ Jogszabályból fakadó személyi jellegű többletkifizetések ( jubileumi jutalom, szabadságmegváltás, dupla bér)</t>
  </si>
  <si>
    <t>~ Intézményfinanszírozás módosítása</t>
  </si>
  <si>
    <t>~ Humán járvány kezeléséhez kapcsolódó jutalomkeret</t>
  </si>
  <si>
    <t>~ Humán járvány megelőzése, következményeinek elhárítása. Székesfehérvár Megyei Jogú Város Önkormányzat Közgyűlése hatáskörében eljáró Székesfehérvár Megyei Jogú Város Polgármesterének 159/2020. (V.27.) határozata alapján, keret visszavonás</t>
  </si>
  <si>
    <t>~ Cafetéria ( I.,II.,III.,IV. havi)</t>
  </si>
  <si>
    <t>~ Szociális ágazati összevont pótlék (2020.I.,II.,III.,IV. havi)</t>
  </si>
  <si>
    <t>Módosított  előirányzat</t>
  </si>
  <si>
    <t>~ Intézményi működéshez kapcsolódó kiadások (eszközbeszerzés, karbantartás)</t>
  </si>
  <si>
    <t>~ Humán járvány kezeléséhez kapcsolódó egyszeri juttatás</t>
  </si>
  <si>
    <t>~ A Víz Világnapja alkalmából 2020. évben megvalósításra kerülő programokhoz kapcsolódó személyi és dologi költségekhez (Képviselői Alap)</t>
  </si>
  <si>
    <t>~ Költöztetéssel kapcsolatos keret biztosítása</t>
  </si>
  <si>
    <t xml:space="preserve"> Módosított előirányzat</t>
  </si>
  <si>
    <t>Módosíott előirányzat</t>
  </si>
  <si>
    <t>~ Egészségügyi kiegészítő pótlék (2020.I.,II.,III.,IV. havi)</t>
  </si>
  <si>
    <t>~ Álláshely létesítése 07.01. napjától</t>
  </si>
  <si>
    <t>~ Feladatellátáshoz szükséges gépjármű vásárlására</t>
  </si>
  <si>
    <t>~ Kulturális illetménypótlék (2020.I.,II.,III.,IV. havi)</t>
  </si>
  <si>
    <t>~ 2020. február 3. napján megvalósult Wallenberg nyomán c. vetélkedő megrendezésével összefüggő dologi kiadások támogatására (Polgármesteri Keret)</t>
  </si>
  <si>
    <t>~ Kistelepülési könyvtári és közművelődési kiegészítő támogatás (központi)</t>
  </si>
  <si>
    <t>~ Könyvtári érdekeltségnövelő támogatás</t>
  </si>
  <si>
    <t>~ A Budai Úti Tagkönyvtár 2020. évben megvalósuló programjaihoz és tárgyi eszköz beszerzéseihez kapcsolódó személyi és dologi költségekhez (Képviselői Alap)</t>
  </si>
  <si>
    <t>~ A Tolnai Úti Tagkönyvtár 2020. évben megvalósuló programjaihoz és tárgyi eszköz beszerzéseihez kapcsolódó személyi és dologi költségekhez (Képviselői Alap)</t>
  </si>
  <si>
    <t>~ Főösszeget érintő saját hatáskörű átcsoportosítás</t>
  </si>
  <si>
    <t>~ Előadóművészeti szervezetek működésével kapcsolatos előirányzat rendezés</t>
  </si>
  <si>
    <t>~ Intézményi működéssel kapcsolatos átcsoportosítás</t>
  </si>
  <si>
    <t>~ Cafetéria ( I.,II.,III.,IV.V. VI. havi)</t>
  </si>
  <si>
    <t>~ Állammal közös fenntartásra vonatkozó megállapodás szerinti előirányzat rendezés</t>
  </si>
  <si>
    <t>~ A Fehérvári Nóta Klub által 2020. évben megvalósításra kerülő programokhoz kapcsolódó személyi és dologi költségekhez (Képviselői Alap)</t>
  </si>
  <si>
    <t>~ A Fehérvári Nóta Klub által 2020. évben megvalósításra kerülő programokhoz kapcsolódó személyi és dologi költségekhez (Polgármesteri Keret)</t>
  </si>
  <si>
    <t>~ Személyügyi kiadások rendezése</t>
  </si>
  <si>
    <t>~ 2019. évi kötelezettséggel terhelt maradvány (Intéznények)</t>
  </si>
  <si>
    <t>~ Főösszeget nem érintő saját hatáskörű átcsoportosítás (Polgármesteri Hivatal)</t>
  </si>
  <si>
    <t>~ 2019. évi kötelezettséggel terhelt maradvány (Polgármesteri Hivatal)</t>
  </si>
  <si>
    <t>~ Intézményi működéshez kapcsolódó kiadások (eszközbeszerzés, karbantartás)Bölcsődék, Óvodák</t>
  </si>
  <si>
    <t>~ Kistelepülési könyvtári és közművelődési kiegészítő támogatás (központi) Vörösmarty Könyvtár</t>
  </si>
  <si>
    <t>~ Személyügyi kiadások rendezése (Polgármesteri Hivatal)</t>
  </si>
  <si>
    <t>~ Álláshely létesítése 07.01. napjától (Kossuth Zsuzsanna Szociális Intézmény)</t>
  </si>
  <si>
    <t>~ Költöztetéssel kapcsolatos keret biztosítása (Belvárosi, Rákóczi, Tolnai Óvoda)</t>
  </si>
  <si>
    <t>~ Humán járvány kezeléséhez kapcsolódó jutalomkeret (HSZI, Frim Jakab Képességfejlesztő, Százszroszép Bölcsőde, Napraforgó Bölcsőde, Szárazréti Óvoda, Kossuth Zsuzsanna Szoc.Int., Alba Bástya, Kríziskezelő )</t>
  </si>
  <si>
    <t>~ Humán járvány kezeléséhez kapcsolódó egyszeri juttatás (Mesevilág Bölcsőde, Napsugár Óvoda, Tolnai Úti Óvoda)</t>
  </si>
  <si>
    <t>~ Humán járvány megelőzése, következményeinek elhárítása. Székesfehérvár Megyei Jogú Város Önkormányzat Közgyűlése hatáskörében eljáró Székesfehérvár Megyei Jogú Város Polgármesterének 159/2020. (V.27.)  határozata alapján keret visszavonás</t>
  </si>
  <si>
    <t>~ Könyvtári érdekeltségnövelő támogatás (Vörösmarty Könyvtár- központ támogatás)</t>
  </si>
  <si>
    <t>~ Feladatellátáshoz szükséges gépjármű vásárlására (Alba Bástya Család-és Gyermekjóléti Központ)</t>
  </si>
  <si>
    <t>~ 2019. évi kötelezettséggel terhelt maradvány (Intézmények)</t>
  </si>
  <si>
    <t>~ Képviselői Alapok</t>
  </si>
  <si>
    <t>~ Polgármesteri Keret</t>
  </si>
  <si>
    <t>~ Intézményi működéssel kapcsolatos átcsoportosítás (Alba Regia Szimfonikus Zenekar)</t>
  </si>
  <si>
    <t>~ Intézményi működéssel kapcsolatos átcsoportosítás (Székesfehérvári Balett Színház)</t>
  </si>
  <si>
    <t>~ Intézményi működéssel kapcsolatos átcsoportosítás (Vörösmarty Színház)</t>
  </si>
  <si>
    <t>~ Állammal közös fenntartásra vonatkozó megállapodás szerinti előirányzat rendezés ( Vörösmarty Színház)</t>
  </si>
  <si>
    <t>~ Intézményi működéssel kapcsolatos átcsoportosítás (Polgármesteri Hivatal)</t>
  </si>
  <si>
    <t>~ Előadóművészeti szervezetek működésével kapcsolatos előirányzat rendezés (Balett, Zenekar,Színház )</t>
  </si>
  <si>
    <t>~ Bérkompenzáció (2019. XII., 2020. I.; II.; III. havi)</t>
  </si>
  <si>
    <t>~ Szociális ágazati összevont pótlék (2020. I., II.,III.,IV. havi)</t>
  </si>
  <si>
    <t>~ Intézményi működéshez kapcsolódó kiadások ( eszközbeszerzés, karbantartás)</t>
  </si>
  <si>
    <t>~ A Víz világnapja alkalmából 2020. évben megvalósításra kerülő programokhoz kapcsolódó személyi és dologi költségekhez (Képviselői Alap)</t>
  </si>
  <si>
    <t>~ Költöztetéshez kapcsolódó keret biztosítása</t>
  </si>
  <si>
    <t>~ Egészségügyi kiegészítő pótlék (2020.I.,II.,III.,Iv. havi)</t>
  </si>
  <si>
    <t>~ Humán járvány megelőzése, következményeinek elhárítása. Székesfehérvár Megyei Jogú Város Önkormányzat Közgyűlése hatáskörében eljáró Székesfehérvár Megyei Jogú Város Polgármesterének 159/2020. (V.27.) határozata alapján,  keret visszavonás</t>
  </si>
  <si>
    <t>~ A Budai Úti Tagkönyvtárának 2020. évben megvalósuló programjaihoz és tárgyi eszköz beszerzéseihez kapcsolódó személyi és dologi költségekhez (Képvisleői Alap)</t>
  </si>
  <si>
    <t>~ A Tolnai Úti Tagkönyvtárának 2020. évben megvalósuló programjaihoz és tárgyi eszköz beszerzéseihez kapcsolódó személyi és dologi költségekhez (Képviselői Alap)</t>
  </si>
  <si>
    <t>~ Cafetéria ( I.,II.,III.,IV. V., VI. havi)</t>
  </si>
  <si>
    <t>~ Állammal közös fenntartásra vonatkozó megállapodás szerinti előirányzat rendezése</t>
  </si>
  <si>
    <t>~ Főösszeget nem érintő átcsoportosítások</t>
  </si>
  <si>
    <t>~ Humán járvány megelőzése, következményeinek elhárítása. Székesfehérvár Megyei Jogú Város Önkormányzat Közgyűlése hatáskörében eljáró Székesfehérvár Megyei Jogú Város Polgármesterének 159/2020. (V.27.) határozata alapján adott keret visszavonása</t>
  </si>
  <si>
    <t>~ Intézményi működéshez kapcsolódó kiadások ( eszközbeszerzés, karbantartás)Bölcsődék, Óvodák</t>
  </si>
  <si>
    <t>~ Főösszeget nem érintő átcsoportosítások (Polgármesteri Hivatal)</t>
  </si>
  <si>
    <t>~ Költöztetéshez kapcsolódó keret biztosítása (Belvárosi, Rákóczi és Tolnai Óvoda)</t>
  </si>
  <si>
    <t>~ Humán járvány kezeléséhez kapcsolódó egyszeri juttatás (Mesevilág Bölcsőde, Napsugár Óvoda és Tolnai Úti Óvoda)</t>
  </si>
  <si>
    <t>~ Humán járvány megelőzése, következményeinek elhárítása. Székesfehérvár Megyei Jogú Város Önkormányzat Közgyűlése hatáskörében eljáró Székesfehérvár Megyei Jogú Város Polgármesterének 159/2020. (V.27.) határozat alapján,  keret visszavonása.</t>
  </si>
  <si>
    <t>~ Könyvtári érdekeltségnövelő támogatás (Vörösmarty  Könyvtár- központi támogatás)</t>
  </si>
  <si>
    <t>~ Intézményi működéssel kapcsolatos átcsoportosítás ( Alba Regia Szimfonikus Zenekar)</t>
  </si>
  <si>
    <t>~ Állammal közös fenntartásra vonatkozó megállapodás szerinti előirányzat rendezése (Vörösmarty Színház)</t>
  </si>
  <si>
    <t>~ Előadóművészeti szervezetek működésével kapcsolatos előirányzat rendezés (Zenekar, Balett, Színház)</t>
  </si>
  <si>
    <t>álláshely</t>
  </si>
  <si>
    <t>2020. január 1.</t>
  </si>
  <si>
    <t>2020. június 15.</t>
  </si>
  <si>
    <t>2020. július 1.</t>
  </si>
  <si>
    <t>2020. szeptember 1.</t>
  </si>
  <si>
    <t xml:space="preserve"> Eü. ellátás összesen</t>
  </si>
  <si>
    <t>Nyítnikék Bölcsőde</t>
  </si>
  <si>
    <t>Belvárosi Brunszvik Teréz Óvoda</t>
  </si>
  <si>
    <t>Gyöngyvirág Óvoda-Székesfehérvár</t>
  </si>
  <si>
    <t xml:space="preserve">Humán Szolgáltató összesen </t>
  </si>
  <si>
    <t>Székesfehérvári Intézményi Központ</t>
  </si>
  <si>
    <t>A Szabadművelődés Háza</t>
  </si>
  <si>
    <t>Kulturális ellátás összesen</t>
  </si>
  <si>
    <t>Költségvetési szervek összesen:</t>
  </si>
  <si>
    <t>Több éves kihatással járó jelentősebb döntések</t>
  </si>
  <si>
    <t>(eFt-ban)</t>
  </si>
  <si>
    <t>2020. augusztus 31-ét követően</t>
  </si>
  <si>
    <t>az 1-2. sorszámú pályázatokon fel nem osztott összeg</t>
  </si>
  <si>
    <t xml:space="preserve">   MOL Aréna Sóstó üzemeltetési feladatainak ellátására (Székesfehérvári Városfejlesztési Kft.)  </t>
  </si>
  <si>
    <t>4m ktgv.szervek oszlop (Ny.Ildi száma)</t>
  </si>
  <si>
    <t>Különbözet alapján</t>
  </si>
  <si>
    <t>11m</t>
  </si>
  <si>
    <t>11m.</t>
  </si>
  <si>
    <t xml:space="preserve">                  - ebből: osztalékbevétel</t>
  </si>
  <si>
    <t>~ Főösszeget nem érintő előirányzat rendezés ( Előadóművészeti többlettámogatás)</t>
  </si>
  <si>
    <t>~ Főösszeget nem érintő előirányzat rendezés ( Előadóművészeti többlettámogatás)- Székesfehérvári Balett Színház</t>
  </si>
  <si>
    <t>11.m.</t>
  </si>
  <si>
    <t xml:space="preserve">            Önkormányzati feladatellátás és bevételkiesés fedezetére szolgáló keret</t>
  </si>
  <si>
    <t xml:space="preserve">   Általános tartalék</t>
  </si>
  <si>
    <r>
      <t xml:space="preserve">   Székesfehérvári Turisztikai Közhasznú Nonprofit Kft. - működéshez </t>
    </r>
    <r>
      <rPr>
        <sz val="12"/>
        <rFont val="Times New Roman CE"/>
        <charset val="238"/>
      </rPr>
      <t>(Székesfehérvár Megyei Jogú Város Önkormányzat Közgyűlése 
hatáskörében eljáró Székesfehérvár Megyei Jogú Város Polgármesterének 59/2020. (IV. 8.) számú határozata alapján)</t>
    </r>
  </si>
  <si>
    <t>Önerő keret (Székesfehérvár Megyei Jogú Város Önkormányzat Közgyűlése hatáskörében eljáró Székesfehérvár Megyei Jogú Város Polgármesterének 168/2020. (VI.02.) számú határozata alapján)</t>
  </si>
  <si>
    <t xml:space="preserve">   Mancz János Bölcsőde kialakítása (Székesfehérvár Megyei Jogú Város Önkormányzat Közgyűlése hatáskörében eljáró Székesfehérvár Megyei Jogú Város Polgármesterének 168/2020. (VI.02.) számú határozata alapján)</t>
  </si>
  <si>
    <t xml:space="preserve">   Sportcsarnok, egyéb létesítmények, felszíni parkolók, zöldfelület építésének önkormányzati önrésze 233/2019.(IV.26.) kgy.hat.alapján)</t>
  </si>
  <si>
    <t xml:space="preserve">   Laroco Motorsport Klub Veszprém-Fehérvár rally megrendezése</t>
  </si>
  <si>
    <t xml:space="preserve">   Track&amp;Race - Sportügynökség Korlátolt Felelősségű Társaság - "Gyulai István Memorial-Atlétikai Magyar Nagydíj" </t>
  </si>
  <si>
    <t xml:space="preserve">   Alba Regia Atlétikai Klub - Országos atlétikai versenyek megrendezésére</t>
  </si>
  <si>
    <t xml:space="preserve">   Felsővárosi Fésüs Röplabda Akadémia Fehérvár</t>
  </si>
  <si>
    <t xml:space="preserve">   Magyar Labdarúgó Szövetség Fejér Megyei Igazgatósága - "Alba Liga" kispályás labdarúgó bajnokság támogatása</t>
  </si>
  <si>
    <t xml:space="preserve">   MÁV Előre Sport Club </t>
  </si>
  <si>
    <t xml:space="preserve">   Fehérvár Enthroners Sportegyesület</t>
  </si>
  <si>
    <t xml:space="preserve">   Fehérvár Frizbi Sportegyesület</t>
  </si>
  <si>
    <t xml:space="preserve">   Fehérvár Sakk Sportegyesület</t>
  </si>
  <si>
    <t xml:space="preserve">   Free Spirit Tánc-Sport Egyesület</t>
  </si>
  <si>
    <t xml:space="preserve">   Alba Triatlon és Szabadidő Sprtegyesület - triatlon és futóverseny szervezése</t>
  </si>
  <si>
    <t xml:space="preserve">   Felsővárosi Fésüs Röplabda Akadémia Fehérvár (234/2019. (IV.26.) kgy. határozat alapján</t>
  </si>
  <si>
    <t>~ Közművelődési feladatokat ellátó szervezetek működésével kapcsolatos előirányzat rendezés</t>
  </si>
  <si>
    <t>~ Közművelődési feladatokat ellátó szervezetek működésével kapcsolatos előirányzat rendezés (Múzeum. Székesfehérvári Közösségi Központ)</t>
  </si>
  <si>
    <t>~ Közművelődési feladatokat ellátó szervezetek működésével kapcsolatos előirányzat rendezés (Múzeum, Szfvári Közösségi Központ)</t>
  </si>
  <si>
    <t xml:space="preserve">   Egyéb létesítmények, helyiségek bérleti díja</t>
  </si>
  <si>
    <t xml:space="preserve">   Önkormányzati feladatellátás és bevételkiesés fedezetére szolgáló keret</t>
  </si>
  <si>
    <t xml:space="preserve">   Önkormányzati feladatellátás és bevételkiesés fedezetére szolgáló keret (Diáksportkör kiadásai)</t>
  </si>
  <si>
    <t xml:space="preserve">   Önkormányzati feladatellátás és bevételkiesés fedezetére szolgáló keret (Sportcélok és feladatok)</t>
  </si>
  <si>
    <t xml:space="preserve">   Önkormányzati feladatellátás és bevételkiesés fedezetére szolgáló keret (Fejlesztési kiadások)</t>
  </si>
  <si>
    <t xml:space="preserve">   Önkormányzati feladatellátás és bevételkiesés fedezetére szolgáló keret (Költségvetési szerveket érintő felújítási, fejlesztési kiadások)</t>
  </si>
  <si>
    <t xml:space="preserve">   Önkormányzati feladatellátás és bevételkiesés fedezetére szolgáló keret  (Fejlesztési kiadások)</t>
  </si>
  <si>
    <t xml:space="preserve">   Önkormányzati feladatellátás és bevételkiesés fedezetére szolgáló keret (Központi támogatások és szerződéses kötelmek elszámolási kerete)</t>
  </si>
  <si>
    <t xml:space="preserve">   Önkormányzati feladatellátás és bevételkiesés fedezetére szolgáló keret (Jogszabályokhoz, jogszabályváltozásokhoz kapcsolódó finanszírozási keret)</t>
  </si>
  <si>
    <t xml:space="preserve">   Önkormányzati feladatellátás és bevételkiesés fedezetére szolgáló keret (Társadalmi kapcsolatok kiadásai)</t>
  </si>
  <si>
    <t xml:space="preserve">   Önkormányzati feladatellátás és bevételkiesés fedezetére szolgáló keret (Nemzetközi kapcsolatok)</t>
  </si>
  <si>
    <t xml:space="preserve">   Önkormányzati feladatellátás és bevételkiesés fedezetére szolgáló keret (Informatikai fejlesztés)</t>
  </si>
  <si>
    <t xml:space="preserve">   Önkormányzati feladatellátás és bevételkiesés fedezetére szolgáló keret (Térfigyelő kamerarendszer bővítése (Közbiztonság növelését szolgáló fejlesztések megvalósítása)</t>
  </si>
  <si>
    <t xml:space="preserve">   Önkormányzati feladatellátás és bevételkiesés fedezetére szolgáló keret (KERT-EXPO támogatása)</t>
  </si>
  <si>
    <t xml:space="preserve">   Önkormányzati feladatellátás és bevételkiesés fedezetére szolgáló keret (Közoktatási feladatok)</t>
  </si>
  <si>
    <t xml:space="preserve">   Önkormányzati feladatellátás és bevételkiesés fedezetére szolgáló keret (Szociális intézményi és egészségügyi feladatok)</t>
  </si>
  <si>
    <t xml:space="preserve">   Önkormányzati feladatellátás és bevételkiesés fedezetére szolgáló keret (Köztéri alkotások lektorátusi díja)</t>
  </si>
  <si>
    <t xml:space="preserve">   Önkormányzati feladatellátás és bevételkiesés fedezetére szolgáló keret (Közművelődési megállapodások, támogatások)</t>
  </si>
  <si>
    <t xml:space="preserve">   Önkormányzati feladatellátás és bevételkiesés fedezetére szolgáló keret (Kulturális feladatokhoz kapcsolódó egyéb rendezvények)</t>
  </si>
  <si>
    <t xml:space="preserve">   Önkormányzati feladatellátás és bevételkiesés fedezetére szolgáló keret (Sportszakosztályi és csarnoküzemeltetési támogatások)</t>
  </si>
  <si>
    <t xml:space="preserve">   Önkormányzati feladatellátás és bevételkiesés fedezetére szolgáló keret (Sportlétesítményekkel kapcsolatos kiadások)</t>
  </si>
  <si>
    <t xml:space="preserve">   Önkormányzati feladatellátás és bevételkiesés fedezetére szolgáló keret (Egyéb sportcélú támogatások)</t>
  </si>
  <si>
    <t xml:space="preserve">   Önkormányzati feladatellátás és bevételkiesés fedezetére szolgáló keret (Támogatási alapok, keretek)</t>
  </si>
  <si>
    <t xml:space="preserve">   Önkormányzati feladatellátás és bevételkiesés fedezetére szolgáló keret (Vasútmodell kiállítás üzemeltetésének támogatása)</t>
  </si>
  <si>
    <t xml:space="preserve">   Önkormányzati feladatellátás és bevételkiesés fedezetére szolgáló keret (Katonai Főváros Program kerete)</t>
  </si>
  <si>
    <t xml:space="preserve">   Önkormányzati feladatellátás és bevételkiesés fedezetére szolgáló keret (VFA)</t>
  </si>
  <si>
    <t xml:space="preserve">   Önkormányzati feladatellátás és bevételkiesés fedezetére szolgáló keret (Sóstói Stadion bérleti díj - mérkőzések után)</t>
  </si>
  <si>
    <t xml:space="preserve">   Önkormányzati feladatellátás és bevételkiesés fedezetére szolgáló keret (Iparűzési adó)</t>
  </si>
  <si>
    <t xml:space="preserve">   Önkormányzati feladatellátás és bevételkiesés fedezetére szolgáló keret (Széphő Zrt. osztalék kivét -Székesfehérvár Megyei Jogú Város Önkormányzat Közgyűlése hatáskörében eljáró Székesfehérvár Megyei Jogú Város Polgármesterének 132/2020. (V.20.) számú határozata alapján)</t>
  </si>
  <si>
    <t xml:space="preserve">   Önkormányzati feladatellátás és bevételkiesés fedezetére szolgáló keret (Continus Nova Kft. osztalék kivét -Székesfehérvár Megyei Jogú Város Önkormányzat Közgyűlése hatáskörében eljáró Székesfehérvár Megyei Jogú Város Polgármesterének 163/2020. (V.28.) számú határozata alapján)</t>
  </si>
  <si>
    <t xml:space="preserve">   Önkormányzati feladatellátás és bevételkiesés fedezetére szolgáló keret (Székesfehérvár Városgondnoksága Kft.)</t>
  </si>
  <si>
    <t xml:space="preserve">   Önkormányzati feladatellátás és bevételkiesés fedezetére szolgáló keret (Fehérvári Programszervező Kft. )</t>
  </si>
  <si>
    <t xml:space="preserve">   Önkormányzati feladatellátás és bevételkiesés fedezetére szolgáló keret (Székesfehérvár Városgondnoksága Kft.- Székesfehérvár Megyei Jogú Város Önkormányzat Közgyűlése hatáskörében eljáró Székesfehérvár Megyei Jogú Város Polgármesterének 142/2020. (V.21.) számú határozata alapján)</t>
  </si>
  <si>
    <t xml:space="preserve">   Önkormányzati feladatellátás és bevételkiesés fedezetére szolgáló keret (Önkormányzati Informatikai Központ Kft.-  Székesfehérvár Megyei Jogú Város Önkormányzat Közgyűlése hatáskörében eljáró Székesfehérvár Megyei Jogú Város Polgármesterének 131/2020. (V. 20.) számú határozata alapján)</t>
  </si>
  <si>
    <t xml:space="preserve">   Önkormányzati feladatellátás és bevételkiesés fedezetére szolgáló keret (Lakás- és vagyongazdálkodási kiadások - Székesfehérvár Városfejlesztési Nonprofit Kft. -  Székesfehérvár Megyei Jogú Város Önkormányzat Közgyűlése hatáskörében eljáró Székesfehérvár Megyei Jogú Város Polgármesterének 143/2020. (V.21.) számú határozata alapján)</t>
  </si>
  <si>
    <t xml:space="preserve">   Önkormányzati feladatellátás és bevételkiesés fedezetére szolgáló keret (Lakás- és vagyongazdálkodási kiadások - Székesfehérvár Városfejlesztési Nonprofit Kft. Ingatlangazdálkodási kiadások lakás és nem lakás célú felújítási kerettel)</t>
  </si>
  <si>
    <t xml:space="preserve">   Önkormányzati feladatellátás és bevételkiesés fedezetére szolgáló keret (Választott tisztségviselők juttatásai)</t>
  </si>
  <si>
    <t xml:space="preserve">   Önkormányzati feladatellátás és bevételkiesés fedezetére szolgáló keret (Főépítészi kiadások - Településrendezést, településkép védelmet, építészeti értékvédelmet és örökségvédelmet megalapozó dokumentumok, tanulmánytervek, pályázati tervek, tervezési, kutatási szerződések, meghívásos tervpályázatok lebonyolítása, szakmai konferencia)</t>
  </si>
  <si>
    <t xml:space="preserve">   Önkormányzati feladatellátás és bevételkiesés fedezetére szolgáló keret (Főépítészi kiadások - Rendezési terv készítése, meglévő szabályozások módosítása, felülvizsgálata, integrálása, karbantartása)</t>
  </si>
  <si>
    <t xml:space="preserve">   Önkormányzati feladatellátás és bevételkiesés fedezetére szolgáló keret (Helyi közösségi közlekedés finanszírozási kerete)</t>
  </si>
  <si>
    <t xml:space="preserve">   Önkormányzati feladatellátás és bevételkiesés fedezetére szolgáló keret (Intézményi kafetéria juttatás fedezetére)</t>
  </si>
  <si>
    <t xml:space="preserve">   Intézményi kafetéria juttatás fedezetére (Önkormányzati feladatellátás és bevételkiesés fedezetére szolgáló keret)</t>
  </si>
  <si>
    <t xml:space="preserve">   Önkormányzati feladatellátás és bevételkiesés fedezetére szolgáló keret (PH -Székesfehérvár Megyei Jogú Város Önkormányzat Közgyűlése hatáskörében eljáró Székesfehérvár Megyei Jogú Város Polgármesterének 159/2020. (V.27.) számú határozata alapján)</t>
  </si>
  <si>
    <t xml:space="preserve">   Önkormányzati feladatellátás és bevételkiesés fedezetére szolgáló keret  (Alba Bástya - Székesfehérvár Megyei Jogú Város Önkormányzat Közgyűlése hatáskörében eljáró Székesfehérvár Megyei Jogú Város Polgármesterének 159/2020. (V.27.)  számú határozata alapján)</t>
  </si>
  <si>
    <t xml:space="preserve">   Önkormányzati feladatellátás és bevételkiesés fedezetére szolgáló keret (Kossuth Zsuzsanna Szociális Intézmény  - Székesfehérvár Megyei Jogú Város Önkormányzat Közgyűlése hatáskörében eljáró Székesfehérvár Megyei Jogú Város Polgármesterének 159/2020. (V.27.) számú határozata alapján)</t>
  </si>
  <si>
    <t xml:space="preserve">   Önkormányzati feladatellátás és bevételkiesés fedezetére szolgáló keret (2020.07.01-től érvényes járulékcsökkentés kihatásának rendezése - visszavonás)</t>
  </si>
  <si>
    <t xml:space="preserve">   Önkormányzati feladatellátás és bevételkiesés fedezetére szolgáló keret (Keresetkiegészítés rendezése)</t>
  </si>
  <si>
    <t xml:space="preserve">   Önkormányzati feladatellátás és bevételkiesés fedezetére szolgáló keret (Intézményfinanszírozás módosítása)</t>
  </si>
  <si>
    <t xml:space="preserve">   Önkormányzati feladatellátás és bevételkiesés fedezetére szolgáló keret (Személyügyi kiadások rendezése - Polgármesteri Hivatal)</t>
  </si>
  <si>
    <t xml:space="preserve">   Önkormányzati feladatellátás és bevételkiesés fedezetére szolgáló keret (Előadóművészeti szervezetek működésével kapcsolatos előirányzat rendezés)</t>
  </si>
  <si>
    <t xml:space="preserve">   Önkormányzati feladatellátás és bevételkiesés fedezetére szolgáló keret (Intézményi működéssel kapcsolatos átcsoportosítás - Balett Színház)</t>
  </si>
  <si>
    <t xml:space="preserve">   Önkormányzati feladatellátás és bevételkiesés fedezetére szolgáló keret  (Települési onkormányzatok kulturális feladatainak támogatása -Vörösmarty Színház támogatás) </t>
  </si>
  <si>
    <t xml:space="preserve">   Önkormányzati feladatellátás és bevételkiesés fedezetére szolgáló keret  (Állammal közös fenntartásra vonatkozó megállapodás miatti előirányzat rendezés - Vörösmarty Színház )</t>
  </si>
  <si>
    <t xml:space="preserve">   Önkormányzati feladatellátás és bevételkiesés fedezetére szolgáló keret </t>
  </si>
  <si>
    <t>Költségvetési szervek 2020. évi álláshelyeinek meghatározása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</si>
</sst>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F_t_-;\-* #,##0.00\ _F_t_-;_-* &quot;-&quot;??\ _F_t_-;_-@_-"/>
    <numFmt numFmtId="165" formatCode="_-* #,##0_-;\-* #,##0_-;_-* &quot;-&quot;??_-;_-@_-"/>
  </numFmts>
  <fonts count="77" x14ac:knownFonts="1">
    <font>
      <sz val="12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sz val="12"/>
      <name val="Times New Roman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 CE"/>
      <charset val="238"/>
    </font>
    <font>
      <sz val="12"/>
      <color indexed="8"/>
      <name val="Times New Roman"/>
      <family val="2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b/>
      <i/>
      <sz val="12"/>
      <name val="Times New Roman CE"/>
      <charset val="238"/>
    </font>
    <font>
      <i/>
      <sz val="10"/>
      <name val="Arial CE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0"/>
      <name val="Times New Roman CE"/>
      <charset val="238"/>
    </font>
    <font>
      <i/>
      <sz val="12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2"/>
      <name val="Times New Roman CE"/>
    </font>
    <font>
      <b/>
      <sz val="12"/>
      <name val="Times New Roman CE"/>
    </font>
    <font>
      <i/>
      <sz val="12"/>
      <name val="Times New Roman CE"/>
    </font>
    <font>
      <b/>
      <sz val="10"/>
      <name val="Times New Roman CE"/>
      <family val="1"/>
      <charset val="238"/>
    </font>
    <font>
      <b/>
      <sz val="10"/>
      <name val="Times New Roman CE"/>
    </font>
    <font>
      <b/>
      <sz val="11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charset val="238"/>
    </font>
    <font>
      <sz val="10"/>
      <color indexed="8"/>
      <name val="Calibri"/>
      <family val="2"/>
      <charset val="238"/>
    </font>
    <font>
      <b/>
      <sz val="8"/>
      <name val="Times New Roman CE"/>
    </font>
    <font>
      <sz val="10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 CE"/>
      <charset val="238"/>
    </font>
    <font>
      <b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 CE"/>
      <charset val="238"/>
    </font>
    <font>
      <i/>
      <sz val="1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71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30" fillId="3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32" fillId="20" borderId="1" applyNumberFormat="0" applyAlignment="0" applyProtection="0"/>
    <xf numFmtId="0" fontId="23" fillId="21" borderId="2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1" borderId="2" applyNumberFormat="0" applyAlignment="0" applyProtection="0"/>
    <xf numFmtId="0" fontId="23" fillId="21" borderId="2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164" fontId="5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25" fillId="0" borderId="6" applyNumberFormat="0" applyFill="0" applyAlignment="0" applyProtection="0"/>
    <xf numFmtId="0" fontId="18" fillId="7" borderId="1" applyNumberFormat="0" applyAlignment="0" applyProtection="0"/>
    <xf numFmtId="0" fontId="12" fillId="22" borderId="7" applyNumberFormat="0" applyFont="0" applyAlignment="0" applyProtection="0"/>
    <xf numFmtId="0" fontId="34" fillId="22" borderId="7" applyNumberFormat="0" applyFont="0" applyAlignment="0" applyProtection="0"/>
    <xf numFmtId="0" fontId="34" fillId="22" borderId="7" applyNumberFormat="0" applyFont="0" applyAlignment="0" applyProtection="0"/>
    <xf numFmtId="0" fontId="15" fillId="22" borderId="7" applyNumberFormat="0" applyFont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20" borderId="8" applyNumberFormat="0" applyAlignment="0" applyProtection="0"/>
    <xf numFmtId="0" fontId="27" fillId="20" borderId="8" applyNumberFormat="0" applyAlignment="0" applyProtection="0"/>
    <xf numFmtId="0" fontId="27" fillId="20" borderId="8" applyNumberFormat="0" applyAlignment="0" applyProtection="0"/>
    <xf numFmtId="0" fontId="25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1" fillId="23" borderId="0" applyNumberFormat="0" applyBorder="0" applyAlignment="0" applyProtection="0"/>
    <xf numFmtId="0" fontId="53" fillId="0" borderId="0"/>
    <xf numFmtId="0" fontId="15" fillId="0" borderId="0"/>
    <xf numFmtId="0" fontId="34" fillId="0" borderId="0"/>
    <xf numFmtId="0" fontId="34" fillId="0" borderId="0"/>
    <xf numFmtId="0" fontId="15" fillId="0" borderId="0"/>
    <xf numFmtId="0" fontId="12" fillId="0" borderId="0"/>
    <xf numFmtId="0" fontId="34" fillId="0" borderId="0"/>
    <xf numFmtId="0" fontId="52" fillId="0" borderId="0"/>
    <xf numFmtId="0" fontId="16" fillId="0" borderId="0"/>
    <xf numFmtId="0" fontId="34" fillId="0" borderId="0"/>
    <xf numFmtId="0" fontId="5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3" fillId="0" borderId="0"/>
    <xf numFmtId="0" fontId="36" fillId="0" borderId="0"/>
    <xf numFmtId="0" fontId="15" fillId="0" borderId="0"/>
    <xf numFmtId="0" fontId="53" fillId="0" borderId="0"/>
    <xf numFmtId="0" fontId="53" fillId="0" borderId="0"/>
    <xf numFmtId="0" fontId="49" fillId="0" borderId="0"/>
    <xf numFmtId="0" fontId="37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16" fillId="22" borderId="7" applyNumberFormat="0" applyFont="0" applyAlignment="0" applyProtection="0"/>
    <xf numFmtId="0" fontId="27" fillId="20" borderId="8" applyNumberFormat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0" fillId="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19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164" fontId="12" fillId="0" borderId="0" applyFont="0" applyFill="0" applyBorder="0" applyAlignment="0" applyProtection="0"/>
    <xf numFmtId="0" fontId="11" fillId="0" borderId="0"/>
    <xf numFmtId="0" fontId="54" fillId="0" borderId="0"/>
    <xf numFmtId="0" fontId="54" fillId="0" borderId="0"/>
    <xf numFmtId="164" fontId="11" fillId="0" borderId="0" applyFont="0" applyFill="0" applyBorder="0" applyAlignment="0" applyProtection="0"/>
    <xf numFmtId="0" fontId="10" fillId="0" borderId="0"/>
    <xf numFmtId="0" fontId="10" fillId="0" borderId="0"/>
    <xf numFmtId="0" fontId="9" fillId="0" borderId="0"/>
    <xf numFmtId="0" fontId="34" fillId="0" borderId="0"/>
    <xf numFmtId="0" fontId="12" fillId="0" borderId="0"/>
    <xf numFmtId="0" fontId="8" fillId="0" borderId="0"/>
    <xf numFmtId="0" fontId="8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7" borderId="1" applyNumberFormat="0" applyAlignment="0" applyProtection="0"/>
    <xf numFmtId="0" fontId="19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21" borderId="2" applyNumberFormat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12" fillId="22" borderId="7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26" fillId="4" borderId="0" applyNumberFormat="0" applyBorder="0" applyAlignment="0" applyProtection="0"/>
    <xf numFmtId="0" fontId="27" fillId="20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3" borderId="0" applyNumberFormat="0" applyBorder="0" applyAlignment="0" applyProtection="0"/>
    <xf numFmtId="0" fontId="31" fillId="23" borderId="0" applyNumberFormat="0" applyBorder="0" applyAlignment="0" applyProtection="0"/>
    <xf numFmtId="0" fontId="32" fillId="20" borderId="1" applyNumberFormat="0" applyAlignment="0" applyProtection="0"/>
    <xf numFmtId="0" fontId="7" fillId="0" borderId="0"/>
    <xf numFmtId="0" fontId="6" fillId="0" borderId="0"/>
    <xf numFmtId="0" fontId="6" fillId="0" borderId="0"/>
    <xf numFmtId="0" fontId="5" fillId="0" borderId="0"/>
    <xf numFmtId="43" fontId="12" fillId="0" borderId="0" applyFont="0" applyFill="0" applyBorder="0" applyAlignment="0" applyProtection="0"/>
    <xf numFmtId="0" fontId="4" fillId="0" borderId="0"/>
    <xf numFmtId="0" fontId="37" fillId="0" borderId="0"/>
    <xf numFmtId="0" fontId="34" fillId="0" borderId="0"/>
    <xf numFmtId="0" fontId="34" fillId="0" borderId="0"/>
    <xf numFmtId="0" fontId="37" fillId="0" borderId="0"/>
    <xf numFmtId="0" fontId="36" fillId="0" borderId="0"/>
    <xf numFmtId="43" fontId="3" fillId="0" borderId="0" applyFont="0" applyFill="0" applyBorder="0" applyAlignment="0" applyProtection="0"/>
    <xf numFmtId="0" fontId="54" fillId="0" borderId="0"/>
    <xf numFmtId="0" fontId="37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960">
    <xf numFmtId="0" fontId="0" fillId="0" borderId="0" xfId="0"/>
    <xf numFmtId="3" fontId="12" fillId="0" borderId="21" xfId="174" applyNumberFormat="1" applyFont="1" applyFill="1" applyBorder="1"/>
    <xf numFmtId="3" fontId="12" fillId="0" borderId="11" xfId="174" applyNumberFormat="1" applyFont="1" applyFill="1" applyBorder="1"/>
    <xf numFmtId="3" fontId="13" fillId="0" borderId="11" xfId="174" applyNumberFormat="1" applyFont="1" applyFill="1" applyBorder="1"/>
    <xf numFmtId="3" fontId="42" fillId="0" borderId="11" xfId="174" applyNumberFormat="1" applyFont="1" applyFill="1" applyBorder="1"/>
    <xf numFmtId="3" fontId="43" fillId="0" borderId="20" xfId="174" applyNumberFormat="1" applyFont="1" applyFill="1" applyBorder="1"/>
    <xf numFmtId="3" fontId="43" fillId="0" borderId="11" xfId="174" applyNumberFormat="1" applyFont="1" applyFill="1" applyBorder="1"/>
    <xf numFmtId="3" fontId="43" fillId="0" borderId="21" xfId="174" applyNumberFormat="1" applyFont="1" applyFill="1" applyBorder="1"/>
    <xf numFmtId="3" fontId="45" fillId="0" borderId="11" xfId="174" applyNumberFormat="1" applyFont="1" applyFill="1" applyBorder="1"/>
    <xf numFmtId="3" fontId="45" fillId="0" borderId="20" xfId="174" applyNumberFormat="1" applyFont="1" applyFill="1" applyBorder="1"/>
    <xf numFmtId="3" fontId="14" fillId="0" borderId="20" xfId="174" applyNumberFormat="1" applyFont="1" applyFill="1" applyBorder="1"/>
    <xf numFmtId="3" fontId="14" fillId="0" borderId="11" xfId="174" applyNumberFormat="1" applyFont="1" applyFill="1" applyBorder="1"/>
    <xf numFmtId="3" fontId="14" fillId="0" borderId="21" xfId="174" applyNumberFormat="1" applyFont="1" applyFill="1" applyBorder="1"/>
    <xf numFmtId="3" fontId="45" fillId="0" borderId="21" xfId="174" applyNumberFormat="1" applyFont="1" applyFill="1" applyBorder="1"/>
    <xf numFmtId="3" fontId="44" fillId="0" borderId="11" xfId="174" applyNumberFormat="1" applyFont="1" applyFill="1" applyBorder="1"/>
    <xf numFmtId="0" fontId="43" fillId="0" borderId="11" xfId="174" applyFont="1" applyFill="1" applyBorder="1" applyAlignment="1">
      <alignment wrapText="1"/>
    </xf>
    <xf numFmtId="0" fontId="37" fillId="0" borderId="0" xfId="172" applyFont="1" applyFill="1"/>
    <xf numFmtId="3" fontId="13" fillId="0" borderId="19" xfId="174" applyNumberFormat="1" applyFont="1" applyFill="1" applyBorder="1"/>
    <xf numFmtId="3" fontId="13" fillId="0" borderId="36" xfId="174" applyNumberFormat="1" applyFont="1" applyFill="1" applyBorder="1"/>
    <xf numFmtId="3" fontId="13" fillId="0" borderId="37" xfId="174" applyNumberFormat="1" applyFont="1" applyFill="1" applyBorder="1"/>
    <xf numFmtId="3" fontId="13" fillId="0" borderId="10" xfId="174" applyNumberFormat="1" applyFont="1" applyFill="1" applyBorder="1"/>
    <xf numFmtId="3" fontId="12" fillId="0" borderId="38" xfId="174" applyNumberFormat="1" applyFont="1" applyFill="1" applyBorder="1"/>
    <xf numFmtId="3" fontId="12" fillId="0" borderId="39" xfId="174" applyNumberFormat="1" applyFont="1" applyFill="1" applyBorder="1"/>
    <xf numFmtId="3" fontId="13" fillId="0" borderId="38" xfId="174" applyNumberFormat="1" applyFont="1" applyFill="1" applyBorder="1"/>
    <xf numFmtId="3" fontId="42" fillId="0" borderId="40" xfId="174" applyNumberFormat="1" applyFont="1" applyFill="1" applyBorder="1"/>
    <xf numFmtId="3" fontId="42" fillId="0" borderId="41" xfId="174" applyNumberFormat="1" applyFont="1" applyFill="1" applyBorder="1"/>
    <xf numFmtId="3" fontId="42" fillId="0" borderId="10" xfId="174" applyNumberFormat="1" applyFont="1" applyFill="1" applyBorder="1"/>
    <xf numFmtId="3" fontId="45" fillId="0" borderId="10" xfId="174" applyNumberFormat="1" applyFont="1" applyFill="1" applyBorder="1"/>
    <xf numFmtId="3" fontId="42" fillId="0" borderId="0" xfId="174" applyNumberFormat="1" applyFont="1" applyFill="1" applyBorder="1"/>
    <xf numFmtId="3" fontId="38" fillId="0" borderId="0" xfId="172" applyNumberFormat="1" applyFont="1" applyFill="1" applyBorder="1"/>
    <xf numFmtId="3" fontId="39" fillId="0" borderId="24" xfId="172" applyNumberFormat="1" applyFont="1" applyFill="1" applyBorder="1" applyAlignment="1">
      <alignment wrapText="1"/>
    </xf>
    <xf numFmtId="3" fontId="39" fillId="0" borderId="22" xfId="172" applyNumberFormat="1" applyFont="1" applyFill="1" applyBorder="1"/>
    <xf numFmtId="3" fontId="39" fillId="0" borderId="11" xfId="172" applyNumberFormat="1" applyFont="1" applyFill="1" applyBorder="1" applyAlignment="1">
      <alignment wrapText="1"/>
    </xf>
    <xf numFmtId="0" fontId="42" fillId="0" borderId="10" xfId="173" applyFont="1" applyFill="1" applyBorder="1" applyAlignment="1">
      <alignment horizontal="center"/>
    </xf>
    <xf numFmtId="3" fontId="42" fillId="0" borderId="10" xfId="173" applyNumberFormat="1" applyFont="1" applyFill="1" applyBorder="1" applyAlignment="1">
      <alignment horizontal="center" wrapText="1"/>
    </xf>
    <xf numFmtId="0" fontId="12" fillId="0" borderId="0" xfId="173" applyFill="1"/>
    <xf numFmtId="3" fontId="42" fillId="0" borderId="22" xfId="173" applyNumberFormat="1" applyFont="1" applyFill="1" applyBorder="1" applyAlignment="1">
      <alignment wrapText="1"/>
    </xf>
    <xf numFmtId="0" fontId="42" fillId="0" borderId="0" xfId="173" applyFont="1" applyFill="1"/>
    <xf numFmtId="3" fontId="42" fillId="0" borderId="16" xfId="173" applyNumberFormat="1" applyFont="1" applyFill="1" applyBorder="1" applyAlignment="1">
      <alignment wrapText="1"/>
    </xf>
    <xf numFmtId="3" fontId="42" fillId="0" borderId="18" xfId="173" applyNumberFormat="1" applyFont="1" applyFill="1" applyBorder="1"/>
    <xf numFmtId="3" fontId="51" fillId="0" borderId="22" xfId="173" applyNumberFormat="1" applyFont="1" applyFill="1" applyBorder="1" applyAlignment="1">
      <alignment wrapText="1"/>
    </xf>
    <xf numFmtId="3" fontId="51" fillId="0" borderId="25" xfId="173" applyNumberFormat="1" applyFont="1" applyFill="1" applyBorder="1"/>
    <xf numFmtId="0" fontId="51" fillId="0" borderId="0" xfId="173" applyFont="1" applyFill="1"/>
    <xf numFmtId="3" fontId="43" fillId="0" borderId="25" xfId="173" applyNumberFormat="1" applyFont="1" applyFill="1" applyBorder="1"/>
    <xf numFmtId="3" fontId="51" fillId="0" borderId="77" xfId="173" applyNumberFormat="1" applyFont="1" applyFill="1" applyBorder="1" applyAlignment="1">
      <alignment wrapText="1"/>
    </xf>
    <xf numFmtId="0" fontId="12" fillId="0" borderId="77" xfId="173" applyFont="1" applyFill="1" applyBorder="1"/>
    <xf numFmtId="3" fontId="12" fillId="0" borderId="26" xfId="173" applyNumberFormat="1" applyFont="1" applyFill="1" applyBorder="1"/>
    <xf numFmtId="3" fontId="14" fillId="0" borderId="22" xfId="173" applyNumberFormat="1" applyFont="1" applyFill="1" applyBorder="1" applyAlignment="1">
      <alignment wrapText="1"/>
    </xf>
    <xf numFmtId="0" fontId="14" fillId="0" borderId="22" xfId="175" applyFont="1" applyFill="1" applyBorder="1" applyAlignment="1">
      <alignment wrapText="1"/>
    </xf>
    <xf numFmtId="3" fontId="14" fillId="0" borderId="25" xfId="173" applyNumberFormat="1" applyFont="1" applyFill="1" applyBorder="1"/>
    <xf numFmtId="3" fontId="44" fillId="0" borderId="10" xfId="173" applyNumberFormat="1" applyFont="1" applyFill="1" applyBorder="1" applyAlignment="1">
      <alignment wrapText="1"/>
    </xf>
    <xf numFmtId="3" fontId="44" fillId="0" borderId="10" xfId="173" applyNumberFormat="1" applyFont="1" applyFill="1" applyBorder="1"/>
    <xf numFmtId="0" fontId="44" fillId="0" borderId="0" xfId="173" applyFont="1" applyFill="1"/>
    <xf numFmtId="3" fontId="12" fillId="0" borderId="0" xfId="173" applyNumberFormat="1" applyFill="1" applyAlignment="1">
      <alignment wrapText="1"/>
    </xf>
    <xf numFmtId="3" fontId="12" fillId="0" borderId="0" xfId="173" applyNumberFormat="1" applyFill="1"/>
    <xf numFmtId="3" fontId="12" fillId="0" borderId="18" xfId="173" applyNumberFormat="1" applyFill="1" applyBorder="1"/>
    <xf numFmtId="0" fontId="12" fillId="0" borderId="0" xfId="173" applyFont="1" applyFill="1"/>
    <xf numFmtId="0" fontId="13" fillId="0" borderId="10" xfId="173" applyFont="1" applyFill="1" applyBorder="1" applyAlignment="1">
      <alignment horizontal="center" wrapText="1"/>
    </xf>
    <xf numFmtId="3" fontId="42" fillId="0" borderId="10" xfId="173" applyNumberFormat="1" applyFont="1" applyFill="1" applyBorder="1" applyAlignment="1">
      <alignment wrapText="1"/>
    </xf>
    <xf numFmtId="3" fontId="13" fillId="0" borderId="35" xfId="173" applyNumberFormat="1" applyFont="1" applyFill="1" applyBorder="1"/>
    <xf numFmtId="3" fontId="13" fillId="0" borderId="10" xfId="173" applyNumberFormat="1" applyFont="1" applyFill="1" applyBorder="1"/>
    <xf numFmtId="3" fontId="12" fillId="0" borderId="0" xfId="173" applyNumberFormat="1" applyFont="1" applyFill="1" applyAlignment="1">
      <alignment wrapText="1"/>
    </xf>
    <xf numFmtId="3" fontId="12" fillId="0" borderId="0" xfId="173" applyNumberFormat="1" applyFont="1" applyFill="1"/>
    <xf numFmtId="3" fontId="13" fillId="0" borderId="0" xfId="173" applyNumberFormat="1" applyFont="1" applyFill="1"/>
    <xf numFmtId="3" fontId="43" fillId="0" borderId="36" xfId="174" applyNumberFormat="1" applyFont="1" applyFill="1" applyBorder="1"/>
    <xf numFmtId="3" fontId="12" fillId="0" borderId="81" xfId="174" applyNumberFormat="1" applyFont="1" applyFill="1" applyBorder="1"/>
    <xf numFmtId="3" fontId="42" fillId="0" borderId="82" xfId="174" applyNumberFormat="1" applyFont="1" applyFill="1" applyBorder="1"/>
    <xf numFmtId="0" fontId="43" fillId="0" borderId="43" xfId="174" applyFont="1" applyFill="1" applyBorder="1" applyAlignment="1">
      <alignment wrapText="1"/>
    </xf>
    <xf numFmtId="3" fontId="43" fillId="0" borderId="43" xfId="174" applyNumberFormat="1" applyFont="1" applyFill="1" applyBorder="1"/>
    <xf numFmtId="3" fontId="38" fillId="0" borderId="22" xfId="172" applyNumberFormat="1" applyFont="1" applyFill="1" applyBorder="1"/>
    <xf numFmtId="0" fontId="43" fillId="0" borderId="11" xfId="171" applyFont="1" applyFill="1" applyBorder="1"/>
    <xf numFmtId="3" fontId="43" fillId="0" borderId="12" xfId="171" applyNumberFormat="1" applyFont="1" applyFill="1" applyBorder="1"/>
    <xf numFmtId="0" fontId="43" fillId="0" borderId="0" xfId="171" applyFont="1" applyFill="1"/>
    <xf numFmtId="0" fontId="14" fillId="0" borderId="83" xfId="171" applyFont="1" applyFill="1" applyBorder="1"/>
    <xf numFmtId="3" fontId="14" fillId="0" borderId="52" xfId="171" applyNumberFormat="1" applyFont="1" applyFill="1" applyBorder="1"/>
    <xf numFmtId="0" fontId="14" fillId="0" borderId="0" xfId="171" applyFont="1" applyFill="1"/>
    <xf numFmtId="0" fontId="14" fillId="0" borderId="0" xfId="0" applyFont="1" applyFill="1"/>
    <xf numFmtId="0" fontId="43" fillId="0" borderId="11" xfId="171" applyNumberFormat="1" applyFont="1" applyFill="1" applyBorder="1"/>
    <xf numFmtId="0" fontId="14" fillId="0" borderId="15" xfId="171" applyNumberFormat="1" applyFont="1" applyFill="1" applyBorder="1"/>
    <xf numFmtId="3" fontId="42" fillId="0" borderId="38" xfId="174" applyNumberFormat="1" applyFont="1" applyFill="1" applyBorder="1"/>
    <xf numFmtId="3" fontId="42" fillId="0" borderId="81" xfId="174" applyNumberFormat="1" applyFont="1" applyFill="1" applyBorder="1"/>
    <xf numFmtId="3" fontId="42" fillId="0" borderId="39" xfId="174" applyNumberFormat="1" applyFont="1" applyFill="1" applyBorder="1"/>
    <xf numFmtId="3" fontId="38" fillId="0" borderId="24" xfId="172" applyNumberFormat="1" applyFont="1" applyFill="1" applyBorder="1"/>
    <xf numFmtId="3" fontId="39" fillId="0" borderId="20" xfId="172" applyNumberFormat="1" applyFont="1" applyFill="1" applyBorder="1" applyAlignment="1">
      <alignment wrapText="1"/>
    </xf>
    <xf numFmtId="3" fontId="38" fillId="0" borderId="20" xfId="172" applyNumberFormat="1" applyFont="1" applyFill="1" applyBorder="1"/>
    <xf numFmtId="3" fontId="39" fillId="0" borderId="24" xfId="172" applyNumberFormat="1" applyFont="1" applyFill="1" applyBorder="1"/>
    <xf numFmtId="3" fontId="39" fillId="0" borderId="22" xfId="172" applyNumberFormat="1" applyFont="1" applyFill="1" applyBorder="1" applyAlignment="1">
      <alignment wrapText="1"/>
    </xf>
    <xf numFmtId="3" fontId="39" fillId="0" borderId="20" xfId="172" applyNumberFormat="1" applyFont="1" applyFill="1" applyBorder="1"/>
    <xf numFmtId="0" fontId="13" fillId="0" borderId="38" xfId="171" applyNumberFormat="1" applyFont="1" applyFill="1" applyBorder="1"/>
    <xf numFmtId="3" fontId="13" fillId="0" borderId="11" xfId="171" applyNumberFormat="1" applyFont="1" applyFill="1" applyBorder="1"/>
    <xf numFmtId="3" fontId="45" fillId="0" borderId="38" xfId="174" applyNumberFormat="1" applyFont="1" applyFill="1" applyBorder="1"/>
    <xf numFmtId="3" fontId="45" fillId="0" borderId="83" xfId="171" applyNumberFormat="1" applyFont="1" applyFill="1" applyBorder="1"/>
    <xf numFmtId="3" fontId="44" fillId="0" borderId="0" xfId="173" applyNumberFormat="1" applyFont="1" applyFill="1" applyBorder="1" applyAlignment="1">
      <alignment wrapText="1"/>
    </xf>
    <xf numFmtId="3" fontId="44" fillId="0" borderId="0" xfId="173" applyNumberFormat="1" applyFont="1" applyFill="1" applyBorder="1"/>
    <xf numFmtId="3" fontId="42" fillId="0" borderId="0" xfId="173" applyNumberFormat="1" applyFont="1" applyFill="1" applyBorder="1" applyAlignment="1">
      <alignment wrapText="1"/>
    </xf>
    <xf numFmtId="3" fontId="14" fillId="0" borderId="27" xfId="173" applyNumberFormat="1" applyFont="1" applyFill="1" applyBorder="1" applyAlignment="1">
      <alignment wrapText="1"/>
    </xf>
    <xf numFmtId="3" fontId="13" fillId="0" borderId="0" xfId="173" applyNumberFormat="1" applyFont="1" applyFill="1" applyBorder="1"/>
    <xf numFmtId="3" fontId="39" fillId="0" borderId="65" xfId="172" applyNumberFormat="1" applyFont="1" applyFill="1" applyBorder="1"/>
    <xf numFmtId="3" fontId="39" fillId="0" borderId="25" xfId="172" applyNumberFormat="1" applyFont="1" applyFill="1" applyBorder="1"/>
    <xf numFmtId="3" fontId="38" fillId="0" borderId="25" xfId="172" applyNumberFormat="1" applyFont="1" applyFill="1" applyBorder="1"/>
    <xf numFmtId="3" fontId="39" fillId="0" borderId="21" xfId="172" applyNumberFormat="1" applyFont="1" applyFill="1" applyBorder="1"/>
    <xf numFmtId="3" fontId="39" fillId="0" borderId="25" xfId="172" applyNumberFormat="1" applyFont="1" applyFill="1" applyBorder="1" applyAlignment="1">
      <alignment wrapText="1"/>
    </xf>
    <xf numFmtId="3" fontId="39" fillId="0" borderId="21" xfId="172" applyNumberFormat="1" applyFont="1" applyFill="1" applyBorder="1" applyAlignment="1">
      <alignment wrapText="1"/>
    </xf>
    <xf numFmtId="3" fontId="39" fillId="0" borderId="77" xfId="172" applyNumberFormat="1" applyFont="1" applyFill="1" applyBorder="1"/>
    <xf numFmtId="3" fontId="39" fillId="0" borderId="73" xfId="172" applyNumberFormat="1" applyFont="1" applyFill="1" applyBorder="1"/>
    <xf numFmtId="3" fontId="39" fillId="0" borderId="39" xfId="172" applyNumberFormat="1" applyFont="1" applyFill="1" applyBorder="1"/>
    <xf numFmtId="3" fontId="39" fillId="0" borderId="81" xfId="172" applyNumberFormat="1" applyFont="1" applyFill="1" applyBorder="1"/>
    <xf numFmtId="3" fontId="39" fillId="0" borderId="78" xfId="172" applyNumberFormat="1" applyFont="1" applyFill="1" applyBorder="1"/>
    <xf numFmtId="3" fontId="33" fillId="0" borderId="77" xfId="172" applyNumberFormat="1" applyFont="1" applyFill="1" applyBorder="1"/>
    <xf numFmtId="3" fontId="33" fillId="0" borderId="73" xfId="172" applyNumberFormat="1" applyFont="1" applyFill="1" applyBorder="1"/>
    <xf numFmtId="3" fontId="33" fillId="0" borderId="39" xfId="172" applyNumberFormat="1" applyFont="1" applyFill="1" applyBorder="1"/>
    <xf numFmtId="3" fontId="33" fillId="0" borderId="81" xfId="172" applyNumberFormat="1" applyFont="1" applyFill="1" applyBorder="1"/>
    <xf numFmtId="3" fontId="33" fillId="0" borderId="78" xfId="172" applyNumberFormat="1" applyFont="1" applyFill="1" applyBorder="1"/>
    <xf numFmtId="0" fontId="43" fillId="0" borderId="11" xfId="176" applyFont="1" applyFill="1" applyBorder="1" applyAlignment="1">
      <alignment wrapText="1"/>
    </xf>
    <xf numFmtId="3" fontId="38" fillId="0" borderId="86" xfId="172" applyNumberFormat="1" applyFont="1" applyFill="1" applyBorder="1" applyAlignment="1">
      <alignment wrapText="1"/>
    </xf>
    <xf numFmtId="3" fontId="33" fillId="0" borderId="20" xfId="172" applyNumberFormat="1" applyFont="1" applyFill="1" applyBorder="1" applyAlignment="1">
      <alignment wrapText="1"/>
    </xf>
    <xf numFmtId="3" fontId="33" fillId="0" borderId="12" xfId="172" applyNumberFormat="1" applyFont="1" applyFill="1" applyBorder="1"/>
    <xf numFmtId="3" fontId="33" fillId="0" borderId="24" xfId="172" applyNumberFormat="1" applyFont="1" applyFill="1" applyBorder="1"/>
    <xf numFmtId="3" fontId="39" fillId="0" borderId="81" xfId="172" applyNumberFormat="1" applyFont="1" applyFill="1" applyBorder="1" applyAlignment="1">
      <alignment wrapText="1"/>
    </xf>
    <xf numFmtId="3" fontId="38" fillId="0" borderId="18" xfId="172" applyNumberFormat="1" applyFont="1" applyFill="1" applyBorder="1" applyAlignment="1">
      <alignment wrapText="1"/>
    </xf>
    <xf numFmtId="3" fontId="33" fillId="0" borderId="25" xfId="172" applyNumberFormat="1" applyFont="1" applyFill="1" applyBorder="1" applyAlignment="1">
      <alignment wrapText="1"/>
    </xf>
    <xf numFmtId="3" fontId="33" fillId="0" borderId="25" xfId="172" applyNumberFormat="1" applyFont="1" applyFill="1" applyBorder="1"/>
    <xf numFmtId="3" fontId="38" fillId="0" borderId="25" xfId="172" applyNumberFormat="1" applyFont="1" applyFill="1" applyBorder="1" applyAlignment="1">
      <alignment wrapText="1"/>
    </xf>
    <xf numFmtId="3" fontId="39" fillId="0" borderId="78" xfId="172" applyNumberFormat="1" applyFont="1" applyFill="1" applyBorder="1" applyAlignment="1">
      <alignment wrapText="1"/>
    </xf>
    <xf numFmtId="3" fontId="14" fillId="0" borderId="52" xfId="173" applyNumberFormat="1" applyFont="1" applyFill="1" applyBorder="1" applyAlignment="1">
      <alignment wrapText="1"/>
    </xf>
    <xf numFmtId="3" fontId="14" fillId="0" borderId="12" xfId="173" applyNumberFormat="1" applyFont="1" applyFill="1" applyBorder="1" applyAlignment="1">
      <alignment wrapText="1"/>
    </xf>
    <xf numFmtId="3" fontId="51" fillId="0" borderId="52" xfId="173" applyNumberFormat="1" applyFont="1" applyFill="1" applyBorder="1" applyAlignment="1">
      <alignment wrapText="1"/>
    </xf>
    <xf numFmtId="3" fontId="51" fillId="0" borderId="48" xfId="173" applyNumberFormat="1" applyFont="1" applyFill="1" applyBorder="1"/>
    <xf numFmtId="0" fontId="45" fillId="0" borderId="100" xfId="173" applyFont="1" applyFill="1" applyBorder="1" applyAlignment="1">
      <alignment wrapText="1"/>
    </xf>
    <xf numFmtId="3" fontId="33" fillId="0" borderId="20" xfId="172" applyNumberFormat="1" applyFont="1" applyFill="1" applyBorder="1"/>
    <xf numFmtId="3" fontId="38" fillId="0" borderId="65" xfId="172" applyNumberFormat="1" applyFont="1" applyFill="1" applyBorder="1" applyAlignment="1">
      <alignment wrapText="1"/>
    </xf>
    <xf numFmtId="3" fontId="39" fillId="0" borderId="34" xfId="172" applyNumberFormat="1" applyFont="1" applyFill="1" applyBorder="1" applyAlignment="1">
      <alignment wrapText="1"/>
    </xf>
    <xf numFmtId="3" fontId="39" fillId="0" borderId="72" xfId="172" applyNumberFormat="1" applyFont="1" applyFill="1" applyBorder="1" applyAlignment="1">
      <alignment wrapText="1"/>
    </xf>
    <xf numFmtId="3" fontId="38" fillId="0" borderId="104" xfId="172" applyNumberFormat="1" applyFont="1" applyFill="1" applyBorder="1" applyAlignment="1">
      <alignment wrapText="1"/>
    </xf>
    <xf numFmtId="3" fontId="33" fillId="0" borderId="21" xfId="172" applyNumberFormat="1" applyFont="1" applyFill="1" applyBorder="1" applyAlignment="1">
      <alignment wrapText="1"/>
    </xf>
    <xf numFmtId="3" fontId="33" fillId="0" borderId="21" xfId="172" applyNumberFormat="1" applyFont="1" applyFill="1" applyBorder="1"/>
    <xf numFmtId="3" fontId="38" fillId="0" borderId="21" xfId="172" applyNumberFormat="1" applyFont="1" applyFill="1" applyBorder="1" applyAlignment="1">
      <alignment wrapText="1"/>
    </xf>
    <xf numFmtId="3" fontId="39" fillId="0" borderId="39" xfId="172" applyNumberFormat="1" applyFont="1" applyFill="1" applyBorder="1" applyAlignment="1">
      <alignment wrapText="1"/>
    </xf>
    <xf numFmtId="3" fontId="38" fillId="0" borderId="16" xfId="172" applyNumberFormat="1" applyFont="1" applyFill="1" applyBorder="1" applyAlignment="1">
      <alignment wrapText="1"/>
    </xf>
    <xf numFmtId="3" fontId="43" fillId="0" borderId="21" xfId="174" applyNumberFormat="1" applyFont="1" applyFill="1" applyBorder="1" applyAlignment="1">
      <alignment horizontal="right"/>
    </xf>
    <xf numFmtId="3" fontId="39" fillId="0" borderId="56" xfId="197" applyNumberFormat="1" applyFont="1" applyFill="1" applyBorder="1"/>
    <xf numFmtId="3" fontId="38" fillId="0" borderId="56" xfId="197" applyNumberFormat="1" applyFont="1" applyFill="1" applyBorder="1"/>
    <xf numFmtId="3" fontId="39" fillId="0" borderId="109" xfId="172" applyNumberFormat="1" applyFont="1" applyFill="1" applyBorder="1"/>
    <xf numFmtId="3" fontId="13" fillId="0" borderId="83" xfId="174" applyNumberFormat="1" applyFont="1" applyFill="1" applyBorder="1"/>
    <xf numFmtId="3" fontId="39" fillId="0" borderId="34" xfId="172" applyNumberFormat="1" applyFont="1" applyFill="1" applyBorder="1"/>
    <xf numFmtId="3" fontId="38" fillId="0" borderId="34" xfId="172" applyNumberFormat="1" applyFont="1" applyFill="1" applyBorder="1"/>
    <xf numFmtId="3" fontId="33" fillId="0" borderId="72" xfId="172" applyNumberFormat="1" applyFont="1" applyFill="1" applyBorder="1"/>
    <xf numFmtId="3" fontId="33" fillId="0" borderId="109" xfId="172" applyNumberFormat="1" applyFont="1" applyFill="1" applyBorder="1"/>
    <xf numFmtId="3" fontId="33" fillId="0" borderId="74" xfId="172" applyNumberFormat="1" applyFont="1" applyFill="1" applyBorder="1"/>
    <xf numFmtId="3" fontId="38" fillId="0" borderId="21" xfId="172" applyNumberFormat="1" applyFont="1" applyFill="1" applyBorder="1"/>
    <xf numFmtId="3" fontId="12" fillId="0" borderId="0" xfId="196" applyNumberFormat="1"/>
    <xf numFmtId="3" fontId="14" fillId="0" borderId="39" xfId="199" applyNumberFormat="1" applyFont="1" applyBorder="1" applyAlignment="1">
      <alignment wrapText="1"/>
    </xf>
    <xf numFmtId="3" fontId="14" fillId="0" borderId="21" xfId="199" applyNumberFormat="1" applyFont="1" applyBorder="1" applyAlignment="1">
      <alignment wrapText="1"/>
    </xf>
    <xf numFmtId="0" fontId="12" fillId="0" borderId="39" xfId="199" applyFont="1" applyBorder="1" applyAlignment="1">
      <alignment wrapText="1"/>
    </xf>
    <xf numFmtId="0" fontId="12" fillId="0" borderId="0" xfId="196"/>
    <xf numFmtId="3" fontId="55" fillId="0" borderId="10" xfId="200" applyNumberFormat="1" applyFont="1" applyBorder="1"/>
    <xf numFmtId="0" fontId="55" fillId="0" borderId="14" xfId="199" applyFont="1" applyBorder="1" applyAlignment="1">
      <alignment wrapText="1"/>
    </xf>
    <xf numFmtId="0" fontId="43" fillId="0" borderId="10" xfId="200" applyFont="1" applyBorder="1"/>
    <xf numFmtId="3" fontId="55" fillId="0" borderId="14" xfId="200" applyNumberFormat="1" applyFont="1" applyBorder="1"/>
    <xf numFmtId="3" fontId="45" fillId="0" borderId="21" xfId="199" applyNumberFormat="1" applyFont="1" applyBorder="1" applyAlignment="1">
      <alignment wrapText="1"/>
    </xf>
    <xf numFmtId="0" fontId="45" fillId="0" borderId="104" xfId="199" applyFont="1" applyBorder="1" applyAlignment="1">
      <alignment wrapText="1"/>
    </xf>
    <xf numFmtId="0" fontId="43" fillId="0" borderId="43" xfId="200" applyFont="1" applyBorder="1"/>
    <xf numFmtId="0" fontId="29" fillId="0" borderId="0" xfId="196" applyFont="1"/>
    <xf numFmtId="3" fontId="29" fillId="0" borderId="0" xfId="196" applyNumberFormat="1" applyFont="1"/>
    <xf numFmtId="0" fontId="43" fillId="0" borderId="36" xfId="200" applyFont="1" applyBorder="1"/>
    <xf numFmtId="0" fontId="14" fillId="0" borderId="39" xfId="199" applyFont="1" applyBorder="1" applyAlignment="1">
      <alignment wrapText="1"/>
    </xf>
    <xf numFmtId="0" fontId="14" fillId="0" borderId="21" xfId="199" applyFont="1" applyBorder="1" applyAlignment="1">
      <alignment wrapText="1"/>
    </xf>
    <xf numFmtId="0" fontId="43" fillId="0" borderId="11" xfId="200" applyFont="1" applyBorder="1"/>
    <xf numFmtId="0" fontId="14" fillId="0" borderId="0" xfId="196" applyFont="1"/>
    <xf numFmtId="3" fontId="14" fillId="0" borderId="38" xfId="200" applyNumberFormat="1" applyFont="1" applyBorder="1"/>
    <xf numFmtId="3" fontId="14" fillId="0" borderId="11" xfId="200" applyNumberFormat="1" applyFont="1" applyBorder="1"/>
    <xf numFmtId="3" fontId="14" fillId="0" borderId="65" xfId="200" applyNumberFormat="1" applyFont="1" applyBorder="1"/>
    <xf numFmtId="3" fontId="14" fillId="0" borderId="20" xfId="200" applyNumberFormat="1" applyFont="1" applyBorder="1"/>
    <xf numFmtId="3" fontId="14" fillId="0" borderId="23" xfId="200" applyNumberFormat="1" applyFont="1" applyBorder="1"/>
    <xf numFmtId="3" fontId="14" fillId="0" borderId="64" xfId="200" applyNumberFormat="1" applyFont="1" applyBorder="1"/>
    <xf numFmtId="3" fontId="14" fillId="0" borderId="24" xfId="200" applyNumberFormat="1" applyFont="1" applyBorder="1"/>
    <xf numFmtId="3" fontId="14" fillId="0" borderId="63" xfId="200" applyNumberFormat="1" applyFont="1" applyBorder="1"/>
    <xf numFmtId="0" fontId="14" fillId="0" borderId="36" xfId="200" applyFont="1" applyBorder="1"/>
    <xf numFmtId="3" fontId="14" fillId="0" borderId="73" xfId="200" applyNumberFormat="1" applyFont="1" applyBorder="1"/>
    <xf numFmtId="3" fontId="14" fillId="0" borderId="74" xfId="200" applyNumberFormat="1" applyFont="1" applyBorder="1"/>
    <xf numFmtId="0" fontId="14" fillId="0" borderId="83" xfId="200" applyFont="1" applyBorder="1"/>
    <xf numFmtId="3" fontId="14" fillId="0" borderId="115" xfId="200" applyNumberFormat="1" applyFont="1" applyBorder="1"/>
    <xf numFmtId="3" fontId="14" fillId="0" borderId="116" xfId="200" applyNumberFormat="1" applyFont="1" applyBorder="1"/>
    <xf numFmtId="3" fontId="14" fillId="0" borderId="117" xfId="200" applyNumberFormat="1" applyFont="1" applyBorder="1"/>
    <xf numFmtId="3" fontId="14" fillId="0" borderId="25" xfId="200" applyNumberFormat="1" applyFont="1" applyBorder="1"/>
    <xf numFmtId="3" fontId="14" fillId="0" borderId="34" xfId="200" applyNumberFormat="1" applyFont="1" applyBorder="1"/>
    <xf numFmtId="0" fontId="14" fillId="0" borderId="11" xfId="200" applyFont="1" applyBorder="1"/>
    <xf numFmtId="3" fontId="14" fillId="0" borderId="21" xfId="200" applyNumberFormat="1" applyFont="1" applyBorder="1"/>
    <xf numFmtId="0" fontId="55" fillId="0" borderId="10" xfId="199" applyFont="1" applyBorder="1" applyAlignment="1">
      <alignment wrapText="1"/>
    </xf>
    <xf numFmtId="3" fontId="55" fillId="0" borderId="43" xfId="200" applyNumberFormat="1" applyFont="1" applyBorder="1"/>
    <xf numFmtId="3" fontId="55" fillId="0" borderId="97" xfId="200" applyNumberFormat="1" applyFont="1" applyBorder="1"/>
    <xf numFmtId="3" fontId="55" fillId="0" borderId="17" xfId="200" applyNumberFormat="1" applyFont="1" applyBorder="1"/>
    <xf numFmtId="3" fontId="55" fillId="0" borderId="110" xfId="200" applyNumberFormat="1" applyFont="1" applyBorder="1"/>
    <xf numFmtId="3" fontId="55" fillId="0" borderId="86" xfId="200" applyNumberFormat="1" applyFont="1" applyBorder="1"/>
    <xf numFmtId="0" fontId="55" fillId="0" borderId="104" xfId="199" applyFont="1" applyBorder="1" applyAlignment="1">
      <alignment wrapText="1"/>
    </xf>
    <xf numFmtId="3" fontId="12" fillId="0" borderId="38" xfId="200" applyNumberFormat="1" applyFont="1" applyBorder="1"/>
    <xf numFmtId="3" fontId="12" fillId="0" borderId="11" xfId="200" applyNumberFormat="1" applyFont="1" applyBorder="1"/>
    <xf numFmtId="3" fontId="12" fillId="0" borderId="74" xfId="200" applyNumberFormat="1" applyFont="1" applyBorder="1"/>
    <xf numFmtId="3" fontId="12" fillId="0" borderId="81" xfId="200" applyNumberFormat="1" applyFont="1" applyBorder="1"/>
    <xf numFmtId="3" fontId="12" fillId="0" borderId="24" xfId="200" applyNumberFormat="1" applyFont="1" applyBorder="1"/>
    <xf numFmtId="3" fontId="12" fillId="0" borderId="65" xfId="200" applyNumberFormat="1" applyFont="1" applyBorder="1"/>
    <xf numFmtId="3" fontId="12" fillId="0" borderId="34" xfId="200" applyNumberFormat="1" applyFont="1" applyBorder="1"/>
    <xf numFmtId="0" fontId="12" fillId="0" borderId="36" xfId="200" applyFont="1" applyBorder="1"/>
    <xf numFmtId="3" fontId="14" fillId="0" borderId="81" xfId="200" applyNumberFormat="1" applyFont="1" applyBorder="1"/>
    <xf numFmtId="0" fontId="62" fillId="0" borderId="0" xfId="196" applyFont="1" applyAlignment="1">
      <alignment horizontal="center"/>
    </xf>
    <xf numFmtId="3" fontId="58" fillId="0" borderId="10" xfId="200" applyNumberFormat="1" applyFont="1" applyBorder="1" applyAlignment="1">
      <alignment horizontal="center"/>
    </xf>
    <xf numFmtId="3" fontId="58" fillId="0" borderId="35" xfId="200" applyNumberFormat="1" applyFont="1" applyBorder="1" applyAlignment="1">
      <alignment horizontal="center"/>
    </xf>
    <xf numFmtId="3" fontId="58" fillId="0" borderId="14" xfId="200" applyNumberFormat="1" applyFont="1" applyBorder="1" applyAlignment="1">
      <alignment horizontal="center"/>
    </xf>
    <xf numFmtId="3" fontId="63" fillId="0" borderId="10" xfId="200" applyNumberFormat="1" applyFont="1" applyBorder="1" applyAlignment="1">
      <alignment horizontal="center"/>
    </xf>
    <xf numFmtId="0" fontId="58" fillId="0" borderId="14" xfId="199" applyFont="1" applyBorder="1" applyAlignment="1">
      <alignment horizontal="center" wrapText="1"/>
    </xf>
    <xf numFmtId="0" fontId="64" fillId="0" borderId="10" xfId="200" applyFont="1" applyBorder="1" applyAlignment="1">
      <alignment horizontal="center"/>
    </xf>
    <xf numFmtId="3" fontId="59" fillId="0" borderId="10" xfId="200" applyNumberFormat="1" applyFont="1" applyBorder="1" applyAlignment="1">
      <alignment horizontal="center" vertical="center" wrapText="1"/>
    </xf>
    <xf numFmtId="3" fontId="59" fillId="0" borderId="35" xfId="200" applyNumberFormat="1" applyFont="1" applyBorder="1" applyAlignment="1">
      <alignment horizontal="center" vertical="center" wrapText="1"/>
    </xf>
    <xf numFmtId="0" fontId="59" fillId="0" borderId="10" xfId="200" applyFont="1" applyBorder="1" applyAlignment="1">
      <alignment horizontal="center" vertical="center" wrapText="1"/>
    </xf>
    <xf numFmtId="3" fontId="59" fillId="0" borderId="80" xfId="200" applyNumberFormat="1" applyFont="1" applyBorder="1" applyAlignment="1">
      <alignment horizontal="center" vertical="center" wrapText="1"/>
    </xf>
    <xf numFmtId="3" fontId="59" fillId="0" borderId="14" xfId="200" applyNumberFormat="1" applyFont="1" applyBorder="1" applyAlignment="1">
      <alignment horizontal="center" vertical="center" wrapText="1"/>
    </xf>
    <xf numFmtId="0" fontId="59" fillId="0" borderId="14" xfId="199" applyFont="1" applyBorder="1" applyAlignment="1">
      <alignment horizontal="center" vertical="center" wrapText="1"/>
    </xf>
    <xf numFmtId="0" fontId="35" fillId="0" borderId="10" xfId="200" applyFont="1" applyBorder="1" applyAlignment="1">
      <alignment horizontal="center"/>
    </xf>
    <xf numFmtId="3" fontId="12" fillId="0" borderId="20" xfId="200" applyNumberFormat="1" applyFont="1" applyBorder="1"/>
    <xf numFmtId="3" fontId="14" fillId="0" borderId="77" xfId="173" applyNumberFormat="1" applyFont="1" applyFill="1" applyBorder="1" applyAlignment="1">
      <alignment wrapText="1"/>
    </xf>
    <xf numFmtId="3" fontId="38" fillId="0" borderId="75" xfId="197" applyNumberFormat="1" applyFont="1" applyFill="1" applyBorder="1"/>
    <xf numFmtId="3" fontId="43" fillId="0" borderId="103" xfId="173" applyNumberFormat="1" applyFont="1" applyFill="1" applyBorder="1"/>
    <xf numFmtId="3" fontId="14" fillId="0" borderId="36" xfId="200" applyNumberFormat="1" applyFont="1" applyBorder="1"/>
    <xf numFmtId="3" fontId="12" fillId="0" borderId="36" xfId="200" applyNumberFormat="1" applyFont="1" applyBorder="1"/>
    <xf numFmtId="3" fontId="12" fillId="0" borderId="63" xfId="200" applyNumberFormat="1" applyFont="1" applyBorder="1"/>
    <xf numFmtId="3" fontId="12" fillId="0" borderId="23" xfId="200" applyNumberFormat="1" applyFont="1" applyBorder="1"/>
    <xf numFmtId="3" fontId="12" fillId="0" borderId="64" xfId="200" applyNumberFormat="1" applyFont="1" applyBorder="1"/>
    <xf numFmtId="3" fontId="12" fillId="0" borderId="26" xfId="200" applyNumberFormat="1" applyFont="1" applyBorder="1"/>
    <xf numFmtId="3" fontId="12" fillId="0" borderId="21" xfId="200" applyNumberFormat="1" applyFont="1" applyBorder="1"/>
    <xf numFmtId="3" fontId="12" fillId="0" borderId="25" xfId="200" applyNumberFormat="1" applyFont="1" applyBorder="1"/>
    <xf numFmtId="0" fontId="13" fillId="0" borderId="11" xfId="200" applyFont="1" applyBorder="1"/>
    <xf numFmtId="0" fontId="13" fillId="0" borderId="39" xfId="199" applyFont="1" applyBorder="1" applyAlignment="1">
      <alignment wrapText="1"/>
    </xf>
    <xf numFmtId="0" fontId="13" fillId="0" borderId="0" xfId="196" applyFont="1"/>
    <xf numFmtId="3" fontId="12" fillId="0" borderId="25" xfId="173" applyNumberFormat="1" applyFill="1" applyBorder="1"/>
    <xf numFmtId="3" fontId="51" fillId="0" borderId="78" xfId="173" applyNumberFormat="1" applyFont="1" applyFill="1" applyBorder="1"/>
    <xf numFmtId="3" fontId="51" fillId="0" borderId="29" xfId="173" applyNumberFormat="1" applyFont="1" applyFill="1" applyBorder="1"/>
    <xf numFmtId="3" fontId="42" fillId="0" borderId="10" xfId="173" applyNumberFormat="1" applyFont="1" applyFill="1" applyBorder="1"/>
    <xf numFmtId="3" fontId="42" fillId="0" borderId="0" xfId="173" applyNumberFormat="1" applyFont="1" applyFill="1" applyBorder="1"/>
    <xf numFmtId="3" fontId="43" fillId="0" borderId="29" xfId="173" applyNumberFormat="1" applyFont="1" applyFill="1" applyBorder="1"/>
    <xf numFmtId="0" fontId="42" fillId="0" borderId="13" xfId="171" applyFont="1" applyFill="1" applyBorder="1"/>
    <xf numFmtId="0" fontId="42" fillId="0" borderId="40" xfId="171" applyFont="1" applyFill="1" applyBorder="1"/>
    <xf numFmtId="3" fontId="45" fillId="0" borderId="10" xfId="171" applyNumberFormat="1" applyFont="1" applyFill="1" applyBorder="1"/>
    <xf numFmtId="4" fontId="45" fillId="0" borderId="10" xfId="171" applyNumberFormat="1" applyFont="1" applyFill="1" applyBorder="1"/>
    <xf numFmtId="0" fontId="13" fillId="0" borderId="0" xfId="171" applyFont="1" applyFill="1"/>
    <xf numFmtId="3" fontId="38" fillId="0" borderId="77" xfId="172" applyNumberFormat="1" applyFont="1" applyFill="1" applyBorder="1"/>
    <xf numFmtId="3" fontId="38" fillId="0" borderId="73" xfId="172" applyNumberFormat="1" applyFont="1" applyFill="1" applyBorder="1"/>
    <xf numFmtId="3" fontId="38" fillId="0" borderId="39" xfId="172" applyNumberFormat="1" applyFont="1" applyFill="1" applyBorder="1"/>
    <xf numFmtId="3" fontId="38" fillId="0" borderId="81" xfId="172" applyNumberFormat="1" applyFont="1" applyFill="1" applyBorder="1"/>
    <xf numFmtId="3" fontId="43" fillId="0" borderId="11" xfId="171" applyNumberFormat="1" applyFont="1" applyFill="1" applyBorder="1"/>
    <xf numFmtId="3" fontId="43" fillId="0" borderId="11" xfId="174" applyNumberFormat="1" applyFont="1" applyFill="1" applyBorder="1" applyAlignment="1">
      <alignment horizontal="center"/>
    </xf>
    <xf numFmtId="3" fontId="33" fillId="0" borderId="56" xfId="197" applyNumberFormat="1" applyFont="1" applyFill="1" applyBorder="1" applyAlignment="1"/>
    <xf numFmtId="0" fontId="45" fillId="0" borderId="39" xfId="199" applyFont="1" applyBorder="1" applyAlignment="1">
      <alignment wrapText="1"/>
    </xf>
    <xf numFmtId="3" fontId="43" fillId="0" borderId="0" xfId="171" applyNumberFormat="1" applyFont="1" applyFill="1"/>
    <xf numFmtId="3" fontId="42" fillId="0" borderId="10" xfId="171" applyNumberFormat="1" applyFont="1" applyFill="1" applyBorder="1" applyAlignment="1">
      <alignment horizontal="centerContinuous" wrapText="1"/>
    </xf>
    <xf numFmtId="3" fontId="42" fillId="0" borderId="87" xfId="171" applyNumberFormat="1" applyFont="1" applyFill="1" applyBorder="1" applyAlignment="1">
      <alignment horizontal="centerContinuous" wrapText="1"/>
    </xf>
    <xf numFmtId="3" fontId="43" fillId="0" borderId="52" xfId="171" applyNumberFormat="1" applyFont="1" applyFill="1" applyBorder="1"/>
    <xf numFmtId="3" fontId="44" fillId="0" borderId="11" xfId="171" applyNumberFormat="1" applyFont="1" applyFill="1" applyBorder="1"/>
    <xf numFmtId="3" fontId="44" fillId="0" borderId="12" xfId="171" applyNumberFormat="1" applyFont="1" applyFill="1" applyBorder="1"/>
    <xf numFmtId="3" fontId="14" fillId="0" borderId="15" xfId="171" applyNumberFormat="1" applyFont="1" applyFill="1" applyBorder="1"/>
    <xf numFmtId="3" fontId="13" fillId="0" borderId="10" xfId="171" applyNumberFormat="1" applyFont="1" applyFill="1" applyBorder="1"/>
    <xf numFmtId="0" fontId="43" fillId="0" borderId="0" xfId="172" applyFont="1" applyFill="1"/>
    <xf numFmtId="0" fontId="42" fillId="0" borderId="10" xfId="174" applyFont="1" applyFill="1" applyBorder="1" applyAlignment="1">
      <alignment horizontal="center" wrapText="1"/>
    </xf>
    <xf numFmtId="0" fontId="42" fillId="0" borderId="35" xfId="174" applyFont="1" applyFill="1" applyBorder="1" applyAlignment="1">
      <alignment horizontal="center" wrapText="1"/>
    </xf>
    <xf numFmtId="0" fontId="44" fillId="0" borderId="11" xfId="174" applyFont="1" applyFill="1" applyBorder="1" applyAlignment="1">
      <alignment wrapText="1"/>
    </xf>
    <xf numFmtId="0" fontId="46" fillId="0" borderId="0" xfId="172" applyFont="1" applyFill="1"/>
    <xf numFmtId="0" fontId="42" fillId="0" borderId="11" xfId="174" applyFont="1" applyFill="1" applyBorder="1" applyAlignment="1">
      <alignment wrapText="1"/>
    </xf>
    <xf numFmtId="0" fontId="43" fillId="0" borderId="38" xfId="174" applyFont="1" applyFill="1" applyBorder="1" applyAlignment="1">
      <alignment wrapText="1"/>
    </xf>
    <xf numFmtId="0" fontId="47" fillId="0" borderId="0" xfId="172" applyFont="1" applyFill="1"/>
    <xf numFmtId="0" fontId="42" fillId="0" borderId="38" xfId="174" applyFont="1" applyFill="1" applyBorder="1" applyAlignment="1">
      <alignment wrapText="1"/>
    </xf>
    <xf numFmtId="0" fontId="48" fillId="0" borderId="0" xfId="172" applyFont="1" applyFill="1"/>
    <xf numFmtId="0" fontId="43" fillId="0" borderId="36" xfId="174" applyFont="1" applyFill="1" applyBorder="1" applyAlignment="1">
      <alignment wrapText="1"/>
    </xf>
    <xf numFmtId="0" fontId="42" fillId="0" borderId="11" xfId="174" applyFont="1" applyFill="1" applyBorder="1" applyAlignment="1">
      <alignment horizontal="left" wrapText="1"/>
    </xf>
    <xf numFmtId="0" fontId="42" fillId="0" borderId="36" xfId="174" applyFont="1" applyFill="1" applyBorder="1" applyAlignment="1">
      <alignment wrapText="1"/>
    </xf>
    <xf numFmtId="0" fontId="42" fillId="0" borderId="10" xfId="174" applyFont="1" applyFill="1" applyBorder="1" applyAlignment="1">
      <alignment wrapText="1"/>
    </xf>
    <xf numFmtId="0" fontId="42" fillId="0" borderId="40" xfId="174" applyFont="1" applyFill="1" applyBorder="1" applyAlignment="1">
      <alignment wrapText="1"/>
    </xf>
    <xf numFmtId="0" fontId="38" fillId="0" borderId="43" xfId="172" applyFont="1" applyFill="1" applyBorder="1" applyAlignment="1">
      <alignment wrapText="1"/>
    </xf>
    <xf numFmtId="3" fontId="38" fillId="0" borderId="16" xfId="172" applyNumberFormat="1" applyFont="1" applyFill="1" applyBorder="1"/>
    <xf numFmtId="3" fontId="38" fillId="0" borderId="17" xfId="172" applyNumberFormat="1" applyFont="1" applyFill="1" applyBorder="1"/>
    <xf numFmtId="3" fontId="38" fillId="0" borderId="97" xfId="172" applyNumberFormat="1" applyFont="1" applyFill="1" applyBorder="1"/>
    <xf numFmtId="3" fontId="38" fillId="0" borderId="18" xfId="172" applyNumberFormat="1" applyFont="1" applyFill="1" applyBorder="1"/>
    <xf numFmtId="3" fontId="38" fillId="0" borderId="86" xfId="172" applyNumberFormat="1" applyFont="1" applyFill="1" applyBorder="1"/>
    <xf numFmtId="3" fontId="38" fillId="0" borderId="112" xfId="172" applyNumberFormat="1" applyFont="1" applyFill="1" applyBorder="1"/>
    <xf numFmtId="3" fontId="38" fillId="0" borderId="110" xfId="172" applyNumberFormat="1" applyFont="1" applyFill="1" applyBorder="1"/>
    <xf numFmtId="3" fontId="38" fillId="0" borderId="104" xfId="172" applyNumberFormat="1" applyFont="1" applyFill="1" applyBorder="1"/>
    <xf numFmtId="3" fontId="33" fillId="0" borderId="11" xfId="172" applyNumberFormat="1" applyFont="1" applyFill="1" applyBorder="1" applyAlignment="1">
      <alignment wrapText="1"/>
    </xf>
    <xf numFmtId="3" fontId="39" fillId="0" borderId="12" xfId="172" applyNumberFormat="1" applyFont="1" applyFill="1" applyBorder="1"/>
    <xf numFmtId="0" fontId="38" fillId="0" borderId="11" xfId="172" applyFont="1" applyFill="1" applyBorder="1" applyAlignment="1">
      <alignment wrapText="1"/>
    </xf>
    <xf numFmtId="3" fontId="38" fillId="0" borderId="12" xfId="172" applyNumberFormat="1" applyFont="1" applyFill="1" applyBorder="1"/>
    <xf numFmtId="3" fontId="39" fillId="0" borderId="12" xfId="172" applyNumberFormat="1" applyFont="1" applyFill="1" applyBorder="1" applyAlignment="1">
      <alignment wrapText="1"/>
    </xf>
    <xf numFmtId="3" fontId="39" fillId="0" borderId="38" xfId="172" applyNumberFormat="1" applyFont="1" applyFill="1" applyBorder="1" applyAlignment="1">
      <alignment wrapText="1"/>
    </xf>
    <xf numFmtId="3" fontId="33" fillId="0" borderId="38" xfId="172" applyNumberFormat="1" applyFont="1" applyFill="1" applyBorder="1" applyAlignment="1">
      <alignment wrapText="1"/>
    </xf>
    <xf numFmtId="3" fontId="38" fillId="0" borderId="15" xfId="172" applyNumberFormat="1" applyFont="1" applyFill="1" applyBorder="1"/>
    <xf numFmtId="3" fontId="38" fillId="0" borderId="27" xfId="172" applyNumberFormat="1" applyFont="1" applyFill="1" applyBorder="1"/>
    <xf numFmtId="3" fontId="38" fillId="0" borderId="28" xfId="172" applyNumberFormat="1" applyFont="1" applyFill="1" applyBorder="1"/>
    <xf numFmtId="3" fontId="38" fillId="0" borderId="98" xfId="172" applyNumberFormat="1" applyFont="1" applyFill="1" applyBorder="1"/>
    <xf numFmtId="3" fontId="38" fillId="0" borderId="99" xfId="172" applyNumberFormat="1" applyFont="1" applyFill="1" applyBorder="1"/>
    <xf numFmtId="3" fontId="38" fillId="0" borderId="29" xfId="172" applyNumberFormat="1" applyFont="1" applyFill="1" applyBorder="1"/>
    <xf numFmtId="3" fontId="38" fillId="0" borderId="113" xfId="172" applyNumberFormat="1" applyFont="1" applyFill="1" applyBorder="1"/>
    <xf numFmtId="3" fontId="38" fillId="0" borderId="111" xfId="172" applyNumberFormat="1" applyFont="1" applyFill="1" applyBorder="1"/>
    <xf numFmtId="3" fontId="39" fillId="0" borderId="0" xfId="172" applyNumberFormat="1" applyFont="1" applyFill="1"/>
    <xf numFmtId="3" fontId="39" fillId="0" borderId="0" xfId="172" applyNumberFormat="1" applyFont="1" applyFill="1" applyAlignment="1"/>
    <xf numFmtId="3" fontId="39" fillId="0" borderId="0" xfId="172" applyNumberFormat="1" applyFont="1" applyFill="1" applyBorder="1"/>
    <xf numFmtId="0" fontId="39" fillId="0" borderId="0" xfId="172" applyFont="1" applyFill="1"/>
    <xf numFmtId="3" fontId="39" fillId="0" borderId="0" xfId="174" applyNumberFormat="1" applyFont="1" applyFill="1" applyBorder="1" applyAlignment="1">
      <alignment wrapText="1"/>
    </xf>
    <xf numFmtId="0" fontId="33" fillId="0" borderId="0" xfId="172" applyFont="1" applyFill="1" applyBorder="1"/>
    <xf numFmtId="0" fontId="39" fillId="0" borderId="0" xfId="172" applyFont="1" applyFill="1" applyBorder="1"/>
    <xf numFmtId="0" fontId="40" fillId="0" borderId="0" xfId="172" applyFont="1" applyFill="1" applyBorder="1"/>
    <xf numFmtId="0" fontId="43" fillId="0" borderId="0" xfId="172" applyFont="1" applyFill="1" applyBorder="1"/>
    <xf numFmtId="0" fontId="13" fillId="0" borderId="0" xfId="171" applyFont="1" applyFill="1" applyAlignment="1"/>
    <xf numFmtId="0" fontId="42" fillId="0" borderId="10" xfId="171" applyFont="1" applyFill="1" applyBorder="1" applyAlignment="1">
      <alignment horizontal="centerContinuous"/>
    </xf>
    <xf numFmtId="0" fontId="42" fillId="0" borderId="35" xfId="171" applyFont="1" applyFill="1" applyBorder="1" applyAlignment="1">
      <alignment horizontal="centerContinuous"/>
    </xf>
    <xf numFmtId="0" fontId="43" fillId="0" borderId="0" xfId="171" applyFont="1" applyFill="1" applyAlignment="1">
      <alignment horizontal="centerContinuous"/>
    </xf>
    <xf numFmtId="0" fontId="42" fillId="0" borderId="79" xfId="171" applyFont="1" applyFill="1" applyBorder="1" applyAlignment="1">
      <alignment horizontal="center" wrapText="1"/>
    </xf>
    <xf numFmtId="0" fontId="42" fillId="0" borderId="44" xfId="171" applyFont="1" applyFill="1" applyBorder="1" applyAlignment="1">
      <alignment horizontal="centerContinuous" wrapText="1"/>
    </xf>
    <xf numFmtId="3" fontId="42" fillId="0" borderId="44" xfId="171" applyNumberFormat="1" applyFont="1" applyFill="1" applyBorder="1" applyAlignment="1">
      <alignment horizontal="centerContinuous" wrapText="1"/>
    </xf>
    <xf numFmtId="3" fontId="42" fillId="0" borderId="79" xfId="171" applyNumberFormat="1" applyFont="1" applyFill="1" applyBorder="1" applyAlignment="1">
      <alignment horizontal="centerContinuous" wrapText="1"/>
    </xf>
    <xf numFmtId="0" fontId="43" fillId="0" borderId="0" xfId="171" applyFont="1" applyFill="1" applyAlignment="1">
      <alignment horizontal="centerContinuous" wrapText="1"/>
    </xf>
    <xf numFmtId="0" fontId="42" fillId="0" borderId="46" xfId="171" applyFont="1" applyFill="1" applyBorder="1" applyAlignment="1">
      <alignment horizontal="centerContinuous" wrapText="1"/>
    </xf>
    <xf numFmtId="0" fontId="42" fillId="0" borderId="47" xfId="171" applyFont="1" applyFill="1" applyBorder="1" applyAlignment="1">
      <alignment horizontal="centerContinuous" wrapText="1"/>
    </xf>
    <xf numFmtId="3" fontId="42" fillId="0" borderId="47" xfId="171" applyNumberFormat="1" applyFont="1" applyFill="1" applyBorder="1" applyAlignment="1">
      <alignment horizontal="centerContinuous" wrapText="1"/>
    </xf>
    <xf numFmtId="3" fontId="42" fillId="0" borderId="48" xfId="171" applyNumberFormat="1" applyFont="1" applyFill="1" applyBorder="1" applyAlignment="1">
      <alignment horizontal="centerContinuous" wrapText="1"/>
    </xf>
    <xf numFmtId="3" fontId="42" fillId="0" borderId="105" xfId="171" applyNumberFormat="1" applyFont="1" applyFill="1" applyBorder="1" applyAlignment="1">
      <alignment horizontal="centerContinuous" wrapText="1"/>
    </xf>
    <xf numFmtId="3" fontId="42" fillId="0" borderId="106" xfId="171" applyNumberFormat="1" applyFont="1" applyFill="1" applyBorder="1" applyAlignment="1">
      <alignment horizontal="centerContinuous" wrapText="1"/>
    </xf>
    <xf numFmtId="0" fontId="43" fillId="0" borderId="49" xfId="171" applyFont="1" applyFill="1" applyBorder="1"/>
    <xf numFmtId="3" fontId="43" fillId="0" borderId="49" xfId="171" applyNumberFormat="1" applyFont="1" applyFill="1" applyBorder="1"/>
    <xf numFmtId="3" fontId="43" fillId="0" borderId="50" xfId="171" applyNumberFormat="1" applyFont="1" applyFill="1" applyBorder="1"/>
    <xf numFmtId="3" fontId="43" fillId="0" borderId="51" xfId="171" applyNumberFormat="1" applyFont="1" applyFill="1" applyBorder="1"/>
    <xf numFmtId="3" fontId="43" fillId="0" borderId="107" xfId="171" applyNumberFormat="1" applyFont="1" applyFill="1" applyBorder="1"/>
    <xf numFmtId="3" fontId="43" fillId="0" borderId="87" xfId="171" applyNumberFormat="1" applyFont="1" applyFill="1" applyBorder="1"/>
    <xf numFmtId="3" fontId="13" fillId="0" borderId="53" xfId="171" applyNumberFormat="1" applyFont="1" applyFill="1" applyBorder="1"/>
    <xf numFmtId="3" fontId="13" fillId="0" borderId="54" xfId="171" applyNumberFormat="1" applyFont="1" applyFill="1" applyBorder="1"/>
    <xf numFmtId="3" fontId="13" fillId="0" borderId="55" xfId="171" applyNumberFormat="1" applyFont="1" applyFill="1" applyBorder="1"/>
    <xf numFmtId="3" fontId="13" fillId="0" borderId="45" xfId="171" applyNumberFormat="1" applyFont="1" applyFill="1" applyBorder="1"/>
    <xf numFmtId="0" fontId="43" fillId="0" borderId="11" xfId="171" applyFont="1" applyFill="1" applyBorder="1" applyAlignment="1">
      <alignment wrapText="1"/>
    </xf>
    <xf numFmtId="3" fontId="13" fillId="0" borderId="12" xfId="171" applyNumberFormat="1" applyFont="1" applyFill="1" applyBorder="1"/>
    <xf numFmtId="3" fontId="13" fillId="0" borderId="56" xfId="171" applyNumberFormat="1" applyFont="1" applyFill="1" applyBorder="1"/>
    <xf numFmtId="3" fontId="13" fillId="0" borderId="57" xfId="171" applyNumberFormat="1" applyFont="1" applyFill="1" applyBorder="1"/>
    <xf numFmtId="3" fontId="43" fillId="0" borderId="58" xfId="171" applyNumberFormat="1" applyFont="1" applyFill="1" applyBorder="1"/>
    <xf numFmtId="3" fontId="13" fillId="0" borderId="58" xfId="171" applyNumberFormat="1" applyFont="1" applyFill="1" applyBorder="1"/>
    <xf numFmtId="3" fontId="13" fillId="0" borderId="59" xfId="171" applyNumberFormat="1" applyFont="1" applyFill="1" applyBorder="1"/>
    <xf numFmtId="3" fontId="13" fillId="0" borderId="48" xfId="171" applyNumberFormat="1" applyFont="1" applyFill="1" applyBorder="1"/>
    <xf numFmtId="0" fontId="13" fillId="0" borderId="11" xfId="171" applyFont="1" applyFill="1" applyBorder="1" applyAlignment="1">
      <alignment wrapText="1"/>
    </xf>
    <xf numFmtId="0" fontId="13" fillId="0" borderId="11" xfId="171" applyFont="1" applyFill="1" applyBorder="1"/>
    <xf numFmtId="0" fontId="13" fillId="0" borderId="12" xfId="171" applyFont="1" applyFill="1" applyBorder="1"/>
    <xf numFmtId="3" fontId="44" fillId="0" borderId="56" xfId="171" applyNumberFormat="1" applyFont="1" applyFill="1" applyBorder="1"/>
    <xf numFmtId="3" fontId="44" fillId="0" borderId="21" xfId="171" applyNumberFormat="1" applyFont="1" applyFill="1" applyBorder="1"/>
    <xf numFmtId="0" fontId="14" fillId="0" borderId="15" xfId="171" applyFont="1" applyFill="1" applyBorder="1"/>
    <xf numFmtId="0" fontId="42" fillId="0" borderId="10" xfId="171" applyFont="1" applyFill="1" applyBorder="1"/>
    <xf numFmtId="3" fontId="12" fillId="0" borderId="83" xfId="171" applyNumberFormat="1" applyFont="1" applyFill="1" applyBorder="1"/>
    <xf numFmtId="3" fontId="12" fillId="0" borderId="15" xfId="171" applyNumberFormat="1" applyFont="1" applyFill="1" applyBorder="1"/>
    <xf numFmtId="0" fontId="13" fillId="0" borderId="13" xfId="171" applyFont="1" applyFill="1" applyBorder="1"/>
    <xf numFmtId="0" fontId="13" fillId="0" borderId="40" xfId="171" applyFont="1" applyFill="1" applyBorder="1"/>
    <xf numFmtId="0" fontId="42" fillId="0" borderId="42" xfId="174" applyFont="1" applyFill="1" applyBorder="1" applyAlignment="1">
      <alignment wrapText="1"/>
    </xf>
    <xf numFmtId="0" fontId="42" fillId="0" borderId="0" xfId="174" applyFont="1" applyFill="1" applyBorder="1" applyAlignment="1">
      <alignment wrapText="1"/>
    </xf>
    <xf numFmtId="3" fontId="38" fillId="0" borderId="17" xfId="172" applyNumberFormat="1" applyFont="1" applyFill="1" applyBorder="1" applyAlignment="1">
      <alignment wrapText="1"/>
    </xf>
    <xf numFmtId="3" fontId="33" fillId="0" borderId="24" xfId="172" applyNumberFormat="1" applyFont="1" applyFill="1" applyBorder="1" applyAlignment="1">
      <alignment wrapText="1"/>
    </xf>
    <xf numFmtId="3" fontId="33" fillId="0" borderId="65" xfId="172" applyNumberFormat="1" applyFont="1" applyFill="1" applyBorder="1"/>
    <xf numFmtId="3" fontId="38" fillId="0" borderId="24" xfId="172" applyNumberFormat="1" applyFont="1" applyFill="1" applyBorder="1" applyAlignment="1">
      <alignment wrapText="1"/>
    </xf>
    <xf numFmtId="3" fontId="39" fillId="0" borderId="65" xfId="172" applyNumberFormat="1" applyFont="1" applyFill="1" applyBorder="1" applyAlignment="1">
      <alignment wrapText="1"/>
    </xf>
    <xf numFmtId="3" fontId="39" fillId="0" borderId="73" xfId="172" applyNumberFormat="1" applyFont="1" applyFill="1" applyBorder="1" applyAlignment="1">
      <alignment wrapText="1"/>
    </xf>
    <xf numFmtId="3" fontId="39" fillId="0" borderId="74" xfId="172" applyNumberFormat="1" applyFont="1" applyFill="1" applyBorder="1" applyAlignment="1">
      <alignment wrapText="1"/>
    </xf>
    <xf numFmtId="0" fontId="42" fillId="0" borderId="10" xfId="171" applyFont="1" applyFill="1" applyBorder="1" applyAlignment="1">
      <alignment horizontal="centerContinuous" wrapText="1"/>
    </xf>
    <xf numFmtId="0" fontId="42" fillId="0" borderId="80" xfId="171" applyFont="1" applyFill="1" applyBorder="1" applyAlignment="1">
      <alignment horizontal="centerContinuous" wrapText="1"/>
    </xf>
    <xf numFmtId="3" fontId="13" fillId="0" borderId="36" xfId="171" applyNumberFormat="1" applyFont="1" applyFill="1" applyBorder="1"/>
    <xf numFmtId="3" fontId="51" fillId="0" borderId="0" xfId="173" applyNumberFormat="1" applyFont="1" applyFill="1"/>
    <xf numFmtId="3" fontId="38" fillId="0" borderId="94" xfId="197" applyNumberFormat="1" applyFont="1" applyFill="1" applyBorder="1"/>
    <xf numFmtId="3" fontId="39" fillId="0" borderId="94" xfId="197" applyNumberFormat="1" applyFont="1" applyFill="1" applyBorder="1"/>
    <xf numFmtId="3" fontId="38" fillId="0" borderId="33" xfId="195" applyNumberFormat="1" applyFont="1" applyFill="1" applyBorder="1" applyAlignment="1">
      <alignment horizontal="center" vertical="center" wrapText="1"/>
    </xf>
    <xf numFmtId="0" fontId="39" fillId="0" borderId="128" xfId="157" applyFont="1" applyFill="1" applyBorder="1"/>
    <xf numFmtId="0" fontId="39" fillId="0" borderId="0" xfId="157" applyFont="1" applyFill="1"/>
    <xf numFmtId="0" fontId="38" fillId="0" borderId="56" xfId="196" applyFont="1" applyFill="1" applyBorder="1" applyAlignment="1">
      <alignment wrapText="1"/>
    </xf>
    <xf numFmtId="0" fontId="39" fillId="0" borderId="94" xfId="196" applyFont="1" applyFill="1" applyBorder="1" applyAlignment="1">
      <alignment wrapText="1"/>
    </xf>
    <xf numFmtId="0" fontId="39" fillId="0" borderId="0" xfId="196" applyFont="1" applyFill="1"/>
    <xf numFmtId="0" fontId="39" fillId="0" borderId="56" xfId="196" applyFont="1" applyFill="1" applyBorder="1" applyAlignment="1">
      <alignment wrapText="1"/>
    </xf>
    <xf numFmtId="0" fontId="38" fillId="0" borderId="94" xfId="196" applyFont="1" applyFill="1" applyBorder="1" applyAlignment="1">
      <alignment wrapText="1"/>
    </xf>
    <xf numFmtId="3" fontId="38" fillId="0" borderId="56" xfId="196" applyNumberFormat="1" applyFont="1" applyFill="1" applyBorder="1" applyAlignment="1">
      <alignment wrapText="1"/>
    </xf>
    <xf numFmtId="0" fontId="38" fillId="0" borderId="0" xfId="196" applyFont="1" applyFill="1"/>
    <xf numFmtId="3" fontId="39" fillId="0" borderId="0" xfId="196" applyNumberFormat="1" applyFont="1" applyFill="1"/>
    <xf numFmtId="0" fontId="39" fillId="0" borderId="34" xfId="0" applyFont="1" applyFill="1" applyBorder="1" applyAlignment="1">
      <alignment wrapText="1"/>
    </xf>
    <xf numFmtId="0" fontId="39" fillId="0" borderId="0" xfId="196" applyFont="1" applyFill="1" applyAlignment="1">
      <alignment wrapText="1"/>
    </xf>
    <xf numFmtId="0" fontId="39" fillId="0" borderId="56" xfId="196" applyFont="1" applyFill="1" applyBorder="1"/>
    <xf numFmtId="0" fontId="39" fillId="0" borderId="59" xfId="196" applyFont="1" applyFill="1" applyBorder="1" applyAlignment="1">
      <alignment wrapText="1"/>
    </xf>
    <xf numFmtId="3" fontId="38" fillId="0" borderId="56" xfId="196" applyNumberFormat="1" applyFont="1" applyFill="1" applyBorder="1"/>
    <xf numFmtId="0" fontId="38" fillId="0" borderId="119" xfId="196" applyFont="1" applyFill="1" applyBorder="1"/>
    <xf numFmtId="0" fontId="38" fillId="0" borderId="120" xfId="196" applyFont="1" applyFill="1" applyBorder="1"/>
    <xf numFmtId="3" fontId="38" fillId="0" borderId="33" xfId="196" applyNumberFormat="1" applyFont="1" applyFill="1" applyBorder="1" applyAlignment="1">
      <alignment wrapText="1"/>
    </xf>
    <xf numFmtId="0" fontId="38" fillId="0" borderId="33" xfId="206" applyFont="1" applyFill="1" applyBorder="1" applyAlignment="1">
      <alignment horizontal="center" vertical="center" wrapText="1"/>
    </xf>
    <xf numFmtId="0" fontId="38" fillId="0" borderId="61" xfId="206" applyFont="1" applyFill="1" applyBorder="1" applyAlignment="1">
      <alignment horizontal="center" vertical="center"/>
    </xf>
    <xf numFmtId="0" fontId="39" fillId="0" borderId="0" xfId="206" applyFont="1" applyFill="1" applyAlignment="1">
      <alignment horizontal="center"/>
    </xf>
    <xf numFmtId="3" fontId="38" fillId="0" borderId="95" xfId="0" applyNumberFormat="1" applyFont="1" applyFill="1" applyBorder="1"/>
    <xf numFmtId="0" fontId="38" fillId="0" borderId="56" xfId="196" applyFont="1" applyFill="1" applyBorder="1"/>
    <xf numFmtId="3" fontId="38" fillId="0" borderId="94" xfId="0" applyNumberFormat="1" applyFont="1" applyFill="1" applyBorder="1"/>
    <xf numFmtId="0" fontId="39" fillId="0" borderId="56" xfId="0" applyFont="1" applyFill="1" applyBorder="1" applyAlignment="1">
      <alignment wrapText="1"/>
    </xf>
    <xf numFmtId="3" fontId="39" fillId="0" borderId="94" xfId="0" applyNumberFormat="1" applyFont="1" applyFill="1" applyBorder="1"/>
    <xf numFmtId="3" fontId="39" fillId="0" borderId="95" xfId="0" applyNumberFormat="1" applyFont="1" applyFill="1" applyBorder="1"/>
    <xf numFmtId="0" fontId="40" fillId="0" borderId="56" xfId="196" applyFont="1" applyFill="1" applyBorder="1" applyAlignment="1">
      <alignment wrapText="1"/>
    </xf>
    <xf numFmtId="0" fontId="39" fillId="0" borderId="101" xfId="196" applyFont="1" applyFill="1" applyBorder="1" applyAlignment="1">
      <alignment wrapText="1"/>
    </xf>
    <xf numFmtId="3" fontId="39" fillId="0" borderId="128" xfId="0" applyNumberFormat="1" applyFont="1" applyFill="1" applyBorder="1"/>
    <xf numFmtId="0" fontId="38" fillId="0" borderId="33" xfId="196" applyFont="1" applyFill="1" applyBorder="1" applyAlignment="1">
      <alignment wrapText="1"/>
    </xf>
    <xf numFmtId="3" fontId="38" fillId="0" borderId="61" xfId="0" applyNumberFormat="1" applyFont="1" applyFill="1" applyBorder="1"/>
    <xf numFmtId="3" fontId="39" fillId="0" borderId="95" xfId="196" applyNumberFormat="1" applyFont="1" applyFill="1" applyBorder="1" applyAlignment="1">
      <alignment wrapText="1"/>
    </xf>
    <xf numFmtId="3" fontId="39" fillId="0" borderId="94" xfId="196" applyNumberFormat="1" applyFont="1" applyFill="1" applyBorder="1" applyAlignment="1">
      <alignment wrapText="1"/>
    </xf>
    <xf numFmtId="0" fontId="39" fillId="0" borderId="56" xfId="206" applyFont="1" applyFill="1" applyBorder="1" applyAlignment="1">
      <alignment wrapText="1"/>
    </xf>
    <xf numFmtId="3" fontId="38" fillId="0" borderId="94" xfId="196" applyNumberFormat="1" applyFont="1" applyFill="1" applyBorder="1" applyAlignment="1">
      <alignment wrapText="1"/>
    </xf>
    <xf numFmtId="0" fontId="39" fillId="0" borderId="75" xfId="196" applyFont="1" applyFill="1" applyBorder="1" applyAlignment="1">
      <alignment wrapText="1"/>
    </xf>
    <xf numFmtId="3" fontId="39" fillId="0" borderId="121" xfId="196" applyNumberFormat="1" applyFont="1" applyFill="1" applyBorder="1" applyAlignment="1">
      <alignment wrapText="1"/>
    </xf>
    <xf numFmtId="3" fontId="38" fillId="0" borderId="61" xfId="196" applyNumberFormat="1" applyFont="1" applyFill="1" applyBorder="1" applyAlignment="1">
      <alignment wrapText="1"/>
    </xf>
    <xf numFmtId="0" fontId="38" fillId="0" borderId="101" xfId="196" applyFont="1" applyFill="1" applyBorder="1" applyAlignment="1">
      <alignment wrapText="1"/>
    </xf>
    <xf numFmtId="3" fontId="38" fillId="0" borderId="128" xfId="196" applyNumberFormat="1" applyFont="1" applyFill="1" applyBorder="1" applyAlignment="1">
      <alignment wrapText="1"/>
    </xf>
    <xf numFmtId="0" fontId="13" fillId="0" borderId="88" xfId="195" applyFont="1" applyFill="1" applyBorder="1" applyAlignment="1">
      <alignment horizontal="center"/>
    </xf>
    <xf numFmtId="0" fontId="13" fillId="0" borderId="88" xfId="195" applyFont="1" applyFill="1" applyBorder="1" applyAlignment="1">
      <alignment horizontal="center" wrapText="1"/>
    </xf>
    <xf numFmtId="3" fontId="13" fillId="0" borderId="92" xfId="195" applyNumberFormat="1" applyFont="1" applyFill="1" applyBorder="1" applyAlignment="1">
      <alignment horizontal="center" wrapText="1"/>
    </xf>
    <xf numFmtId="3" fontId="13" fillId="0" borderId="89" xfId="195" applyNumberFormat="1" applyFont="1" applyFill="1" applyBorder="1" applyAlignment="1">
      <alignment horizontal="center" wrapText="1"/>
    </xf>
    <xf numFmtId="0" fontId="13" fillId="0" borderId="84" xfId="195" applyFont="1" applyFill="1" applyBorder="1" applyAlignment="1">
      <alignment horizontal="right"/>
    </xf>
    <xf numFmtId="3" fontId="13" fillId="0" borderId="91" xfId="195" applyNumberFormat="1" applyFont="1" applyFill="1" applyBorder="1" applyAlignment="1">
      <alignment wrapText="1"/>
    </xf>
    <xf numFmtId="3" fontId="13" fillId="0" borderId="93" xfId="195" applyNumberFormat="1" applyFont="1" applyFill="1" applyBorder="1"/>
    <xf numFmtId="3" fontId="13" fillId="0" borderId="93" xfId="195" applyNumberFormat="1" applyFont="1" applyFill="1" applyBorder="1" applyAlignment="1">
      <alignment horizontal="center"/>
    </xf>
    <xf numFmtId="0" fontId="13" fillId="0" borderId="85" xfId="195" applyFont="1" applyFill="1" applyBorder="1" applyAlignment="1">
      <alignment horizontal="right"/>
    </xf>
    <xf numFmtId="3" fontId="13" fillId="0" borderId="56" xfId="195" applyNumberFormat="1" applyFont="1" applyFill="1" applyBorder="1" applyAlignment="1">
      <alignment wrapText="1"/>
    </xf>
    <xf numFmtId="3" fontId="13" fillId="0" borderId="31" xfId="195" applyNumberFormat="1" applyFont="1" applyFill="1" applyBorder="1"/>
    <xf numFmtId="3" fontId="13" fillId="0" borderId="31" xfId="195" applyNumberFormat="1" applyFont="1" applyFill="1" applyBorder="1" applyAlignment="1">
      <alignment horizontal="center"/>
    </xf>
    <xf numFmtId="0" fontId="13" fillId="0" borderId="56" xfId="195" applyFont="1" applyFill="1" applyBorder="1" applyAlignment="1">
      <alignment wrapText="1"/>
    </xf>
    <xf numFmtId="0" fontId="40" fillId="0" borderId="85" xfId="195" applyFont="1" applyFill="1" applyBorder="1" applyAlignment="1">
      <alignment horizontal="right"/>
    </xf>
    <xf numFmtId="0" fontId="33" fillId="0" borderId="56" xfId="195" applyFont="1" applyFill="1" applyBorder="1" applyAlignment="1">
      <alignment wrapText="1"/>
    </xf>
    <xf numFmtId="3" fontId="33" fillId="0" borderId="94" xfId="195" applyNumberFormat="1" applyFont="1" applyFill="1" applyBorder="1" applyAlignment="1">
      <alignment wrapText="1"/>
    </xf>
    <xf numFmtId="3" fontId="33" fillId="0" borderId="31" xfId="195" applyNumberFormat="1" applyFont="1" applyFill="1" applyBorder="1"/>
    <xf numFmtId="3" fontId="39" fillId="0" borderId="31" xfId="195" applyNumberFormat="1" applyFont="1" applyFill="1" applyBorder="1"/>
    <xf numFmtId="3" fontId="33" fillId="0" borderId="31" xfId="195" applyNumberFormat="1" applyFont="1" applyFill="1" applyBorder="1" applyAlignment="1">
      <alignment horizontal="center"/>
    </xf>
    <xf numFmtId="0" fontId="33" fillId="0" borderId="0" xfId="157" applyFont="1" applyFill="1"/>
    <xf numFmtId="3" fontId="33" fillId="0" borderId="94" xfId="195" applyNumberFormat="1" applyFont="1" applyFill="1" applyBorder="1" applyAlignment="1">
      <alignment horizontal="center"/>
    </xf>
    <xf numFmtId="3" fontId="33" fillId="0" borderId="94" xfId="195" applyNumberFormat="1" applyFont="1" applyFill="1" applyBorder="1"/>
    <xf numFmtId="0" fontId="14" fillId="0" borderId="56" xfId="195" applyFont="1" applyFill="1" applyBorder="1" applyAlignment="1">
      <alignment wrapText="1"/>
    </xf>
    <xf numFmtId="3" fontId="14" fillId="0" borderId="94" xfId="195" applyNumberFormat="1" applyFont="1" applyFill="1" applyBorder="1"/>
    <xf numFmtId="3" fontId="14" fillId="0" borderId="94" xfId="195" applyNumberFormat="1" applyFont="1" applyFill="1" applyBorder="1" applyAlignment="1">
      <alignment horizontal="center"/>
    </xf>
    <xf numFmtId="0" fontId="14" fillId="0" borderId="56" xfId="157" applyFont="1" applyFill="1" applyBorder="1" applyAlignment="1">
      <alignment wrapText="1"/>
    </xf>
    <xf numFmtId="3" fontId="13" fillId="0" borderId="31" xfId="195" applyNumberFormat="1" applyFont="1" applyFill="1" applyBorder="1" applyAlignment="1">
      <alignment wrapText="1"/>
    </xf>
    <xf numFmtId="3" fontId="13" fillId="0" borderId="31" xfId="195" applyNumberFormat="1" applyFont="1" applyFill="1" applyBorder="1" applyAlignment="1">
      <alignment horizontal="center" wrapText="1"/>
    </xf>
    <xf numFmtId="3" fontId="14" fillId="0" borderId="31" xfId="195" applyNumberFormat="1" applyFont="1" applyFill="1" applyBorder="1"/>
    <xf numFmtId="3" fontId="14" fillId="0" borderId="31" xfId="195" applyNumberFormat="1" applyFont="1" applyFill="1" applyBorder="1" applyAlignment="1">
      <alignment horizontal="center"/>
    </xf>
    <xf numFmtId="0" fontId="12" fillId="0" borderId="56" xfId="157" applyFont="1" applyFill="1" applyBorder="1" applyAlignment="1">
      <alignment wrapText="1"/>
    </xf>
    <xf numFmtId="0" fontId="38" fillId="0" borderId="85" xfId="195" applyFont="1" applyFill="1" applyBorder="1" applyAlignment="1">
      <alignment horizontal="right"/>
    </xf>
    <xf numFmtId="0" fontId="33" fillId="0" borderId="56" xfId="157" applyFont="1" applyFill="1" applyBorder="1" applyAlignment="1">
      <alignment wrapText="1"/>
    </xf>
    <xf numFmtId="3" fontId="33" fillId="0" borderId="94" xfId="157" applyNumberFormat="1" applyFont="1" applyFill="1" applyBorder="1" applyAlignment="1">
      <alignment wrapText="1"/>
    </xf>
    <xf numFmtId="3" fontId="33" fillId="0" borderId="56" xfId="195" applyNumberFormat="1" applyFont="1" applyFill="1" applyBorder="1" applyAlignment="1">
      <alignment horizontal="center"/>
    </xf>
    <xf numFmtId="0" fontId="33" fillId="0" borderId="56" xfId="157" applyFont="1" applyFill="1" applyBorder="1" applyAlignment="1">
      <alignment horizontal="left" wrapText="1"/>
    </xf>
    <xf numFmtId="3" fontId="33" fillId="0" borderId="94" xfId="157" applyNumberFormat="1" applyFont="1" applyFill="1" applyBorder="1" applyAlignment="1">
      <alignment horizontal="right" wrapText="1"/>
    </xf>
    <xf numFmtId="0" fontId="13" fillId="0" borderId="56" xfId="195" applyFont="1" applyFill="1" applyBorder="1" applyAlignment="1">
      <alignment horizontal="right"/>
    </xf>
    <xf numFmtId="0" fontId="13" fillId="0" borderId="33" xfId="195" applyFont="1" applyFill="1" applyBorder="1" applyAlignment="1">
      <alignment wrapText="1"/>
    </xf>
    <xf numFmtId="3" fontId="13" fillId="0" borderId="67" xfId="195" applyNumberFormat="1" applyFont="1" applyFill="1" applyBorder="1"/>
    <xf numFmtId="3" fontId="13" fillId="0" borderId="67" xfId="195" applyNumberFormat="1" applyFont="1" applyFill="1" applyBorder="1" applyAlignment="1">
      <alignment horizontal="center"/>
    </xf>
    <xf numFmtId="0" fontId="13" fillId="0" borderId="75" xfId="195" applyFont="1" applyFill="1" applyBorder="1" applyAlignment="1">
      <alignment horizontal="right"/>
    </xf>
    <xf numFmtId="3" fontId="14" fillId="0" borderId="95" xfId="195" applyNumberFormat="1" applyFont="1" applyFill="1" applyBorder="1"/>
    <xf numFmtId="3" fontId="14" fillId="0" borderId="95" xfId="195" applyNumberFormat="1" applyFont="1" applyFill="1" applyBorder="1" applyAlignment="1">
      <alignment horizontal="center"/>
    </xf>
    <xf numFmtId="0" fontId="13" fillId="0" borderId="90" xfId="195" applyFont="1" applyFill="1" applyBorder="1" applyAlignment="1">
      <alignment horizontal="right"/>
    </xf>
    <xf numFmtId="3" fontId="13" fillId="0" borderId="33" xfId="195" applyNumberFormat="1" applyFont="1" applyFill="1" applyBorder="1"/>
    <xf numFmtId="3" fontId="13" fillId="0" borderId="33" xfId="195" applyNumberFormat="1" applyFont="1" applyFill="1" applyBorder="1" applyAlignment="1">
      <alignment horizontal="center"/>
    </xf>
    <xf numFmtId="3" fontId="50" fillId="0" borderId="33" xfId="0" applyNumberFormat="1" applyFont="1" applyFill="1" applyBorder="1" applyAlignment="1">
      <alignment horizontal="center" vertical="center" wrapText="1"/>
    </xf>
    <xf numFmtId="3" fontId="50" fillId="0" borderId="60" xfId="0" applyNumberFormat="1" applyFont="1" applyFill="1" applyBorder="1" applyAlignment="1">
      <alignment horizontal="center" vertical="center" wrapText="1"/>
    </xf>
    <xf numFmtId="3" fontId="50" fillId="0" borderId="61" xfId="0" applyNumberFormat="1" applyFont="1" applyFill="1" applyBorder="1" applyAlignment="1">
      <alignment horizontal="center" vertical="center" wrapText="1"/>
    </xf>
    <xf numFmtId="3" fontId="50" fillId="0" borderId="68" xfId="0" applyNumberFormat="1" applyFont="1" applyFill="1" applyBorder="1" applyAlignment="1">
      <alignment horizontal="center" vertical="center" wrapText="1"/>
    </xf>
    <xf numFmtId="3" fontId="13" fillId="0" borderId="33" xfId="0" applyNumberFormat="1" applyFont="1" applyFill="1" applyBorder="1" applyAlignment="1">
      <alignment horizontal="center" vertical="center"/>
    </xf>
    <xf numFmtId="3" fontId="13" fillId="0" borderId="60" xfId="0" applyNumberFormat="1" applyFont="1" applyFill="1" applyBorder="1" applyAlignment="1">
      <alignment horizontal="center" vertical="center"/>
    </xf>
    <xf numFmtId="3" fontId="13" fillId="0" borderId="61" xfId="0" applyNumberFormat="1" applyFont="1" applyFill="1" applyBorder="1" applyAlignment="1">
      <alignment horizontal="center" vertical="center"/>
    </xf>
    <xf numFmtId="3" fontId="13" fillId="0" borderId="68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3" fontId="13" fillId="0" borderId="62" xfId="0" applyNumberFormat="1" applyFont="1" applyFill="1" applyBorder="1"/>
    <xf numFmtId="3" fontId="13" fillId="0" borderId="30" xfId="0" applyNumberFormat="1" applyFont="1" applyFill="1" applyBorder="1" applyAlignment="1">
      <alignment wrapText="1"/>
    </xf>
    <xf numFmtId="3" fontId="13" fillId="0" borderId="63" xfId="0" applyNumberFormat="1" applyFont="1" applyFill="1" applyBorder="1"/>
    <xf numFmtId="3" fontId="13" fillId="0" borderId="19" xfId="0" applyNumberFormat="1" applyFont="1" applyFill="1" applyBorder="1"/>
    <xf numFmtId="3" fontId="13" fillId="0" borderId="59" xfId="0" applyNumberFormat="1" applyFont="1" applyFill="1" applyBorder="1"/>
    <xf numFmtId="3" fontId="13" fillId="0" borderId="91" xfId="0" applyNumberFormat="1" applyFont="1" applyFill="1" applyBorder="1"/>
    <xf numFmtId="3" fontId="13" fillId="0" borderId="0" xfId="0" applyNumberFormat="1" applyFont="1" applyFill="1"/>
    <xf numFmtId="3" fontId="45" fillId="0" borderId="62" xfId="0" applyNumberFormat="1" applyFont="1" applyFill="1" applyBorder="1"/>
    <xf numFmtId="3" fontId="45" fillId="0" borderId="31" xfId="0" applyNumberFormat="1" applyFont="1" applyFill="1" applyBorder="1" applyAlignment="1">
      <alignment wrapText="1"/>
    </xf>
    <xf numFmtId="3" fontId="45" fillId="0" borderId="63" xfId="0" applyNumberFormat="1" applyFont="1" applyFill="1" applyBorder="1"/>
    <xf numFmtId="3" fontId="45" fillId="0" borderId="24" xfId="0" applyNumberFormat="1" applyFont="1" applyFill="1" applyBorder="1"/>
    <xf numFmtId="3" fontId="45" fillId="0" borderId="19" xfId="0" applyNumberFormat="1" applyFont="1" applyFill="1" applyBorder="1"/>
    <xf numFmtId="3" fontId="45" fillId="0" borderId="59" xfId="0" applyNumberFormat="1" applyFont="1" applyFill="1" applyBorder="1"/>
    <xf numFmtId="3" fontId="45" fillId="0" borderId="0" xfId="0" applyNumberFormat="1" applyFont="1" applyFill="1"/>
    <xf numFmtId="3" fontId="13" fillId="0" borderId="56" xfId="0" applyNumberFormat="1" applyFont="1" applyFill="1" applyBorder="1"/>
    <xf numFmtId="3" fontId="13" fillId="0" borderId="69" xfId="0" applyNumberFormat="1" applyFont="1" applyFill="1" applyBorder="1" applyAlignment="1">
      <alignment wrapText="1"/>
    </xf>
    <xf numFmtId="3" fontId="45" fillId="0" borderId="69" xfId="0" applyNumberFormat="1" applyFont="1" applyFill="1" applyBorder="1" applyAlignment="1">
      <alignment wrapText="1"/>
    </xf>
    <xf numFmtId="3" fontId="14" fillId="0" borderId="62" xfId="0" applyNumberFormat="1" applyFont="1" applyFill="1" applyBorder="1"/>
    <xf numFmtId="3" fontId="14" fillId="0" borderId="63" xfId="0" applyNumberFormat="1" applyFont="1" applyFill="1" applyBorder="1"/>
    <xf numFmtId="3" fontId="14" fillId="0" borderId="19" xfId="0" applyNumberFormat="1" applyFont="1" applyFill="1" applyBorder="1"/>
    <xf numFmtId="3" fontId="14" fillId="0" borderId="59" xfId="0" applyNumberFormat="1" applyFont="1" applyFill="1" applyBorder="1"/>
    <xf numFmtId="3" fontId="14" fillId="0" borderId="56" xfId="0" applyNumberFormat="1" applyFont="1" applyFill="1" applyBorder="1"/>
    <xf numFmtId="3" fontId="14" fillId="0" borderId="0" xfId="0" applyNumberFormat="1" applyFont="1" applyFill="1"/>
    <xf numFmtId="3" fontId="13" fillId="0" borderId="32" xfId="0" applyNumberFormat="1" applyFont="1" applyFill="1" applyBorder="1"/>
    <xf numFmtId="0" fontId="14" fillId="0" borderId="31" xfId="194" applyFont="1" applyFill="1" applyBorder="1" applyAlignment="1">
      <alignment wrapText="1"/>
    </xf>
    <xf numFmtId="0" fontId="0" fillId="0" borderId="31" xfId="194" applyFont="1" applyFill="1" applyBorder="1" applyAlignment="1">
      <alignment wrapText="1"/>
    </xf>
    <xf numFmtId="0" fontId="14" fillId="0" borderId="31" xfId="0" applyFont="1" applyFill="1" applyBorder="1" applyAlignment="1">
      <alignment wrapText="1"/>
    </xf>
    <xf numFmtId="0" fontId="13" fillId="0" borderId="31" xfId="0" applyFont="1" applyFill="1" applyBorder="1" applyAlignment="1">
      <alignment wrapText="1"/>
    </xf>
    <xf numFmtId="3" fontId="13" fillId="0" borderId="31" xfId="0" applyNumberFormat="1" applyFont="1" applyFill="1" applyBorder="1" applyAlignment="1">
      <alignment wrapText="1"/>
    </xf>
    <xf numFmtId="3" fontId="13" fillId="0" borderId="34" xfId="0" applyNumberFormat="1" applyFont="1" applyFill="1" applyBorder="1"/>
    <xf numFmtId="3" fontId="13" fillId="0" borderId="20" xfId="0" applyNumberFormat="1" applyFont="1" applyFill="1" applyBorder="1"/>
    <xf numFmtId="3" fontId="13" fillId="0" borderId="85" xfId="0" applyNumberFormat="1" applyFont="1" applyFill="1" applyBorder="1"/>
    <xf numFmtId="3" fontId="0" fillId="0" borderId="0" xfId="0" applyNumberFormat="1" applyFont="1" applyFill="1"/>
    <xf numFmtId="0" fontId="39" fillId="0" borderId="31" xfId="196" applyFont="1" applyFill="1" applyBorder="1" applyAlignment="1">
      <alignment wrapText="1"/>
    </xf>
    <xf numFmtId="0" fontId="13" fillId="0" borderId="31" xfId="194" applyFont="1" applyFill="1" applyBorder="1" applyAlignment="1">
      <alignment wrapText="1"/>
    </xf>
    <xf numFmtId="3" fontId="13" fillId="0" borderId="66" xfId="0" applyNumberFormat="1" applyFont="1" applyFill="1" applyBorder="1"/>
    <xf numFmtId="3" fontId="13" fillId="0" borderId="67" xfId="0" applyNumberFormat="1" applyFont="1" applyFill="1" applyBorder="1" applyAlignment="1">
      <alignment wrapText="1"/>
    </xf>
    <xf numFmtId="3" fontId="13" fillId="0" borderId="33" xfId="0" applyNumberFormat="1" applyFont="1" applyFill="1" applyBorder="1"/>
    <xf numFmtId="3" fontId="13" fillId="0" borderId="65" xfId="0" applyNumberFormat="1" applyFont="1" applyFill="1" applyBorder="1"/>
    <xf numFmtId="3" fontId="13" fillId="0" borderId="75" xfId="0" applyNumberFormat="1" applyFont="1" applyFill="1" applyBorder="1"/>
    <xf numFmtId="3" fontId="13" fillId="0" borderId="70" xfId="0" applyNumberFormat="1" applyFont="1" applyFill="1" applyBorder="1"/>
    <xf numFmtId="3" fontId="13" fillId="0" borderId="71" xfId="0" applyNumberFormat="1" applyFont="1" applyFill="1" applyBorder="1" applyAlignment="1">
      <alignment wrapText="1"/>
    </xf>
    <xf numFmtId="3" fontId="13" fillId="0" borderId="72" xfId="0" applyNumberFormat="1" applyFont="1" applyFill="1" applyBorder="1"/>
    <xf numFmtId="3" fontId="13" fillId="0" borderId="74" xfId="0" applyNumberFormat="1" applyFont="1" applyFill="1" applyBorder="1"/>
    <xf numFmtId="3" fontId="13" fillId="0" borderId="102" xfId="0" applyNumberFormat="1" applyFont="1" applyFill="1" applyBorder="1"/>
    <xf numFmtId="3" fontId="13" fillId="0" borderId="76" xfId="0" applyNumberFormat="1" applyFont="1" applyFill="1" applyBorder="1" applyAlignment="1">
      <alignment wrapText="1"/>
    </xf>
    <xf numFmtId="3" fontId="13" fillId="0" borderId="76" xfId="0" applyNumberFormat="1" applyFont="1" applyFill="1" applyBorder="1"/>
    <xf numFmtId="0" fontId="13" fillId="0" borderId="87" xfId="171" applyFont="1" applyFill="1" applyBorder="1" applyAlignment="1">
      <alignment horizontal="center"/>
    </xf>
    <xf numFmtId="0" fontId="13" fillId="0" borderId="43" xfId="171" applyFont="1" applyFill="1" applyBorder="1" applyAlignment="1">
      <alignment horizontal="left" wrapText="1"/>
    </xf>
    <xf numFmtId="0" fontId="13" fillId="0" borderId="86" xfId="171" applyFont="1" applyFill="1" applyBorder="1" applyAlignment="1">
      <alignment horizontal="left" wrapText="1"/>
    </xf>
    <xf numFmtId="3" fontId="13" fillId="0" borderId="43" xfId="176" applyNumberFormat="1" applyFont="1" applyFill="1" applyBorder="1" applyAlignment="1">
      <alignment horizontal="right" wrapText="1"/>
    </xf>
    <xf numFmtId="0" fontId="13" fillId="0" borderId="36" xfId="171" applyFont="1" applyFill="1" applyBorder="1" applyAlignment="1">
      <alignment horizontal="left"/>
    </xf>
    <xf numFmtId="0" fontId="13" fillId="0" borderId="11" xfId="171" applyFont="1" applyFill="1" applyBorder="1" applyAlignment="1">
      <alignment horizontal="left" wrapText="1"/>
    </xf>
    <xf numFmtId="0" fontId="13" fillId="0" borderId="11" xfId="171" applyFont="1" applyFill="1" applyBorder="1" applyAlignment="1">
      <alignment horizontal="left"/>
    </xf>
    <xf numFmtId="0" fontId="13" fillId="0" borderId="0" xfId="0" applyFont="1" applyFill="1"/>
    <xf numFmtId="3" fontId="13" fillId="0" borderId="38" xfId="171" applyNumberFormat="1" applyFont="1" applyFill="1" applyBorder="1"/>
    <xf numFmtId="0" fontId="13" fillId="0" borderId="15" xfId="171" applyFont="1" applyFill="1" applyBorder="1"/>
    <xf numFmtId="3" fontId="13" fillId="0" borderId="15" xfId="171" applyNumberFormat="1" applyFont="1" applyFill="1" applyBorder="1"/>
    <xf numFmtId="0" fontId="54" fillId="0" borderId="21" xfId="199" applyBorder="1" applyAlignment="1">
      <alignment wrapText="1"/>
    </xf>
    <xf numFmtId="3" fontId="54" fillId="0" borderId="34" xfId="200" applyNumberFormat="1" applyBorder="1"/>
    <xf numFmtId="3" fontId="54" fillId="0" borderId="24" xfId="200" applyNumberFormat="1" applyBorder="1"/>
    <xf numFmtId="3" fontId="54" fillId="0" borderId="65" xfId="200" applyNumberFormat="1" applyBorder="1"/>
    <xf numFmtId="3" fontId="54" fillId="0" borderId="11" xfId="200" applyNumberFormat="1" applyBorder="1"/>
    <xf numFmtId="3" fontId="54" fillId="0" borderId="20" xfId="200" applyNumberFormat="1" applyBorder="1"/>
    <xf numFmtId="3" fontId="54" fillId="0" borderId="38" xfId="200" applyNumberFormat="1" applyBorder="1"/>
    <xf numFmtId="0" fontId="54" fillId="0" borderId="39" xfId="199" applyBorder="1" applyAlignment="1">
      <alignment wrapText="1"/>
    </xf>
    <xf numFmtId="3" fontId="54" fillId="0" borderId="81" xfId="200" applyNumberFormat="1" applyBorder="1"/>
    <xf numFmtId="3" fontId="54" fillId="0" borderId="74" xfId="200" applyNumberFormat="1" applyBorder="1"/>
    <xf numFmtId="0" fontId="54" fillId="0" borderId="37" xfId="199" applyBorder="1" applyAlignment="1">
      <alignment wrapText="1"/>
    </xf>
    <xf numFmtId="3" fontId="54" fillId="0" borderId="63" xfId="200" applyNumberFormat="1" applyBorder="1"/>
    <xf numFmtId="3" fontId="54" fillId="0" borderId="23" xfId="200" applyNumberFormat="1" applyBorder="1"/>
    <xf numFmtId="3" fontId="54" fillId="0" borderId="19" xfId="200" applyNumberFormat="1" applyBorder="1"/>
    <xf numFmtId="3" fontId="54" fillId="0" borderId="64" xfId="200" applyNumberFormat="1" applyBorder="1"/>
    <xf numFmtId="3" fontId="54" fillId="0" borderId="36" xfId="200" applyNumberFormat="1" applyBorder="1"/>
    <xf numFmtId="0" fontId="54" fillId="0" borderId="104" xfId="199" applyBorder="1" applyAlignment="1">
      <alignment wrapText="1"/>
    </xf>
    <xf numFmtId="3" fontId="54" fillId="0" borderId="110" xfId="200" applyNumberFormat="1" applyBorder="1"/>
    <xf numFmtId="3" fontId="54" fillId="0" borderId="17" xfId="200" applyNumberFormat="1" applyBorder="1"/>
    <xf numFmtId="3" fontId="54" fillId="0" borderId="97" xfId="200" applyNumberFormat="1" applyBorder="1"/>
    <xf numFmtId="3" fontId="54" fillId="0" borderId="43" xfId="200" applyNumberFormat="1" applyBorder="1"/>
    <xf numFmtId="3" fontId="54" fillId="0" borderId="86" xfId="200" applyNumberFormat="1" applyBorder="1"/>
    <xf numFmtId="0" fontId="54" fillId="0" borderId="48" xfId="199" applyBorder="1" applyAlignment="1">
      <alignment wrapText="1"/>
    </xf>
    <xf numFmtId="3" fontId="54" fillId="0" borderId="72" xfId="200" applyNumberFormat="1" applyBorder="1"/>
    <xf numFmtId="3" fontId="54" fillId="0" borderId="73" xfId="200" applyNumberFormat="1" applyBorder="1"/>
    <xf numFmtId="3" fontId="14" fillId="0" borderId="26" xfId="200" applyNumberFormat="1" applyFont="1" applyBorder="1"/>
    <xf numFmtId="3" fontId="33" fillId="0" borderId="22" xfId="172" applyNumberFormat="1" applyFont="1" applyFill="1" applyBorder="1" applyAlignment="1">
      <alignment wrapText="1"/>
    </xf>
    <xf numFmtId="0" fontId="38" fillId="0" borderId="61" xfId="206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wrapText="1"/>
    </xf>
    <xf numFmtId="3" fontId="0" fillId="0" borderId="63" xfId="0" applyNumberFormat="1" applyFont="1" applyFill="1" applyBorder="1"/>
    <xf numFmtId="16" fontId="39" fillId="0" borderId="0" xfId="157" applyNumberFormat="1" applyFont="1" applyFill="1"/>
    <xf numFmtId="0" fontId="12" fillId="0" borderId="0" xfId="195" applyFont="1" applyFill="1" applyAlignment="1">
      <alignment horizontal="center"/>
    </xf>
    <xf numFmtId="3" fontId="12" fillId="0" borderId="31" xfId="195" applyNumberFormat="1" applyFont="1" applyFill="1" applyBorder="1" applyAlignment="1">
      <alignment horizontal="center"/>
    </xf>
    <xf numFmtId="3" fontId="12" fillId="0" borderId="69" xfId="195" applyNumberFormat="1" applyFont="1" applyFill="1" applyBorder="1" applyAlignment="1">
      <alignment horizontal="center"/>
    </xf>
    <xf numFmtId="3" fontId="12" fillId="0" borderId="0" xfId="195" applyNumberFormat="1" applyFont="1" applyFill="1" applyAlignment="1">
      <alignment horizontal="center"/>
    </xf>
    <xf numFmtId="0" fontId="12" fillId="0" borderId="0" xfId="195" applyFont="1" applyFill="1" applyAlignment="1">
      <alignment horizontal="left"/>
    </xf>
    <xf numFmtId="3" fontId="42" fillId="0" borderId="31" xfId="197" applyNumberFormat="1" applyFont="1" applyFill="1" applyBorder="1"/>
    <xf numFmtId="3" fontId="14" fillId="0" borderId="31" xfId="197" applyNumberFormat="1" applyFont="1" applyFill="1" applyBorder="1"/>
    <xf numFmtId="3" fontId="42" fillId="0" borderId="126" xfId="197" applyNumberFormat="1" applyFont="1" applyFill="1" applyBorder="1"/>
    <xf numFmtId="3" fontId="42" fillId="0" borderId="31" xfId="197" applyNumberFormat="1" applyFont="1" applyFill="1" applyBorder="1" applyAlignment="1">
      <alignment horizontal="right"/>
    </xf>
    <xf numFmtId="0" fontId="70" fillId="0" borderId="0" xfId="0" applyFont="1" applyAlignment="1">
      <alignment wrapText="1"/>
    </xf>
    <xf numFmtId="0" fontId="71" fillId="0" borderId="24" xfId="0" applyFont="1" applyBorder="1" applyAlignment="1">
      <alignment horizontal="center" vertical="center" wrapText="1"/>
    </xf>
    <xf numFmtId="0" fontId="12" fillId="0" borderId="11" xfId="200" applyFont="1" applyBorder="1"/>
    <xf numFmtId="3" fontId="54" fillId="24" borderId="63" xfId="200" applyNumberFormat="1" applyFill="1" applyBorder="1"/>
    <xf numFmtId="3" fontId="14" fillId="24" borderId="63" xfId="200" applyNumberFormat="1" applyFont="1" applyFill="1" applyBorder="1"/>
    <xf numFmtId="3" fontId="12" fillId="24" borderId="63" xfId="200" applyNumberFormat="1" applyFont="1" applyFill="1" applyBorder="1"/>
    <xf numFmtId="3" fontId="13" fillId="24" borderId="34" xfId="200" applyNumberFormat="1" applyFont="1" applyFill="1" applyBorder="1"/>
    <xf numFmtId="3" fontId="13" fillId="24" borderId="11" xfId="200" applyNumberFormat="1" applyFont="1" applyFill="1" applyBorder="1"/>
    <xf numFmtId="3" fontId="13" fillId="24" borderId="65" xfId="200" applyNumberFormat="1" applyFont="1" applyFill="1" applyBorder="1"/>
    <xf numFmtId="3" fontId="13" fillId="24" borderId="20" xfId="200" applyNumberFormat="1" applyFont="1" applyFill="1" applyBorder="1"/>
    <xf numFmtId="3" fontId="71" fillId="0" borderId="24" xfId="0" applyNumberFormat="1" applyFont="1" applyBorder="1" applyAlignment="1">
      <alignment horizontal="center" vertical="center" wrapText="1"/>
    </xf>
    <xf numFmtId="0" fontId="69" fillId="0" borderId="24" xfId="0" applyFont="1" applyBorder="1" applyAlignment="1">
      <alignment horizontal="center" vertical="center" wrapText="1"/>
    </xf>
    <xf numFmtId="0" fontId="72" fillId="0" borderId="0" xfId="0" applyFont="1" applyBorder="1" applyAlignment="1">
      <alignment wrapText="1"/>
    </xf>
    <xf numFmtId="0" fontId="74" fillId="25" borderId="24" xfId="0" applyFont="1" applyFill="1" applyBorder="1" applyAlignment="1">
      <alignment horizontal="center" vertical="center" wrapText="1"/>
    </xf>
    <xf numFmtId="0" fontId="71" fillId="0" borderId="24" xfId="0" applyFont="1" applyBorder="1" applyAlignment="1">
      <alignment vertical="center" wrapText="1"/>
    </xf>
    <xf numFmtId="0" fontId="67" fillId="0" borderId="24" xfId="0" applyFont="1" applyBorder="1" applyAlignment="1">
      <alignment horizontal="center" vertical="center" wrapText="1"/>
    </xf>
    <xf numFmtId="3" fontId="13" fillId="0" borderId="10" xfId="174" applyNumberFormat="1" applyFont="1" applyFill="1" applyBorder="1" applyAlignment="1">
      <alignment horizontal="center"/>
    </xf>
    <xf numFmtId="3" fontId="13" fillId="0" borderId="35" xfId="174" applyNumberFormat="1" applyFont="1" applyFill="1" applyBorder="1" applyAlignment="1">
      <alignment horizontal="center" wrapText="1"/>
    </xf>
    <xf numFmtId="3" fontId="13" fillId="0" borderId="35" xfId="174" applyNumberFormat="1" applyFont="1" applyFill="1" applyBorder="1" applyAlignment="1">
      <alignment horizontal="center"/>
    </xf>
    <xf numFmtId="3" fontId="13" fillId="0" borderId="10" xfId="174" applyNumberFormat="1" applyFont="1" applyFill="1" applyBorder="1" applyAlignment="1">
      <alignment horizontal="center" wrapText="1"/>
    </xf>
    <xf numFmtId="3" fontId="13" fillId="0" borderId="0" xfId="0" applyNumberFormat="1" applyFont="1" applyFill="1" applyAlignment="1">
      <alignment horizontal="center"/>
    </xf>
    <xf numFmtId="3" fontId="12" fillId="0" borderId="20" xfId="174" applyNumberFormat="1" applyFont="1" applyFill="1" applyBorder="1"/>
    <xf numFmtId="0" fontId="12" fillId="0" borderId="11" xfId="174" applyFont="1" applyFill="1" applyBorder="1" applyAlignment="1">
      <alignment wrapText="1"/>
    </xf>
    <xf numFmtId="3" fontId="12" fillId="0" borderId="36" xfId="174" applyNumberFormat="1" applyFont="1" applyFill="1" applyBorder="1"/>
    <xf numFmtId="3" fontId="12" fillId="0" borderId="19" xfId="174" applyNumberFormat="1" applyFont="1" applyFill="1" applyBorder="1"/>
    <xf numFmtId="3" fontId="12" fillId="0" borderId="37" xfId="174" applyNumberFormat="1" applyFont="1" applyFill="1" applyBorder="1"/>
    <xf numFmtId="0" fontId="12" fillId="0" borderId="38" xfId="171" applyFont="1" applyFill="1" applyBorder="1" applyAlignment="1">
      <alignment wrapText="1"/>
    </xf>
    <xf numFmtId="0" fontId="12" fillId="0" borderId="38" xfId="171" applyFont="1" applyFill="1" applyBorder="1"/>
    <xf numFmtId="3" fontId="12" fillId="0" borderId="38" xfId="171" applyNumberFormat="1" applyFont="1" applyFill="1" applyBorder="1"/>
    <xf numFmtId="0" fontId="12" fillId="0" borderId="15" xfId="171" applyFont="1" applyFill="1" applyBorder="1" applyAlignment="1">
      <alignment wrapText="1"/>
    </xf>
    <xf numFmtId="0" fontId="12" fillId="0" borderId="15" xfId="171" applyFont="1" applyFill="1" applyBorder="1"/>
    <xf numFmtId="0" fontId="12" fillId="0" borderId="0" xfId="0" applyFont="1" applyFill="1"/>
    <xf numFmtId="3" fontId="37" fillId="0" borderId="0" xfId="172" applyNumberFormat="1" applyFont="1" applyFill="1"/>
    <xf numFmtId="3" fontId="12" fillId="0" borderId="11" xfId="171" applyNumberFormat="1" applyFont="1" applyFill="1" applyBorder="1"/>
    <xf numFmtId="0" fontId="12" fillId="0" borderId="0" xfId="171" applyFont="1" applyFill="1"/>
    <xf numFmtId="3" fontId="12" fillId="0" borderId="0" xfId="171" applyNumberFormat="1" applyFont="1" applyFill="1"/>
    <xf numFmtId="0" fontId="13" fillId="0" borderId="87" xfId="171" applyFont="1" applyFill="1" applyBorder="1" applyAlignment="1">
      <alignment wrapText="1"/>
    </xf>
    <xf numFmtId="3" fontId="13" fillId="0" borderId="10" xfId="171" applyNumberFormat="1" applyFont="1" applyFill="1" applyBorder="1" applyAlignment="1">
      <alignment horizontal="center"/>
    </xf>
    <xf numFmtId="0" fontId="12" fillId="0" borderId="36" xfId="171" applyFont="1" applyFill="1" applyBorder="1"/>
    <xf numFmtId="0" fontId="12" fillId="0" borderId="11" xfId="171" applyFont="1" applyFill="1" applyBorder="1" applyAlignment="1">
      <alignment wrapText="1"/>
    </xf>
    <xf numFmtId="0" fontId="12" fillId="0" borderId="11" xfId="171" applyFont="1" applyFill="1" applyBorder="1"/>
    <xf numFmtId="0" fontId="13" fillId="0" borderId="33" xfId="196" applyFont="1" applyFill="1" applyBorder="1" applyAlignment="1">
      <alignment horizontal="center" vertical="center" wrapText="1"/>
    </xf>
    <xf numFmtId="0" fontId="13" fillId="0" borderId="66" xfId="196" applyFont="1" applyFill="1" applyBorder="1" applyAlignment="1">
      <alignment vertical="center"/>
    </xf>
    <xf numFmtId="0" fontId="13" fillId="0" borderId="133" xfId="196" applyFont="1" applyFill="1" applyBorder="1" applyAlignment="1">
      <alignment vertical="center" wrapText="1"/>
    </xf>
    <xf numFmtId="3" fontId="13" fillId="0" borderId="68" xfId="196" applyNumberFormat="1" applyFont="1" applyFill="1" applyBorder="1" applyAlignment="1">
      <alignment vertical="center"/>
    </xf>
    <xf numFmtId="3" fontId="13" fillId="0" borderId="61" xfId="196" applyNumberFormat="1" applyFont="1" applyFill="1" applyBorder="1" applyAlignment="1">
      <alignment vertical="center"/>
    </xf>
    <xf numFmtId="0" fontId="13" fillId="0" borderId="65" xfId="196" applyFont="1" applyFill="1" applyBorder="1"/>
    <xf numFmtId="0" fontId="13" fillId="0" borderId="20" xfId="196" applyFont="1" applyFill="1" applyBorder="1" applyAlignment="1">
      <alignment vertical="center" wrapText="1"/>
    </xf>
    <xf numFmtId="0" fontId="13" fillId="0" borderId="20" xfId="196" applyFont="1" applyFill="1" applyBorder="1"/>
    <xf numFmtId="3" fontId="13" fillId="0" borderId="34" xfId="196" applyNumberFormat="1" applyFont="1" applyFill="1" applyBorder="1"/>
    <xf numFmtId="0" fontId="13" fillId="0" borderId="0" xfId="196" applyFont="1" applyFill="1"/>
    <xf numFmtId="3" fontId="13" fillId="0" borderId="0" xfId="196" applyNumberFormat="1" applyFont="1" applyFill="1"/>
    <xf numFmtId="0" fontId="12" fillId="0" borderId="0" xfId="196" applyFont="1" applyFill="1"/>
    <xf numFmtId="0" fontId="12" fillId="0" borderId="0" xfId="196" applyFont="1" applyFill="1" applyAlignment="1">
      <alignment vertical="center"/>
    </xf>
    <xf numFmtId="0" fontId="12" fillId="0" borderId="32" xfId="196" applyFont="1" applyFill="1" applyBorder="1" applyAlignment="1">
      <alignment vertical="center"/>
    </xf>
    <xf numFmtId="0" fontId="12" fillId="0" borderId="23" xfId="196" applyFont="1" applyFill="1" applyBorder="1" applyAlignment="1">
      <alignment vertical="center" wrapText="1"/>
    </xf>
    <xf numFmtId="0" fontId="12" fillId="0" borderId="24" xfId="196" applyFont="1" applyFill="1" applyBorder="1" applyAlignment="1">
      <alignment horizontal="center" vertical="center"/>
    </xf>
    <xf numFmtId="3" fontId="12" fillId="0" borderId="31" xfId="196" applyNumberFormat="1" applyFont="1" applyFill="1" applyBorder="1" applyAlignment="1">
      <alignment vertical="center"/>
    </xf>
    <xf numFmtId="3" fontId="12" fillId="0" borderId="24" xfId="196" applyNumberFormat="1" applyFont="1" applyFill="1" applyBorder="1" applyAlignment="1">
      <alignment horizontal="center" vertical="center"/>
    </xf>
    <xf numFmtId="3" fontId="12" fillId="0" borderId="0" xfId="196" applyNumberFormat="1" applyFont="1" applyFill="1" applyAlignment="1">
      <alignment vertical="center"/>
    </xf>
    <xf numFmtId="0" fontId="12" fillId="0" borderId="24" xfId="196" applyFont="1" applyFill="1" applyBorder="1" applyAlignment="1">
      <alignment vertical="center" wrapText="1"/>
    </xf>
    <xf numFmtId="2" fontId="12" fillId="0" borderId="24" xfId="196" applyNumberFormat="1" applyFont="1" applyFill="1" applyBorder="1" applyAlignment="1">
      <alignment horizontal="center" vertical="center"/>
    </xf>
    <xf numFmtId="1" fontId="12" fillId="0" borderId="24" xfId="196" applyNumberFormat="1" applyFont="1" applyFill="1" applyBorder="1" applyAlignment="1">
      <alignment horizontal="center" vertical="center"/>
    </xf>
    <xf numFmtId="0" fontId="12" fillId="0" borderId="0" xfId="196" applyFont="1" applyFill="1" applyAlignment="1">
      <alignment wrapText="1"/>
    </xf>
    <xf numFmtId="3" fontId="12" fillId="0" borderId="24" xfId="196" applyNumberFormat="1" applyFont="1" applyFill="1" applyBorder="1" applyAlignment="1">
      <alignment vertical="center"/>
    </xf>
    <xf numFmtId="0" fontId="12" fillId="0" borderId="24" xfId="196" applyFont="1" applyFill="1" applyBorder="1" applyAlignment="1">
      <alignment vertical="center"/>
    </xf>
    <xf numFmtId="0" fontId="12" fillId="0" borderId="0" xfId="196" applyFont="1" applyFill="1" applyAlignment="1">
      <alignment vertical="center" wrapText="1"/>
    </xf>
    <xf numFmtId="3" fontId="12" fillId="0" borderId="0" xfId="196" applyNumberFormat="1" applyFont="1" applyFill="1"/>
    <xf numFmtId="3" fontId="59" fillId="0" borderId="60" xfId="200" applyNumberFormat="1" applyFont="1" applyFill="1" applyBorder="1" applyAlignment="1">
      <alignment horizontal="center" vertical="center" wrapText="1"/>
    </xf>
    <xf numFmtId="3" fontId="59" fillId="0" borderId="114" xfId="200" applyNumberFormat="1" applyFont="1" applyFill="1" applyBorder="1" applyAlignment="1">
      <alignment horizontal="center" vertical="center" wrapText="1"/>
    </xf>
    <xf numFmtId="3" fontId="59" fillId="0" borderId="88" xfId="200" applyNumberFormat="1" applyFont="1" applyFill="1" applyBorder="1" applyAlignment="1">
      <alignment horizontal="center" vertical="center" wrapText="1"/>
    </xf>
    <xf numFmtId="3" fontId="59" fillId="0" borderId="41" xfId="200" applyNumberFormat="1" applyFont="1" applyFill="1" applyBorder="1" applyAlignment="1">
      <alignment horizontal="center" vertical="center" wrapText="1"/>
    </xf>
    <xf numFmtId="3" fontId="57" fillId="0" borderId="41" xfId="200" applyNumberFormat="1" applyFont="1" applyFill="1" applyBorder="1" applyAlignment="1">
      <alignment horizontal="center" vertical="center" wrapText="1"/>
    </xf>
    <xf numFmtId="3" fontId="60" fillId="0" borderId="41" xfId="200" applyNumberFormat="1" applyFont="1" applyFill="1" applyBorder="1" applyAlignment="1">
      <alignment horizontal="center" vertical="center" wrapText="1"/>
    </xf>
    <xf numFmtId="3" fontId="59" fillId="0" borderId="40" xfId="200" applyNumberFormat="1" applyFont="1" applyFill="1" applyBorder="1" applyAlignment="1">
      <alignment horizontal="center" vertical="center" wrapText="1"/>
    </xf>
    <xf numFmtId="3" fontId="43" fillId="0" borderId="10" xfId="200" applyNumberFormat="1" applyFont="1" applyFill="1" applyBorder="1" applyAlignment="1">
      <alignment horizontal="right"/>
    </xf>
    <xf numFmtId="3" fontId="58" fillId="0" borderId="14" xfId="199" applyNumberFormat="1" applyFont="1" applyFill="1" applyBorder="1" applyAlignment="1">
      <alignment horizontal="center" wrapText="1"/>
    </xf>
    <xf numFmtId="3" fontId="57" fillId="0" borderId="41" xfId="200" applyNumberFormat="1" applyFont="1" applyFill="1" applyBorder="1" applyAlignment="1">
      <alignment horizontal="center"/>
    </xf>
    <xf numFmtId="3" fontId="57" fillId="0" borderId="10" xfId="200" applyNumberFormat="1" applyFont="1" applyFill="1" applyBorder="1" applyAlignment="1">
      <alignment horizontal="center"/>
    </xf>
    <xf numFmtId="3" fontId="43" fillId="0" borderId="36" xfId="200" applyNumberFormat="1" applyFont="1" applyFill="1" applyBorder="1" applyAlignment="1">
      <alignment horizontal="right"/>
    </xf>
    <xf numFmtId="3" fontId="51" fillId="0" borderId="36" xfId="200" applyNumberFormat="1" applyFont="1" applyFill="1" applyBorder="1" applyAlignment="1">
      <alignment horizontal="right"/>
    </xf>
    <xf numFmtId="3" fontId="14" fillId="0" borderId="39" xfId="199" applyNumberFormat="1" applyFont="1" applyFill="1" applyBorder="1" applyAlignment="1">
      <alignment wrapText="1"/>
    </xf>
    <xf numFmtId="3" fontId="56" fillId="0" borderId="39" xfId="199" applyNumberFormat="1" applyFont="1" applyFill="1" applyBorder="1" applyAlignment="1">
      <alignment wrapText="1"/>
    </xf>
    <xf numFmtId="3" fontId="12" fillId="0" borderId="39" xfId="199" applyNumberFormat="1" applyFont="1" applyFill="1" applyBorder="1" applyAlignment="1">
      <alignment wrapText="1"/>
    </xf>
    <xf numFmtId="3" fontId="55" fillId="0" borderId="14" xfId="199" applyNumberFormat="1" applyFont="1" applyFill="1" applyBorder="1" applyAlignment="1">
      <alignment wrapText="1"/>
    </xf>
    <xf numFmtId="3" fontId="43" fillId="0" borderId="11" xfId="200" applyNumberFormat="1" applyFont="1" applyFill="1" applyBorder="1" applyAlignment="1">
      <alignment horizontal="right"/>
    </xf>
    <xf numFmtId="3" fontId="51" fillId="0" borderId="11" xfId="200" applyNumberFormat="1" applyFont="1" applyFill="1" applyBorder="1" applyAlignment="1">
      <alignment horizontal="right"/>
    </xf>
    <xf numFmtId="3" fontId="14" fillId="0" borderId="21" xfId="199" applyNumberFormat="1" applyFont="1" applyFill="1" applyBorder="1" applyAlignment="1">
      <alignment wrapText="1"/>
    </xf>
    <xf numFmtId="3" fontId="56" fillId="0" borderId="21" xfId="199" applyNumberFormat="1" applyFont="1" applyFill="1" applyBorder="1" applyAlignment="1">
      <alignment wrapText="1"/>
    </xf>
    <xf numFmtId="3" fontId="12" fillId="0" borderId="21" xfId="199" applyNumberFormat="1" applyFont="1" applyFill="1" applyBorder="1" applyAlignment="1">
      <alignment wrapText="1"/>
    </xf>
    <xf numFmtId="3" fontId="56" fillId="0" borderId="38" xfId="199" applyNumberFormat="1" applyFont="1" applyFill="1" applyBorder="1" applyAlignment="1">
      <alignment wrapText="1"/>
    </xf>
    <xf numFmtId="3" fontId="12" fillId="0" borderId="38" xfId="199" applyNumberFormat="1" applyFont="1" applyFill="1" applyBorder="1" applyAlignment="1">
      <alignment wrapText="1"/>
    </xf>
    <xf numFmtId="3" fontId="14" fillId="0" borderId="38" xfId="199" applyNumberFormat="1" applyFont="1" applyFill="1" applyBorder="1" applyAlignment="1">
      <alignment wrapText="1"/>
    </xf>
    <xf numFmtId="3" fontId="14" fillId="0" borderId="11" xfId="199" applyNumberFormat="1" applyFont="1" applyFill="1" applyBorder="1" applyAlignment="1">
      <alignment wrapText="1"/>
    </xf>
    <xf numFmtId="3" fontId="56" fillId="0" borderId="11" xfId="199" applyNumberFormat="1" applyFont="1" applyFill="1" applyBorder="1" applyAlignment="1">
      <alignment wrapText="1"/>
    </xf>
    <xf numFmtId="3" fontId="12" fillId="0" borderId="11" xfId="199" applyNumberFormat="1" applyFont="1" applyFill="1" applyBorder="1" applyAlignment="1">
      <alignment wrapText="1"/>
    </xf>
    <xf numFmtId="3" fontId="43" fillId="0" borderId="43" xfId="200" applyNumberFormat="1" applyFont="1" applyFill="1" applyBorder="1" applyAlignment="1">
      <alignment horizontal="right"/>
    </xf>
    <xf numFmtId="3" fontId="55" fillId="0" borderId="104" xfId="199" applyNumberFormat="1" applyFont="1" applyFill="1" applyBorder="1" applyAlignment="1">
      <alignment wrapText="1"/>
    </xf>
    <xf numFmtId="3" fontId="43" fillId="0" borderId="83" xfId="200" applyNumberFormat="1" applyFont="1" applyFill="1" applyBorder="1" applyAlignment="1">
      <alignment horizontal="right"/>
    </xf>
    <xf numFmtId="3" fontId="51" fillId="0" borderId="83" xfId="200" applyNumberFormat="1" applyFont="1" applyFill="1" applyBorder="1" applyAlignment="1">
      <alignment horizontal="right"/>
    </xf>
    <xf numFmtId="3" fontId="42" fillId="0" borderId="11" xfId="200" applyNumberFormat="1" applyFont="1" applyFill="1" applyBorder="1" applyAlignment="1">
      <alignment horizontal="right"/>
    </xf>
    <xf numFmtId="3" fontId="45" fillId="0" borderId="104" xfId="199" applyNumberFormat="1" applyFont="1" applyFill="1" applyBorder="1" applyAlignment="1">
      <alignment wrapText="1"/>
    </xf>
    <xf numFmtId="3" fontId="42" fillId="0" borderId="36" xfId="200" applyNumberFormat="1" applyFont="1" applyFill="1" applyBorder="1" applyAlignment="1">
      <alignment horizontal="right"/>
    </xf>
    <xf numFmtId="3" fontId="13" fillId="0" borderId="39" xfId="199" applyNumberFormat="1" applyFont="1" applyFill="1" applyBorder="1" applyAlignment="1">
      <alignment wrapText="1"/>
    </xf>
    <xf numFmtId="3" fontId="55" fillId="0" borderId="39" xfId="199" applyNumberFormat="1" applyFont="1" applyFill="1" applyBorder="1" applyAlignment="1">
      <alignment wrapText="1"/>
    </xf>
    <xf numFmtId="3" fontId="45" fillId="0" borderId="39" xfId="199" applyNumberFormat="1" applyFont="1" applyFill="1" applyBorder="1" applyAlignment="1">
      <alignment wrapText="1"/>
    </xf>
    <xf numFmtId="3" fontId="70" fillId="0" borderId="0" xfId="270" applyNumberFormat="1" applyFont="1" applyFill="1"/>
    <xf numFmtId="3" fontId="54" fillId="0" borderId="21" xfId="199" applyNumberFormat="1" applyFont="1" applyFill="1" applyBorder="1" applyAlignment="1">
      <alignment wrapText="1"/>
    </xf>
    <xf numFmtId="3" fontId="54" fillId="0" borderId="39" xfId="199" applyNumberFormat="1" applyFont="1" applyFill="1" applyBorder="1" applyAlignment="1">
      <alignment wrapText="1"/>
    </xf>
    <xf numFmtId="3" fontId="76" fillId="0" borderId="0" xfId="270" applyNumberFormat="1" applyFont="1" applyFill="1"/>
    <xf numFmtId="0" fontId="54" fillId="0" borderId="39" xfId="199" applyFont="1" applyFill="1" applyBorder="1" applyAlignment="1">
      <alignment wrapText="1"/>
    </xf>
    <xf numFmtId="3" fontId="54" fillId="0" borderId="37" xfId="199" applyNumberFormat="1" applyFont="1" applyFill="1" applyBorder="1" applyAlignment="1">
      <alignment wrapText="1"/>
    </xf>
    <xf numFmtId="3" fontId="54" fillId="0" borderId="43" xfId="199" applyNumberFormat="1" applyFont="1" applyFill="1" applyBorder="1" applyAlignment="1">
      <alignment wrapText="1"/>
    </xf>
    <xf numFmtId="3" fontId="54" fillId="0" borderId="38" xfId="199" applyNumberFormat="1" applyFont="1" applyFill="1" applyBorder="1" applyAlignment="1">
      <alignment wrapText="1"/>
    </xf>
    <xf numFmtId="3" fontId="54" fillId="0" borderId="104" xfId="199" applyNumberFormat="1" applyFont="1" applyFill="1" applyBorder="1" applyAlignment="1">
      <alignment wrapText="1"/>
    </xf>
    <xf numFmtId="3" fontId="54" fillId="0" borderId="48" xfId="199" applyNumberFormat="1" applyFont="1" applyFill="1" applyBorder="1" applyAlignment="1">
      <alignment wrapText="1"/>
    </xf>
    <xf numFmtId="3" fontId="72" fillId="0" borderId="0" xfId="270" applyNumberFormat="1" applyFont="1" applyFill="1"/>
    <xf numFmtId="3" fontId="70" fillId="0" borderId="0" xfId="270" applyNumberFormat="1" applyFont="1" applyFill="1" applyAlignment="1">
      <alignment horizontal="right"/>
    </xf>
    <xf numFmtId="0" fontId="70" fillId="0" borderId="0" xfId="268" applyFont="1" applyFill="1"/>
    <xf numFmtId="0" fontId="59" fillId="0" borderId="35" xfId="199" applyFont="1" applyFill="1" applyBorder="1" applyAlignment="1">
      <alignment horizontal="center" vertical="center" wrapText="1"/>
    </xf>
    <xf numFmtId="3" fontId="38" fillId="0" borderId="10" xfId="266" applyNumberFormat="1" applyFont="1" applyFill="1" applyBorder="1" applyAlignment="1">
      <alignment horizontal="left"/>
    </xf>
    <xf numFmtId="2" fontId="38" fillId="0" borderId="40" xfId="266" applyNumberFormat="1" applyFont="1" applyFill="1" applyBorder="1" applyAlignment="1">
      <alignment horizontal="center"/>
    </xf>
    <xf numFmtId="2" fontId="69" fillId="0" borderId="40" xfId="266" applyNumberFormat="1" applyFont="1" applyFill="1" applyBorder="1" applyAlignment="1">
      <alignment horizontal="center"/>
    </xf>
    <xf numFmtId="2" fontId="73" fillId="0" borderId="10" xfId="266" applyNumberFormat="1" applyFont="1" applyFill="1" applyBorder="1" applyAlignment="1">
      <alignment horizontal="center"/>
    </xf>
    <xf numFmtId="3" fontId="39" fillId="0" borderId="36" xfId="266" applyNumberFormat="1" applyFont="1" applyFill="1" applyBorder="1" applyAlignment="1">
      <alignment horizontal="left"/>
    </xf>
    <xf numFmtId="4" fontId="39" fillId="0" borderId="43" xfId="269" applyNumberFormat="1" applyFont="1" applyFill="1" applyBorder="1" applyAlignment="1">
      <alignment horizontal="center"/>
    </xf>
    <xf numFmtId="4" fontId="39" fillId="0" borderId="21" xfId="269" applyNumberFormat="1" applyFont="1" applyFill="1" applyBorder="1" applyAlignment="1">
      <alignment horizontal="center"/>
    </xf>
    <xf numFmtId="3" fontId="39" fillId="0" borderId="11" xfId="266" applyNumberFormat="1" applyFont="1" applyFill="1" applyBorder="1" applyAlignment="1">
      <alignment horizontal="left" wrapText="1"/>
    </xf>
    <xf numFmtId="4" fontId="39" fillId="0" borderId="11" xfId="269" applyNumberFormat="1" applyFont="1" applyFill="1" applyBorder="1" applyAlignment="1">
      <alignment horizontal="center"/>
    </xf>
    <xf numFmtId="4" fontId="38" fillId="0" borderId="10" xfId="266" applyNumberFormat="1" applyFont="1" applyFill="1" applyBorder="1" applyAlignment="1">
      <alignment horizontal="center"/>
    </xf>
    <xf numFmtId="3" fontId="39" fillId="0" borderId="11" xfId="266" applyNumberFormat="1" applyFont="1" applyFill="1" applyBorder="1" applyAlignment="1">
      <alignment horizontal="left"/>
    </xf>
    <xf numFmtId="4" fontId="39" fillId="0" borderId="15" xfId="269" applyNumberFormat="1" applyFont="1" applyFill="1" applyBorder="1" applyAlignment="1">
      <alignment horizontal="center"/>
    </xf>
    <xf numFmtId="3" fontId="39" fillId="0" borderId="11" xfId="266" applyNumberFormat="1" applyFont="1" applyFill="1" applyBorder="1"/>
    <xf numFmtId="4" fontId="38" fillId="0" borderId="10" xfId="266" applyNumberFormat="1" applyFont="1" applyFill="1" applyBorder="1" applyAlignment="1">
      <alignment horizontal="left"/>
    </xf>
    <xf numFmtId="3" fontId="39" fillId="0" borderId="22" xfId="266" applyNumberFormat="1" applyFont="1" applyFill="1" applyBorder="1" applyAlignment="1">
      <alignment horizontal="left"/>
    </xf>
    <xf numFmtId="2" fontId="39" fillId="0" borderId="11" xfId="266" applyNumberFormat="1" applyFont="1" applyFill="1" applyBorder="1" applyAlignment="1">
      <alignment horizontal="center"/>
    </xf>
    <xf numFmtId="3" fontId="39" fillId="0" borderId="0" xfId="266" applyNumberFormat="1" applyFont="1" applyFill="1" applyAlignment="1">
      <alignment horizontal="left"/>
    </xf>
    <xf numFmtId="0" fontId="12" fillId="0" borderId="0" xfId="206" applyFont="1" applyFill="1"/>
    <xf numFmtId="3" fontId="0" fillId="0" borderId="19" xfId="0" applyNumberFormat="1" applyFont="1" applyFill="1" applyBorder="1"/>
    <xf numFmtId="0" fontId="39" fillId="0" borderId="31" xfId="196" applyFont="1" applyFill="1" applyBorder="1" applyAlignment="1">
      <alignment horizontal="left" vertical="top" wrapText="1"/>
    </xf>
    <xf numFmtId="0" fontId="39" fillId="0" borderId="31" xfId="196" applyFont="1" applyFill="1" applyBorder="1" applyAlignment="1">
      <alignment vertical="top" wrapText="1"/>
    </xf>
    <xf numFmtId="0" fontId="39" fillId="0" borderId="24" xfId="0" applyFont="1" applyFill="1" applyBorder="1" applyAlignment="1">
      <alignment wrapText="1"/>
    </xf>
    <xf numFmtId="0" fontId="39" fillId="0" borderId="24" xfId="0" applyFont="1" applyFill="1" applyBorder="1" applyAlignment="1">
      <alignment vertical="top" wrapText="1"/>
    </xf>
    <xf numFmtId="3" fontId="39" fillId="0" borderId="24" xfId="206" applyNumberFormat="1" applyFont="1" applyFill="1" applyBorder="1"/>
    <xf numFmtId="0" fontId="39" fillId="0" borderId="74" xfId="0" applyFont="1" applyFill="1" applyBorder="1" applyAlignment="1">
      <alignment wrapText="1"/>
    </xf>
    <xf numFmtId="3" fontId="0" fillId="0" borderId="24" xfId="0" applyNumberFormat="1" applyFont="1" applyFill="1" applyBorder="1"/>
    <xf numFmtId="3" fontId="0" fillId="0" borderId="31" xfId="0" applyNumberFormat="1" applyFont="1" applyFill="1" applyBorder="1" applyAlignment="1">
      <alignment wrapText="1"/>
    </xf>
    <xf numFmtId="3" fontId="14" fillId="0" borderId="0" xfId="195" applyNumberFormat="1" applyFont="1" applyFill="1" applyBorder="1"/>
    <xf numFmtId="3" fontId="0" fillId="0" borderId="33" xfId="0" applyNumberFormat="1" applyFont="1" applyFill="1" applyBorder="1" applyAlignment="1">
      <alignment wrapText="1"/>
    </xf>
    <xf numFmtId="3" fontId="0" fillId="0" borderId="0" xfId="0" applyNumberFormat="1" applyFont="1" applyFill="1" applyAlignment="1">
      <alignment wrapText="1"/>
    </xf>
    <xf numFmtId="3" fontId="0" fillId="0" borderId="69" xfId="0" applyNumberFormat="1" applyFont="1" applyFill="1" applyBorder="1" applyAlignment="1">
      <alignment wrapText="1"/>
    </xf>
    <xf numFmtId="3" fontId="0" fillId="0" borderId="23" xfId="0" applyNumberFormat="1" applyFont="1" applyFill="1" applyBorder="1"/>
    <xf numFmtId="3" fontId="0" fillId="0" borderId="64" xfId="0" applyNumberFormat="1" applyFont="1" applyFill="1" applyBorder="1"/>
    <xf numFmtId="3" fontId="0" fillId="0" borderId="59" xfId="0" applyNumberFormat="1" applyFont="1" applyFill="1" applyBorder="1"/>
    <xf numFmtId="3" fontId="0" fillId="0" borderId="34" xfId="0" applyNumberFormat="1" applyFont="1" applyFill="1" applyBorder="1"/>
    <xf numFmtId="3" fontId="0" fillId="0" borderId="20" xfId="0" applyNumberFormat="1" applyFont="1" applyFill="1" applyBorder="1"/>
    <xf numFmtId="3" fontId="0" fillId="0" borderId="56" xfId="0" applyNumberFormat="1" applyFont="1" applyFill="1" applyBorder="1"/>
    <xf numFmtId="3" fontId="0" fillId="0" borderId="65" xfId="0" applyNumberFormat="1" applyFont="1" applyFill="1" applyBorder="1"/>
    <xf numFmtId="3" fontId="0" fillId="0" borderId="62" xfId="0" applyNumberFormat="1" applyFont="1" applyFill="1" applyBorder="1"/>
    <xf numFmtId="3" fontId="0" fillId="0" borderId="31" xfId="0" applyNumberFormat="1" applyFont="1" applyFill="1" applyBorder="1"/>
    <xf numFmtId="0" fontId="0" fillId="0" borderId="69" xfId="0" applyFont="1" applyFill="1" applyBorder="1" applyAlignment="1">
      <alignment wrapText="1"/>
    </xf>
    <xf numFmtId="3" fontId="0" fillId="0" borderId="32" xfId="0" applyNumberFormat="1" applyFont="1" applyFill="1" applyBorder="1"/>
    <xf numFmtId="3" fontId="0" fillId="0" borderId="69" xfId="0" applyNumberFormat="1" applyFont="1" applyFill="1" applyBorder="1" applyAlignment="1">
      <alignment horizontal="left" vertical="top" wrapText="1"/>
    </xf>
    <xf numFmtId="3" fontId="0" fillId="0" borderId="24" xfId="262" applyNumberFormat="1" applyFont="1" applyFill="1" applyBorder="1"/>
    <xf numFmtId="3" fontId="0" fillId="0" borderId="70" xfId="0" applyNumberFormat="1" applyFont="1" applyFill="1" applyBorder="1"/>
    <xf numFmtId="3" fontId="14" fillId="0" borderId="31" xfId="0" applyNumberFormat="1" applyFont="1" applyFill="1" applyBorder="1" applyAlignment="1">
      <alignment wrapText="1"/>
    </xf>
    <xf numFmtId="3" fontId="0" fillId="0" borderId="72" xfId="0" applyNumberFormat="1" applyFont="1" applyFill="1" applyBorder="1"/>
    <xf numFmtId="3" fontId="0" fillId="0" borderId="73" xfId="0" applyNumberFormat="1" applyFont="1" applyFill="1" applyBorder="1"/>
    <xf numFmtId="3" fontId="0" fillId="0" borderId="74" xfId="0" applyNumberFormat="1" applyFont="1" applyFill="1" applyBorder="1"/>
    <xf numFmtId="3" fontId="0" fillId="0" borderId="118" xfId="0" applyNumberFormat="1" applyFont="1" applyFill="1" applyBorder="1" applyAlignment="1">
      <alignment wrapText="1"/>
    </xf>
    <xf numFmtId="3" fontId="14" fillId="0" borderId="118" xfId="0" applyNumberFormat="1" applyFont="1" applyFill="1" applyBorder="1" applyAlignment="1">
      <alignment wrapText="1"/>
    </xf>
    <xf numFmtId="3" fontId="0" fillId="0" borderId="118" xfId="0" applyNumberFormat="1" applyFont="1" applyFill="1" applyBorder="1" applyAlignment="1">
      <alignment vertical="top" wrapText="1"/>
    </xf>
    <xf numFmtId="3" fontId="0" fillId="0" borderId="95" xfId="195" applyNumberFormat="1" applyFont="1" applyFill="1" applyBorder="1"/>
    <xf numFmtId="165" fontId="14" fillId="0" borderId="56" xfId="254" applyNumberFormat="1" applyFont="1" applyFill="1" applyBorder="1" applyAlignment="1">
      <alignment horizontal="right" wrapText="1"/>
    </xf>
    <xf numFmtId="0" fontId="34" fillId="0" borderId="0" xfId="157" applyFont="1" applyFill="1"/>
    <xf numFmtId="0" fontId="12" fillId="0" borderId="0" xfId="195" applyFont="1" applyFill="1"/>
    <xf numFmtId="0" fontId="12" fillId="0" borderId="56" xfId="195" applyFont="1" applyFill="1" applyBorder="1" applyAlignment="1">
      <alignment wrapText="1"/>
    </xf>
    <xf numFmtId="3" fontId="12" fillId="0" borderId="31" xfId="195" applyNumberFormat="1" applyFont="1" applyFill="1" applyBorder="1"/>
    <xf numFmtId="16" fontId="34" fillId="0" borderId="0" xfId="157" applyNumberFormat="1" applyFont="1" applyFill="1"/>
    <xf numFmtId="3" fontId="12" fillId="0" borderId="94" xfId="195" applyNumberFormat="1" applyFont="1" applyFill="1" applyBorder="1" applyAlignment="1">
      <alignment horizontal="center"/>
    </xf>
    <xf numFmtId="0" fontId="12" fillId="0" borderId="59" xfId="195" applyFont="1" applyFill="1" applyBorder="1" applyAlignment="1">
      <alignment wrapText="1"/>
    </xf>
    <xf numFmtId="3" fontId="12" fillId="0" borderId="69" xfId="195" applyNumberFormat="1" applyFont="1" applyFill="1" applyBorder="1"/>
    <xf numFmtId="0" fontId="12" fillId="0" borderId="75" xfId="195" applyFont="1" applyFill="1" applyBorder="1" applyAlignment="1">
      <alignment wrapText="1"/>
    </xf>
    <xf numFmtId="3" fontId="12" fillId="0" borderId="0" xfId="195" applyNumberFormat="1" applyFont="1" applyFill="1"/>
    <xf numFmtId="3" fontId="38" fillId="0" borderId="10" xfId="196" applyNumberFormat="1" applyFont="1" applyFill="1" applyBorder="1" applyAlignment="1">
      <alignment horizontal="center" vertical="center" wrapText="1"/>
    </xf>
    <xf numFmtId="0" fontId="38" fillId="0" borderId="59" xfId="196" applyFont="1" applyFill="1" applyBorder="1" applyAlignment="1">
      <alignment wrapText="1"/>
    </xf>
    <xf numFmtId="0" fontId="39" fillId="0" borderId="0" xfId="206" applyFont="1" applyFill="1"/>
    <xf numFmtId="0" fontId="39" fillId="0" borderId="0" xfId="206" applyFont="1" applyFill="1" applyAlignment="1">
      <alignment wrapText="1"/>
    </xf>
    <xf numFmtId="3" fontId="39" fillId="0" borderId="0" xfId="206" applyNumberFormat="1" applyFont="1" applyFill="1"/>
    <xf numFmtId="0" fontId="38" fillId="0" borderId="33" xfId="206" applyFont="1" applyFill="1" applyBorder="1" applyAlignment="1">
      <alignment horizontal="center" vertical="center"/>
    </xf>
    <xf numFmtId="165" fontId="39" fillId="0" borderId="0" xfId="254" applyNumberFormat="1" applyFont="1" applyFill="1"/>
    <xf numFmtId="0" fontId="43" fillId="0" borderId="0" xfId="263" applyFont="1" applyFill="1"/>
    <xf numFmtId="3" fontId="42" fillId="0" borderId="84" xfId="263" applyNumberFormat="1" applyFont="1" applyFill="1" applyBorder="1" applyAlignment="1">
      <alignment horizontal="centerContinuous" vertical="center"/>
    </xf>
    <xf numFmtId="3" fontId="42" fillId="0" borderId="131" xfId="263" applyNumberFormat="1" applyFont="1" applyFill="1" applyBorder="1" applyAlignment="1">
      <alignment horizontal="centerContinuous" vertical="center"/>
    </xf>
    <xf numFmtId="0" fontId="42" fillId="0" borderId="30" xfId="263" applyFont="1" applyFill="1" applyBorder="1" applyAlignment="1">
      <alignment horizontal="center" vertical="center" wrapText="1"/>
    </xf>
    <xf numFmtId="3" fontId="42" fillId="0" borderId="85" xfId="263" applyNumberFormat="1" applyFont="1" applyFill="1" applyBorder="1" applyAlignment="1">
      <alignment horizontal="left"/>
    </xf>
    <xf numFmtId="3" fontId="42" fillId="0" borderId="24" xfId="263" applyNumberFormat="1" applyFont="1" applyFill="1" applyBorder="1"/>
    <xf numFmtId="0" fontId="44" fillId="0" borderId="85" xfId="263" applyFont="1" applyFill="1" applyBorder="1" applyAlignment="1">
      <alignment horizontal="right"/>
    </xf>
    <xf numFmtId="3" fontId="51" fillId="0" borderId="24" xfId="263" applyNumberFormat="1" applyFont="1" applyFill="1" applyBorder="1" applyAlignment="1">
      <alignment horizontal="left"/>
    </xf>
    <xf numFmtId="3" fontId="44" fillId="0" borderId="85" xfId="263" applyNumberFormat="1" applyFont="1" applyFill="1" applyBorder="1" applyAlignment="1">
      <alignment horizontal="left"/>
    </xf>
    <xf numFmtId="3" fontId="42" fillId="0" borderId="32" xfId="263" applyNumberFormat="1" applyFont="1" applyFill="1" applyBorder="1" applyAlignment="1">
      <alignment horizontal="left"/>
    </xf>
    <xf numFmtId="3" fontId="43" fillId="0" borderId="24" xfId="263" applyNumberFormat="1" applyFont="1" applyFill="1" applyBorder="1" applyAlignment="1">
      <alignment horizontal="left"/>
    </xf>
    <xf numFmtId="3" fontId="42" fillId="0" borderId="70" xfId="263" applyNumberFormat="1" applyFont="1" applyFill="1" applyBorder="1" applyAlignment="1">
      <alignment horizontal="left"/>
    </xf>
    <xf numFmtId="3" fontId="43" fillId="0" borderId="73" xfId="263" applyNumberFormat="1" applyFont="1" applyFill="1" applyBorder="1" applyAlignment="1">
      <alignment horizontal="left"/>
    </xf>
    <xf numFmtId="3" fontId="42" fillId="0" borderId="124" xfId="263" applyNumberFormat="1" applyFont="1" applyFill="1" applyBorder="1"/>
    <xf numFmtId="3" fontId="42" fillId="0" borderId="125" xfId="263" applyNumberFormat="1" applyFont="1" applyFill="1" applyBorder="1"/>
    <xf numFmtId="3" fontId="42" fillId="0" borderId="0" xfId="263" applyNumberFormat="1" applyFont="1" applyFill="1"/>
    <xf numFmtId="3" fontId="42" fillId="0" borderId="0" xfId="263" applyNumberFormat="1" applyFont="1" applyFill="1" applyAlignment="1">
      <alignment wrapText="1"/>
    </xf>
    <xf numFmtId="3" fontId="43" fillId="0" borderId="0" xfId="263" applyNumberFormat="1" applyFont="1" applyFill="1"/>
    <xf numFmtId="3" fontId="42" fillId="0" borderId="122" xfId="263" applyNumberFormat="1" applyFont="1" applyFill="1" applyBorder="1" applyAlignment="1">
      <alignment horizontal="centerContinuous" vertical="center"/>
    </xf>
    <xf numFmtId="0" fontId="44" fillId="0" borderId="32" xfId="263" applyFont="1" applyFill="1" applyBorder="1" applyAlignment="1">
      <alignment horizontal="right"/>
    </xf>
    <xf numFmtId="3" fontId="51" fillId="0" borderId="24" xfId="263" applyNumberFormat="1" applyFont="1" applyFill="1" applyBorder="1"/>
    <xf numFmtId="3" fontId="51" fillId="0" borderId="32" xfId="263" applyNumberFormat="1" applyFont="1" applyFill="1" applyBorder="1" applyAlignment="1">
      <alignment wrapText="1"/>
    </xf>
    <xf numFmtId="3" fontId="51" fillId="0" borderId="24" xfId="263" applyNumberFormat="1" applyFont="1" applyFill="1" applyBorder="1" applyAlignment="1">
      <alignment wrapText="1"/>
    </xf>
    <xf numFmtId="3" fontId="12" fillId="0" borderId="0" xfId="263" applyNumberFormat="1" applyFont="1" applyFill="1"/>
    <xf numFmtId="0" fontId="12" fillId="0" borderId="0" xfId="263" applyFont="1" applyFill="1"/>
    <xf numFmtId="0" fontId="14" fillId="0" borderId="0" xfId="263" applyFont="1" applyFill="1"/>
    <xf numFmtId="0" fontId="39" fillId="0" borderId="0" xfId="205" applyFont="1" applyFill="1"/>
    <xf numFmtId="3" fontId="39" fillId="0" borderId="0" xfId="205" applyNumberFormat="1" applyFont="1" applyFill="1"/>
    <xf numFmtId="3" fontId="38" fillId="0" borderId="0" xfId="205" applyNumberFormat="1" applyFont="1" applyFill="1"/>
    <xf numFmtId="3" fontId="38" fillId="0" borderId="0" xfId="205" applyNumberFormat="1" applyFont="1" applyFill="1" applyAlignment="1">
      <alignment horizontal="right"/>
    </xf>
    <xf numFmtId="3" fontId="39" fillId="0" borderId="0" xfId="205" applyNumberFormat="1" applyFont="1" applyFill="1" applyAlignment="1">
      <alignment horizontal="right"/>
    </xf>
    <xf numFmtId="3" fontId="71" fillId="0" borderId="0" xfId="205" applyNumberFormat="1" applyFont="1" applyFill="1"/>
    <xf numFmtId="0" fontId="71" fillId="0" borderId="0" xfId="205" applyFont="1" applyFill="1"/>
    <xf numFmtId="3" fontId="66" fillId="0" borderId="0" xfId="205" applyNumberFormat="1" applyFont="1" applyFill="1"/>
    <xf numFmtId="3" fontId="66" fillId="0" borderId="0" xfId="205" applyNumberFormat="1" applyFont="1" applyFill="1" applyAlignment="1">
      <alignment horizontal="right"/>
    </xf>
    <xf numFmtId="0" fontId="38" fillId="0" borderId="0" xfId="205" applyFont="1" applyFill="1" applyAlignment="1">
      <alignment wrapText="1"/>
    </xf>
    <xf numFmtId="0" fontId="38" fillId="0" borderId="122" xfId="205" applyFont="1" applyFill="1" applyBorder="1" applyAlignment="1">
      <alignment horizontal="center"/>
    </xf>
    <xf numFmtId="3" fontId="38" fillId="0" borderId="123" xfId="205" applyNumberFormat="1" applyFont="1" applyFill="1" applyBorder="1" applyAlignment="1">
      <alignment horizontal="center"/>
    </xf>
    <xf numFmtId="3" fontId="38" fillId="0" borderId="30" xfId="205" applyNumberFormat="1" applyFont="1" applyFill="1" applyBorder="1" applyAlignment="1">
      <alignment horizontal="center"/>
    </xf>
    <xf numFmtId="3" fontId="71" fillId="0" borderId="0" xfId="205" applyNumberFormat="1" applyFont="1" applyFill="1" applyAlignment="1">
      <alignment horizontal="center"/>
    </xf>
    <xf numFmtId="0" fontId="69" fillId="0" borderId="0" xfId="205" applyFont="1" applyFill="1" applyAlignment="1">
      <alignment horizontal="center"/>
    </xf>
    <xf numFmtId="0" fontId="38" fillId="0" borderId="0" xfId="205" applyFont="1" applyFill="1" applyAlignment="1">
      <alignment horizontal="center"/>
    </xf>
    <xf numFmtId="0" fontId="39" fillId="0" borderId="32" xfId="205" applyFont="1" applyFill="1" applyBorder="1" applyAlignment="1">
      <alignment wrapText="1"/>
    </xf>
    <xf numFmtId="3" fontId="39" fillId="0" borderId="24" xfId="205" applyNumberFormat="1" applyFont="1" applyFill="1" applyBorder="1"/>
    <xf numFmtId="3" fontId="39" fillId="0" borderId="31" xfId="205" applyNumberFormat="1" applyFont="1" applyFill="1" applyBorder="1"/>
    <xf numFmtId="0" fontId="38" fillId="0" borderId="124" xfId="205" applyFont="1" applyFill="1" applyBorder="1" applyAlignment="1">
      <alignment wrapText="1"/>
    </xf>
    <xf numFmtId="3" fontId="38" fillId="0" borderId="125" xfId="205" applyNumberFormat="1" applyFont="1" applyFill="1" applyBorder="1"/>
    <xf numFmtId="3" fontId="38" fillId="0" borderId="126" xfId="205" applyNumberFormat="1" applyFont="1" applyFill="1" applyBorder="1"/>
    <xf numFmtId="3" fontId="69" fillId="0" borderId="0" xfId="205" applyNumberFormat="1" applyFont="1" applyFill="1"/>
    <xf numFmtId="0" fontId="69" fillId="0" borderId="0" xfId="205" applyFont="1" applyFill="1"/>
    <xf numFmtId="0" fontId="38" fillId="0" borderId="0" xfId="205" applyFont="1" applyFill="1"/>
    <xf numFmtId="0" fontId="38" fillId="0" borderId="0" xfId="205" applyFont="1" applyFill="1" applyAlignment="1">
      <alignment horizontal="left" wrapText="1"/>
    </xf>
    <xf numFmtId="0" fontId="39" fillId="0" borderId="122" xfId="205" applyFont="1" applyFill="1" applyBorder="1" applyAlignment="1">
      <alignment horizontal="left" wrapText="1"/>
    </xf>
    <xf numFmtId="3" fontId="39" fillId="0" borderId="123" xfId="205" applyNumberFormat="1" applyFont="1" applyFill="1" applyBorder="1"/>
    <xf numFmtId="3" fontId="39" fillId="0" borderId="30" xfId="205" applyNumberFormat="1" applyFont="1" applyFill="1" applyBorder="1"/>
    <xf numFmtId="0" fontId="39" fillId="0" borderId="70" xfId="205" applyFont="1" applyFill="1" applyBorder="1" applyAlignment="1">
      <alignment wrapText="1"/>
    </xf>
    <xf numFmtId="3" fontId="39" fillId="0" borderId="73" xfId="205" applyNumberFormat="1" applyFont="1" applyFill="1" applyBorder="1"/>
    <xf numFmtId="3" fontId="39" fillId="0" borderId="118" xfId="205" applyNumberFormat="1" applyFont="1" applyFill="1" applyBorder="1"/>
    <xf numFmtId="3" fontId="38" fillId="0" borderId="130" xfId="205" applyNumberFormat="1" applyFont="1" applyFill="1" applyBorder="1"/>
    <xf numFmtId="3" fontId="38" fillId="0" borderId="0" xfId="205" applyNumberFormat="1" applyFont="1" applyFill="1" applyBorder="1"/>
    <xf numFmtId="0" fontId="38" fillId="0" borderId="24" xfId="205" applyFont="1" applyFill="1" applyBorder="1" applyAlignment="1">
      <alignment wrapText="1"/>
    </xf>
    <xf numFmtId="3" fontId="38" fillId="0" borderId="24" xfId="205" applyNumberFormat="1" applyFont="1" applyFill="1" applyBorder="1"/>
    <xf numFmtId="3" fontId="39" fillId="0" borderId="0" xfId="205" applyNumberFormat="1" applyFont="1" applyFill="1" applyBorder="1"/>
    <xf numFmtId="0" fontId="40" fillId="0" borderId="0" xfId="205" applyFont="1" applyFill="1"/>
    <xf numFmtId="3" fontId="40" fillId="0" borderId="0" xfId="205" applyNumberFormat="1" applyFont="1" applyFill="1"/>
    <xf numFmtId="0" fontId="39" fillId="0" borderId="0" xfId="257" applyFont="1" applyFill="1"/>
    <xf numFmtId="0" fontId="39" fillId="0" borderId="0" xfId="257" applyFont="1" applyFill="1" applyBorder="1"/>
    <xf numFmtId="0" fontId="39" fillId="0" borderId="82" xfId="257" applyFont="1" applyFill="1" applyBorder="1" applyAlignment="1">
      <alignment horizontal="center"/>
    </xf>
    <xf numFmtId="0" fontId="38" fillId="0" borderId="10" xfId="256" applyFont="1" applyFill="1" applyBorder="1" applyAlignment="1">
      <alignment horizontal="center" vertical="center" wrapText="1"/>
    </xf>
    <xf numFmtId="3" fontId="38" fillId="0" borderId="10" xfId="257" applyNumberFormat="1" applyFont="1" applyFill="1" applyBorder="1" applyAlignment="1">
      <alignment horizontal="center" vertical="center" wrapText="1"/>
    </xf>
    <xf numFmtId="0" fontId="39" fillId="0" borderId="0" xfId="257" applyFont="1" applyFill="1" applyAlignment="1">
      <alignment horizontal="center" vertical="center"/>
    </xf>
    <xf numFmtId="0" fontId="38" fillId="0" borderId="10" xfId="258" applyFont="1" applyFill="1" applyBorder="1" applyAlignment="1">
      <alignment horizontal="center" wrapText="1"/>
    </xf>
    <xf numFmtId="3" fontId="38" fillId="0" borderId="10" xfId="258" applyNumberFormat="1" applyFont="1" applyFill="1" applyBorder="1" applyAlignment="1">
      <alignment horizontal="center"/>
    </xf>
    <xf numFmtId="3" fontId="38" fillId="0" borderId="11" xfId="259" applyNumberFormat="1" applyFont="1" applyFill="1" applyBorder="1" applyAlignment="1">
      <alignment wrapText="1"/>
    </xf>
    <xf numFmtId="0" fontId="39" fillId="0" borderId="11" xfId="259" applyFont="1" applyFill="1" applyBorder="1"/>
    <xf numFmtId="0" fontId="38" fillId="0" borderId="11" xfId="196" applyFont="1" applyFill="1" applyBorder="1" applyAlignment="1">
      <alignment wrapText="1"/>
    </xf>
    <xf numFmtId="3" fontId="39" fillId="0" borderId="11" xfId="257" applyNumberFormat="1" applyFont="1" applyFill="1" applyBorder="1"/>
    <xf numFmtId="3" fontId="38" fillId="0" borderId="11" xfId="257" applyNumberFormat="1" applyFont="1" applyFill="1" applyBorder="1"/>
    <xf numFmtId="0" fontId="39" fillId="0" borderId="11" xfId="196" applyFont="1" applyFill="1" applyBorder="1" applyAlignment="1">
      <alignment wrapText="1"/>
    </xf>
    <xf numFmtId="3" fontId="39" fillId="0" borderId="21" xfId="257" applyNumberFormat="1" applyFont="1" applyFill="1" applyBorder="1"/>
    <xf numFmtId="165" fontId="67" fillId="0" borderId="0" xfId="254" applyNumberFormat="1" applyFont="1" applyFill="1"/>
    <xf numFmtId="3" fontId="38" fillId="0" borderId="13" xfId="259" applyNumberFormat="1" applyFont="1" applyFill="1" applyBorder="1" applyAlignment="1">
      <alignment wrapText="1"/>
    </xf>
    <xf numFmtId="3" fontId="38" fillId="0" borderId="14" xfId="257" applyNumberFormat="1" applyFont="1" applyFill="1" applyBorder="1"/>
    <xf numFmtId="3" fontId="38" fillId="0" borderId="83" xfId="259" applyNumberFormat="1" applyFont="1" applyFill="1" applyBorder="1" applyAlignment="1">
      <alignment wrapText="1"/>
    </xf>
    <xf numFmtId="3" fontId="38" fillId="0" borderId="48" xfId="257" applyNumberFormat="1" applyFont="1" applyFill="1" applyBorder="1"/>
    <xf numFmtId="3" fontId="39" fillId="0" borderId="11" xfId="259" applyNumberFormat="1" applyFont="1" applyFill="1" applyBorder="1" applyAlignment="1">
      <alignment wrapText="1"/>
    </xf>
    <xf numFmtId="0" fontId="39" fillId="0" borderId="36" xfId="196" applyFont="1" applyFill="1" applyBorder="1" applyAlignment="1">
      <alignment wrapText="1"/>
    </xf>
    <xf numFmtId="3" fontId="39" fillId="0" borderId="0" xfId="257" applyNumberFormat="1" applyFont="1" applyFill="1"/>
    <xf numFmtId="0" fontId="38" fillId="0" borderId="11" xfId="196" applyFont="1" applyFill="1" applyBorder="1"/>
    <xf numFmtId="0" fontId="39" fillId="0" borderId="83" xfId="196" applyFont="1" applyFill="1" applyBorder="1" applyAlignment="1">
      <alignment wrapText="1"/>
    </xf>
    <xf numFmtId="3" fontId="39" fillId="0" borderId="48" xfId="257" applyNumberFormat="1" applyFont="1" applyFill="1" applyBorder="1"/>
    <xf numFmtId="0" fontId="38" fillId="0" borderId="15" xfId="196" applyFont="1" applyFill="1" applyBorder="1"/>
    <xf numFmtId="3" fontId="38" fillId="0" borderId="15" xfId="257" applyNumberFormat="1" applyFont="1" applyFill="1" applyBorder="1"/>
    <xf numFmtId="3" fontId="38" fillId="0" borderId="0" xfId="257" applyNumberFormat="1" applyFont="1" applyFill="1"/>
    <xf numFmtId="0" fontId="39" fillId="0" borderId="0" xfId="260" applyFont="1" applyFill="1"/>
    <xf numFmtId="0" fontId="39" fillId="0" borderId="0" xfId="260" applyFont="1" applyFill="1" applyAlignment="1">
      <alignment wrapText="1"/>
    </xf>
    <xf numFmtId="3" fontId="39" fillId="0" borderId="0" xfId="260" applyNumberFormat="1" applyFont="1" applyFill="1"/>
    <xf numFmtId="165" fontId="39" fillId="0" borderId="0" xfId="261" applyNumberFormat="1" applyFont="1" applyFill="1"/>
    <xf numFmtId="0" fontId="38" fillId="0" borderId="122" xfId="260" applyFont="1" applyFill="1" applyBorder="1"/>
    <xf numFmtId="0" fontId="38" fillId="0" borderId="123" xfId="260" applyFont="1" applyFill="1" applyBorder="1" applyAlignment="1">
      <alignment horizontal="center" wrapText="1"/>
    </xf>
    <xf numFmtId="3" fontId="38" fillId="0" borderId="30" xfId="260" applyNumberFormat="1" applyFont="1" applyFill="1" applyBorder="1" applyAlignment="1">
      <alignment horizontal="center" wrapText="1"/>
    </xf>
    <xf numFmtId="0" fontId="38" fillId="0" borderId="0" xfId="260" applyFont="1" applyFill="1"/>
    <xf numFmtId="165" fontId="38" fillId="0" borderId="0" xfId="261" applyNumberFormat="1" applyFont="1" applyFill="1"/>
    <xf numFmtId="0" fontId="39" fillId="0" borderId="32" xfId="260" applyFont="1" applyFill="1" applyBorder="1"/>
    <xf numFmtId="0" fontId="39" fillId="0" borderId="24" xfId="260" applyFont="1" applyFill="1" applyBorder="1" applyAlignment="1">
      <alignment wrapText="1"/>
    </xf>
    <xf numFmtId="3" fontId="39" fillId="0" borderId="31" xfId="260" applyNumberFormat="1" applyFont="1" applyFill="1" applyBorder="1"/>
    <xf numFmtId="0" fontId="38" fillId="0" borderId="32" xfId="260" applyFont="1" applyFill="1" applyBorder="1"/>
    <xf numFmtId="0" fontId="38" fillId="0" borderId="24" xfId="260" applyFont="1" applyFill="1" applyBorder="1" applyAlignment="1">
      <alignment wrapText="1"/>
    </xf>
    <xf numFmtId="3" fontId="38" fillId="0" borderId="31" xfId="260" applyNumberFormat="1" applyFont="1" applyFill="1" applyBorder="1"/>
    <xf numFmtId="3" fontId="39" fillId="0" borderId="31" xfId="260" applyNumberFormat="1" applyFont="1" applyFill="1" applyBorder="1" applyAlignment="1">
      <alignment horizontal="right" wrapText="1"/>
    </xf>
    <xf numFmtId="165" fontId="39" fillId="0" borderId="0" xfId="261" applyNumberFormat="1" applyFont="1" applyFill="1" applyBorder="1"/>
    <xf numFmtId="3" fontId="39" fillId="0" borderId="31" xfId="260" applyNumberFormat="1" applyFont="1" applyFill="1" applyBorder="1" applyAlignment="1">
      <alignment horizontal="right"/>
    </xf>
    <xf numFmtId="165" fontId="33" fillId="0" borderId="0" xfId="261" applyNumberFormat="1" applyFont="1" applyFill="1" applyBorder="1"/>
    <xf numFmtId="0" fontId="33" fillId="0" borderId="0" xfId="260" applyFont="1" applyFill="1"/>
    <xf numFmtId="0" fontId="71" fillId="0" borderId="0" xfId="260" applyFont="1" applyFill="1" applyAlignment="1">
      <alignment wrapText="1"/>
    </xf>
    <xf numFmtId="3" fontId="38" fillId="0" borderId="0" xfId="260" applyNumberFormat="1" applyFont="1" applyFill="1"/>
    <xf numFmtId="0" fontId="40" fillId="0" borderId="0" xfId="260" applyFont="1" applyFill="1"/>
    <xf numFmtId="0" fontId="38" fillId="0" borderId="125" xfId="260" applyFont="1" applyFill="1" applyBorder="1" applyAlignment="1">
      <alignment wrapText="1"/>
    </xf>
    <xf numFmtId="3" fontId="38" fillId="0" borderId="126" xfId="260" applyNumberFormat="1" applyFont="1" applyFill="1" applyBorder="1"/>
    <xf numFmtId="3" fontId="71" fillId="0" borderId="0" xfId="172" applyNumberFormat="1" applyFont="1" applyFill="1"/>
    <xf numFmtId="3" fontId="0" fillId="0" borderId="39" xfId="199" applyNumberFormat="1" applyFont="1" applyFill="1" applyBorder="1" applyAlignment="1">
      <alignment wrapText="1"/>
    </xf>
    <xf numFmtId="0" fontId="38" fillId="0" borderId="0" xfId="172" applyFont="1" applyFill="1" applyAlignment="1">
      <alignment horizontal="center"/>
    </xf>
    <xf numFmtId="3" fontId="13" fillId="0" borderId="10" xfId="174" applyNumberFormat="1" applyFont="1" applyFill="1" applyBorder="1" applyAlignment="1">
      <alignment horizontal="center"/>
    </xf>
    <xf numFmtId="3" fontId="13" fillId="0" borderId="35" xfId="174" applyNumberFormat="1" applyFont="1" applyFill="1" applyBorder="1" applyAlignment="1">
      <alignment horizontal="center" wrapText="1"/>
    </xf>
    <xf numFmtId="3" fontId="13" fillId="0" borderId="80" xfId="174" applyNumberFormat="1" applyFont="1" applyFill="1" applyBorder="1" applyAlignment="1">
      <alignment horizontal="center" wrapText="1"/>
    </xf>
    <xf numFmtId="3" fontId="13" fillId="0" borderId="14" xfId="174" applyNumberFormat="1" applyFont="1" applyFill="1" applyBorder="1" applyAlignment="1">
      <alignment horizontal="center" wrapText="1"/>
    </xf>
    <xf numFmtId="3" fontId="13" fillId="0" borderId="35" xfId="174" applyNumberFormat="1" applyFont="1" applyFill="1" applyBorder="1" applyAlignment="1">
      <alignment horizontal="center"/>
    </xf>
    <xf numFmtId="3" fontId="13" fillId="0" borderId="80" xfId="174" applyNumberFormat="1" applyFont="1" applyFill="1" applyBorder="1" applyAlignment="1">
      <alignment horizontal="center"/>
    </xf>
    <xf numFmtId="3" fontId="13" fillId="0" borderId="14" xfId="174" applyNumberFormat="1" applyFont="1" applyFill="1" applyBorder="1" applyAlignment="1">
      <alignment horizontal="center"/>
    </xf>
    <xf numFmtId="3" fontId="13" fillId="0" borderId="10" xfId="174" applyNumberFormat="1" applyFont="1" applyFill="1" applyBorder="1" applyAlignment="1">
      <alignment horizontal="center" wrapText="1"/>
    </xf>
    <xf numFmtId="0" fontId="13" fillId="0" borderId="0" xfId="171" applyFont="1" applyFill="1" applyAlignment="1">
      <alignment horizontal="center"/>
    </xf>
    <xf numFmtId="3" fontId="42" fillId="0" borderId="10" xfId="171" applyNumberFormat="1" applyFont="1" applyFill="1" applyBorder="1" applyAlignment="1">
      <alignment horizontal="center" wrapText="1"/>
    </xf>
    <xf numFmtId="3" fontId="42" fillId="0" borderId="35" xfId="171" applyNumberFormat="1" applyFont="1" applyFill="1" applyBorder="1" applyAlignment="1">
      <alignment horizontal="center" wrapText="1"/>
    </xf>
    <xf numFmtId="3" fontId="42" fillId="0" borderId="80" xfId="171" applyNumberFormat="1" applyFont="1" applyFill="1" applyBorder="1" applyAlignment="1">
      <alignment horizontal="center" wrapText="1"/>
    </xf>
    <xf numFmtId="3" fontId="42" fillId="0" borderId="14" xfId="171" applyNumberFormat="1" applyFont="1" applyFill="1" applyBorder="1" applyAlignment="1">
      <alignment horizontal="center" wrapText="1"/>
    </xf>
    <xf numFmtId="3" fontId="42" fillId="0" borderId="10" xfId="171" applyNumberFormat="1" applyFont="1" applyFill="1" applyBorder="1" applyAlignment="1">
      <alignment horizontal="center"/>
    </xf>
    <xf numFmtId="0" fontId="42" fillId="0" borderId="87" xfId="174" applyFont="1" applyFill="1" applyBorder="1" applyAlignment="1">
      <alignment horizontal="center" wrapText="1"/>
    </xf>
    <xf numFmtId="0" fontId="42" fillId="0" borderId="40" xfId="174" applyFont="1" applyFill="1" applyBorder="1" applyAlignment="1">
      <alignment horizontal="center" wrapText="1"/>
    </xf>
    <xf numFmtId="0" fontId="42" fillId="0" borderId="87" xfId="171" applyFont="1" applyFill="1" applyBorder="1" applyAlignment="1">
      <alignment horizontal="center" wrapText="1"/>
    </xf>
    <xf numFmtId="0" fontId="42" fillId="0" borderId="40" xfId="171" applyFont="1" applyFill="1" applyBorder="1" applyAlignment="1">
      <alignment horizontal="center" wrapText="1"/>
    </xf>
    <xf numFmtId="3" fontId="42" fillId="0" borderId="35" xfId="171" applyNumberFormat="1" applyFont="1" applyFill="1" applyBorder="1" applyAlignment="1">
      <alignment horizontal="center"/>
    </xf>
    <xf numFmtId="3" fontId="42" fillId="0" borderId="80" xfId="171" applyNumberFormat="1" applyFont="1" applyFill="1" applyBorder="1" applyAlignment="1">
      <alignment horizontal="center"/>
    </xf>
    <xf numFmtId="3" fontId="42" fillId="0" borderId="14" xfId="171" applyNumberFormat="1" applyFont="1" applyFill="1" applyBorder="1" applyAlignment="1">
      <alignment horizontal="center"/>
    </xf>
    <xf numFmtId="0" fontId="75" fillId="0" borderId="0" xfId="196" applyFont="1" applyFill="1" applyAlignment="1">
      <alignment horizontal="left" vertical="center" wrapText="1"/>
    </xf>
    <xf numFmtId="0" fontId="13" fillId="0" borderId="0" xfId="196" applyFont="1" applyFill="1" applyAlignment="1">
      <alignment horizontal="center" vertical="center" wrapText="1"/>
    </xf>
    <xf numFmtId="0" fontId="13" fillId="0" borderId="0" xfId="196" applyFont="1" applyFill="1" applyAlignment="1">
      <alignment horizontal="center" vertical="center"/>
    </xf>
    <xf numFmtId="0" fontId="13" fillId="0" borderId="33" xfId="196" applyFont="1" applyFill="1" applyBorder="1" applyAlignment="1">
      <alignment horizontal="center" vertical="center"/>
    </xf>
    <xf numFmtId="3" fontId="59" fillId="0" borderId="88" xfId="200" applyNumberFormat="1" applyFont="1" applyFill="1" applyBorder="1" applyAlignment="1">
      <alignment horizontal="center" vertical="center" wrapText="1"/>
    </xf>
    <xf numFmtId="3" fontId="59" fillId="0" borderId="96" xfId="200" applyNumberFormat="1" applyFont="1" applyFill="1" applyBorder="1" applyAlignment="1">
      <alignment horizontal="center" vertical="center" wrapText="1"/>
    </xf>
    <xf numFmtId="3" fontId="70" fillId="0" borderId="88" xfId="270" applyNumberFormat="1" applyFont="1" applyFill="1" applyBorder="1" applyAlignment="1">
      <alignment horizontal="right"/>
    </xf>
    <xf numFmtId="3" fontId="70" fillId="0" borderId="101" xfId="270" applyNumberFormat="1" applyFont="1" applyFill="1" applyBorder="1" applyAlignment="1">
      <alignment horizontal="right"/>
    </xf>
    <xf numFmtId="3" fontId="70" fillId="0" borderId="96" xfId="270" applyNumberFormat="1" applyFont="1" applyFill="1" applyBorder="1" applyAlignment="1">
      <alignment horizontal="right"/>
    </xf>
    <xf numFmtId="3" fontId="61" fillId="0" borderId="60" xfId="200" applyNumberFormat="1" applyFont="1" applyFill="1" applyBorder="1" applyAlignment="1">
      <alignment horizontal="center"/>
    </xf>
    <xf numFmtId="3" fontId="61" fillId="0" borderId="61" xfId="200" applyNumberFormat="1" applyFont="1" applyFill="1" applyBorder="1" applyAlignment="1">
      <alignment horizontal="center"/>
    </xf>
    <xf numFmtId="3" fontId="59" fillId="0" borderId="100" xfId="200" applyNumberFormat="1" applyFont="1" applyFill="1" applyBorder="1" applyAlignment="1">
      <alignment horizontal="center" vertical="center" wrapText="1"/>
    </xf>
    <xf numFmtId="3" fontId="59" fillId="0" borderId="41" xfId="200" applyNumberFormat="1" applyFont="1" applyFill="1" applyBorder="1" applyAlignment="1">
      <alignment horizontal="center" vertical="center" wrapText="1"/>
    </xf>
    <xf numFmtId="3" fontId="57" fillId="0" borderId="35" xfId="200" applyNumberFormat="1" applyFont="1" applyFill="1" applyBorder="1" applyAlignment="1">
      <alignment horizontal="center"/>
    </xf>
    <xf numFmtId="3" fontId="57" fillId="0" borderId="14" xfId="200" applyNumberFormat="1" applyFont="1" applyFill="1" applyBorder="1" applyAlignment="1">
      <alignment horizontal="center"/>
    </xf>
    <xf numFmtId="0" fontId="13" fillId="0" borderId="0" xfId="196" applyFont="1" applyAlignment="1">
      <alignment horizontal="center"/>
    </xf>
    <xf numFmtId="2" fontId="38" fillId="0" borderId="60" xfId="266" applyNumberFormat="1" applyFont="1" applyFill="1" applyBorder="1" applyAlignment="1">
      <alignment horizontal="center" wrapText="1"/>
    </xf>
    <xf numFmtId="0" fontId="70" fillId="0" borderId="61" xfId="268" applyFont="1" applyFill="1" applyBorder="1" applyAlignment="1">
      <alignment horizontal="center" wrapText="1"/>
    </xf>
    <xf numFmtId="0" fontId="38" fillId="0" borderId="0" xfId="268" applyFont="1" applyFill="1" applyAlignment="1">
      <alignment horizontal="center"/>
    </xf>
    <xf numFmtId="3" fontId="13" fillId="0" borderId="0" xfId="0" applyNumberFormat="1" applyFont="1" applyFill="1" applyAlignment="1">
      <alignment horizontal="center"/>
    </xf>
    <xf numFmtId="0" fontId="65" fillId="0" borderId="0" xfId="157" applyFont="1" applyFill="1" applyAlignment="1">
      <alignment horizontal="center" wrapText="1"/>
    </xf>
    <xf numFmtId="0" fontId="38" fillId="0" borderId="0" xfId="196" applyFont="1" applyFill="1" applyAlignment="1">
      <alignment horizontal="center" wrapText="1"/>
    </xf>
    <xf numFmtId="0" fontId="12" fillId="0" borderId="0" xfId="0" applyFont="1" applyFill="1" applyAlignment="1">
      <alignment wrapText="1"/>
    </xf>
    <xf numFmtId="0" fontId="38" fillId="0" borderId="129" xfId="195" applyFont="1" applyFill="1" applyBorder="1" applyAlignment="1">
      <alignment horizontal="center" wrapText="1"/>
    </xf>
    <xf numFmtId="0" fontId="38" fillId="0" borderId="108" xfId="195" applyFont="1" applyFill="1" applyBorder="1" applyAlignment="1">
      <alignment horizontal="center" wrapText="1"/>
    </xf>
    <xf numFmtId="0" fontId="38" fillId="0" borderId="127" xfId="196" applyFont="1" applyFill="1" applyBorder="1" applyAlignment="1">
      <alignment horizontal="center" wrapText="1"/>
    </xf>
    <xf numFmtId="0" fontId="38" fillId="0" borderId="20" xfId="196" applyFont="1" applyFill="1" applyBorder="1" applyAlignment="1">
      <alignment horizontal="center" wrapText="1"/>
    </xf>
    <xf numFmtId="0" fontId="38" fillId="0" borderId="33" xfId="196" applyFont="1" applyFill="1" applyBorder="1" applyAlignment="1">
      <alignment horizontal="center" wrapText="1"/>
    </xf>
    <xf numFmtId="0" fontId="38" fillId="0" borderId="0" xfId="206" applyFont="1" applyFill="1" applyAlignment="1">
      <alignment horizontal="center" wrapText="1"/>
    </xf>
    <xf numFmtId="3" fontId="42" fillId="0" borderId="85" xfId="263" applyNumberFormat="1" applyFont="1" applyFill="1" applyBorder="1" applyAlignment="1">
      <alignment horizontal="left" wrapText="1"/>
    </xf>
    <xf numFmtId="3" fontId="42" fillId="0" borderId="34" xfId="263" applyNumberFormat="1" applyFont="1" applyFill="1" applyBorder="1" applyAlignment="1">
      <alignment horizontal="left" wrapText="1"/>
    </xf>
    <xf numFmtId="3" fontId="42" fillId="0" borderId="85" xfId="263" applyNumberFormat="1" applyFont="1" applyFill="1" applyBorder="1" applyAlignment="1">
      <alignment horizontal="left"/>
    </xf>
    <xf numFmtId="3" fontId="42" fillId="0" borderId="34" xfId="263" applyNumberFormat="1" applyFont="1" applyFill="1" applyBorder="1" applyAlignment="1">
      <alignment horizontal="left"/>
    </xf>
    <xf numFmtId="12" fontId="42" fillId="0" borderId="119" xfId="263" applyNumberFormat="1" applyFont="1" applyFill="1" applyBorder="1" applyAlignment="1">
      <alignment horizontal="left" wrapText="1"/>
    </xf>
    <xf numFmtId="12" fontId="42" fillId="0" borderId="132" xfId="263" applyNumberFormat="1" applyFont="1" applyFill="1" applyBorder="1" applyAlignment="1">
      <alignment horizontal="left" wrapText="1"/>
    </xf>
    <xf numFmtId="0" fontId="68" fillId="0" borderId="0" xfId="263" applyFont="1" applyFill="1" applyAlignment="1">
      <alignment horizontal="center" wrapText="1"/>
    </xf>
    <xf numFmtId="3" fontId="13" fillId="0" borderId="10" xfId="173" applyNumberFormat="1" applyFont="1" applyFill="1" applyBorder="1" applyAlignment="1">
      <alignment horizontal="center" wrapText="1"/>
    </xf>
    <xf numFmtId="3" fontId="44" fillId="0" borderId="10" xfId="173" applyNumberFormat="1" applyFont="1" applyFill="1" applyBorder="1" applyAlignment="1">
      <alignment horizontal="center" wrapText="1"/>
    </xf>
    <xf numFmtId="3" fontId="13" fillId="0" borderId="0" xfId="173" applyNumberFormat="1" applyFont="1" applyFill="1" applyAlignment="1">
      <alignment horizontal="center" wrapText="1"/>
    </xf>
    <xf numFmtId="0" fontId="44" fillId="0" borderId="87" xfId="173" applyFont="1" applyFill="1" applyBorder="1" applyAlignment="1">
      <alignment horizontal="center" wrapText="1"/>
    </xf>
    <xf numFmtId="0" fontId="44" fillId="0" borderId="83" xfId="173" applyFont="1" applyFill="1" applyBorder="1" applyAlignment="1">
      <alignment horizontal="center" wrapText="1"/>
    </xf>
    <xf numFmtId="0" fontId="44" fillId="0" borderId="40" xfId="173" applyFont="1" applyFill="1" applyBorder="1" applyAlignment="1">
      <alignment horizontal="center" wrapText="1"/>
    </xf>
    <xf numFmtId="0" fontId="45" fillId="0" borderId="87" xfId="173" applyFont="1" applyFill="1" applyBorder="1" applyAlignment="1">
      <alignment horizontal="center" wrapText="1"/>
    </xf>
    <xf numFmtId="0" fontId="45" fillId="0" borderId="83" xfId="173" applyFont="1" applyFill="1" applyBorder="1" applyAlignment="1">
      <alignment horizontal="center" wrapText="1"/>
    </xf>
    <xf numFmtId="0" fontId="45" fillId="0" borderId="40" xfId="173" applyFont="1" applyFill="1" applyBorder="1" applyAlignment="1">
      <alignment horizontal="center" wrapText="1"/>
    </xf>
    <xf numFmtId="0" fontId="65" fillId="0" borderId="0" xfId="257" applyFont="1" applyFill="1" applyAlignment="1">
      <alignment horizontal="center"/>
    </xf>
    <xf numFmtId="0" fontId="65" fillId="0" borderId="0" xfId="257" applyFont="1" applyFill="1" applyBorder="1" applyAlignment="1">
      <alignment horizontal="center"/>
    </xf>
    <xf numFmtId="0" fontId="72" fillId="0" borderId="0" xfId="0" applyFont="1" applyBorder="1" applyAlignment="1">
      <alignment horizontal="center" wrapText="1"/>
    </xf>
    <xf numFmtId="0" fontId="38" fillId="0" borderId="85" xfId="260" applyFont="1" applyFill="1" applyBorder="1" applyAlignment="1">
      <alignment horizontal="left"/>
    </xf>
    <xf numFmtId="0" fontId="38" fillId="0" borderId="20" xfId="260" applyFont="1" applyFill="1" applyBorder="1" applyAlignment="1">
      <alignment horizontal="left"/>
    </xf>
    <xf numFmtId="0" fontId="38" fillId="0" borderId="94" xfId="260" applyFont="1" applyFill="1" applyBorder="1" applyAlignment="1">
      <alignment horizontal="left"/>
    </xf>
    <xf numFmtId="3" fontId="12" fillId="0" borderId="48" xfId="199" applyNumberFormat="1" applyFont="1" applyFill="1" applyBorder="1" applyAlignment="1">
      <alignment wrapText="1"/>
    </xf>
    <xf numFmtId="0" fontId="54" fillId="0" borderId="11" xfId="199" applyFont="1" applyFill="1" applyBorder="1" applyAlignment="1">
      <alignment wrapText="1"/>
    </xf>
    <xf numFmtId="3" fontId="54" fillId="0" borderId="11" xfId="199" applyNumberFormat="1" applyFont="1" applyFill="1" applyBorder="1" applyAlignment="1">
      <alignment wrapText="1"/>
    </xf>
    <xf numFmtId="3" fontId="13" fillId="0" borderId="11" xfId="199" applyNumberFormat="1" applyFont="1" applyFill="1" applyBorder="1" applyAlignment="1">
      <alignment wrapText="1"/>
    </xf>
    <xf numFmtId="3" fontId="55" fillId="0" borderId="11" xfId="199" applyNumberFormat="1" applyFont="1" applyFill="1" applyBorder="1" applyAlignment="1">
      <alignment wrapText="1"/>
    </xf>
    <xf numFmtId="0" fontId="43" fillId="0" borderId="15" xfId="200" applyFont="1" applyBorder="1"/>
    <xf numFmtId="0" fontId="54" fillId="0" borderId="15" xfId="199" applyBorder="1" applyAlignment="1">
      <alignment wrapText="1"/>
    </xf>
    <xf numFmtId="3" fontId="54" fillId="0" borderId="15" xfId="200" applyNumberFormat="1" applyBorder="1"/>
    <xf numFmtId="3" fontId="12" fillId="0" borderId="15" xfId="200" applyNumberFormat="1" applyFont="1" applyBorder="1"/>
    <xf numFmtId="3" fontId="12" fillId="24" borderId="34" xfId="200" applyNumberFormat="1" applyFont="1" applyFill="1" applyBorder="1"/>
    <xf numFmtId="0" fontId="13" fillId="0" borderId="21" xfId="199" applyFont="1" applyBorder="1" applyAlignment="1">
      <alignment wrapText="1"/>
    </xf>
    <xf numFmtId="3" fontId="0" fillId="0" borderId="94" xfId="195" applyNumberFormat="1" applyFont="1" applyFill="1" applyBorder="1"/>
  </cellXfs>
  <cellStyles count="271">
    <cellStyle name="20% - 1. jelölőszín" xfId="1" builtinId="30" customBuiltin="1"/>
    <cellStyle name="20% - 1. jelölőszín 2" xfId="2" xr:uid="{00000000-0005-0000-0000-000003000000}"/>
    <cellStyle name="20% - 1. jelölőszín 3" xfId="3" xr:uid="{00000000-0005-0000-0000-000004000000}"/>
    <cellStyle name="20% - 1. jelölőszín 4" xfId="209" xr:uid="{00000000-0005-0000-0000-000005000000}"/>
    <cellStyle name="20% - 2. jelölőszín" xfId="4" builtinId="34" customBuiltin="1"/>
    <cellStyle name="20% - 2. jelölőszín 2" xfId="5" xr:uid="{00000000-0005-0000-0000-000007000000}"/>
    <cellStyle name="20% - 2. jelölőszín 3" xfId="6" xr:uid="{00000000-0005-0000-0000-000008000000}"/>
    <cellStyle name="20% - 2. jelölőszín 4" xfId="210" xr:uid="{00000000-0005-0000-0000-000009000000}"/>
    <cellStyle name="20% - 3. jelölőszín" xfId="7" builtinId="38" customBuiltin="1"/>
    <cellStyle name="20% - 3. jelölőszín 2" xfId="8" xr:uid="{00000000-0005-0000-0000-00000B000000}"/>
    <cellStyle name="20% - 3. jelölőszín 3" xfId="9" xr:uid="{00000000-0005-0000-0000-00000C000000}"/>
    <cellStyle name="20% - 3. jelölőszín 4" xfId="211" xr:uid="{00000000-0005-0000-0000-00000D000000}"/>
    <cellStyle name="20% - 4. jelölőszín" xfId="10" builtinId="42" customBuiltin="1"/>
    <cellStyle name="20% - 4. jelölőszín 2" xfId="11" xr:uid="{00000000-0005-0000-0000-00000F000000}"/>
    <cellStyle name="20% - 4. jelölőszín 3" xfId="12" xr:uid="{00000000-0005-0000-0000-000010000000}"/>
    <cellStyle name="20% - 4. jelölőszín 4" xfId="212" xr:uid="{00000000-0005-0000-0000-000011000000}"/>
    <cellStyle name="20% - 5. jelölőszín" xfId="13" builtinId="46" customBuiltin="1"/>
    <cellStyle name="20% - 5. jelölőszín 2" xfId="14" xr:uid="{00000000-0005-0000-0000-000013000000}"/>
    <cellStyle name="20% - 5. jelölőszín 3" xfId="15" xr:uid="{00000000-0005-0000-0000-000014000000}"/>
    <cellStyle name="20% - 5. jelölőszín 4" xfId="213" xr:uid="{00000000-0005-0000-0000-000015000000}"/>
    <cellStyle name="20% - 6. jelölőszín" xfId="16" builtinId="50" customBuiltin="1"/>
    <cellStyle name="20% - 6. jelölőszín 2" xfId="17" xr:uid="{00000000-0005-0000-0000-000017000000}"/>
    <cellStyle name="20% - 6. jelölőszín 3" xfId="18" xr:uid="{00000000-0005-0000-0000-000018000000}"/>
    <cellStyle name="20% - 6. jelölőszín 4" xfId="214" xr:uid="{00000000-0005-0000-0000-000019000000}"/>
    <cellStyle name="20% - Accent1" xfId="19" xr:uid="{00000000-0005-0000-0000-00001A000000}"/>
    <cellStyle name="20% - Accent2" xfId="20" xr:uid="{00000000-0005-0000-0000-00001B000000}"/>
    <cellStyle name="20% - Accent3" xfId="21" xr:uid="{00000000-0005-0000-0000-00001C000000}"/>
    <cellStyle name="20% - Accent4" xfId="22" xr:uid="{00000000-0005-0000-0000-00001D000000}"/>
    <cellStyle name="20% - Accent5" xfId="23" xr:uid="{00000000-0005-0000-0000-00001E000000}"/>
    <cellStyle name="20% - Accent6" xfId="24" xr:uid="{00000000-0005-0000-0000-00001F000000}"/>
    <cellStyle name="40% - 1. jelölőszín" xfId="25" builtinId="31" customBuiltin="1"/>
    <cellStyle name="40% - 1. jelölőszín 2" xfId="26" xr:uid="{00000000-0005-0000-0000-000023000000}"/>
    <cellStyle name="40% - 1. jelölőszín 3" xfId="27" xr:uid="{00000000-0005-0000-0000-000024000000}"/>
    <cellStyle name="40% - 1. jelölőszín 4" xfId="215" xr:uid="{00000000-0005-0000-0000-000025000000}"/>
    <cellStyle name="40% - 2. jelölőszín" xfId="28" builtinId="35" customBuiltin="1"/>
    <cellStyle name="40% - 2. jelölőszín 2" xfId="29" xr:uid="{00000000-0005-0000-0000-000027000000}"/>
    <cellStyle name="40% - 2. jelölőszín 3" xfId="30" xr:uid="{00000000-0005-0000-0000-000028000000}"/>
    <cellStyle name="40% - 2. jelölőszín 4" xfId="216" xr:uid="{00000000-0005-0000-0000-000029000000}"/>
    <cellStyle name="40% - 3. jelölőszín" xfId="31" builtinId="39" customBuiltin="1"/>
    <cellStyle name="40% - 3. jelölőszín 2" xfId="32" xr:uid="{00000000-0005-0000-0000-00002B000000}"/>
    <cellStyle name="40% - 3. jelölőszín 3" xfId="33" xr:uid="{00000000-0005-0000-0000-00002C000000}"/>
    <cellStyle name="40% - 3. jelölőszín 4" xfId="217" xr:uid="{00000000-0005-0000-0000-00002D000000}"/>
    <cellStyle name="40% - 4. jelölőszín" xfId="34" builtinId="43" customBuiltin="1"/>
    <cellStyle name="40% - 4. jelölőszín 2" xfId="35" xr:uid="{00000000-0005-0000-0000-00002F000000}"/>
    <cellStyle name="40% - 4. jelölőszín 3" xfId="36" xr:uid="{00000000-0005-0000-0000-000030000000}"/>
    <cellStyle name="40% - 4. jelölőszín 4" xfId="218" xr:uid="{00000000-0005-0000-0000-000031000000}"/>
    <cellStyle name="40% - 5. jelölőszín" xfId="37" builtinId="47" customBuiltin="1"/>
    <cellStyle name="40% - 5. jelölőszín 2" xfId="38" xr:uid="{00000000-0005-0000-0000-000033000000}"/>
    <cellStyle name="40% - 5. jelölőszín 3" xfId="39" xr:uid="{00000000-0005-0000-0000-000034000000}"/>
    <cellStyle name="40% - 5. jelölőszín 4" xfId="219" xr:uid="{00000000-0005-0000-0000-000035000000}"/>
    <cellStyle name="40% - 6. jelölőszín" xfId="40" builtinId="51" customBuiltin="1"/>
    <cellStyle name="40% - 6. jelölőszín 2" xfId="41" xr:uid="{00000000-0005-0000-0000-000037000000}"/>
    <cellStyle name="40% - 6. jelölőszín 3" xfId="42" xr:uid="{00000000-0005-0000-0000-000038000000}"/>
    <cellStyle name="40% - 6. jelölőszín 4" xfId="220" xr:uid="{00000000-0005-0000-0000-000039000000}"/>
    <cellStyle name="40% - Accent1" xfId="43" xr:uid="{00000000-0005-0000-0000-00003A000000}"/>
    <cellStyle name="40% - Accent2" xfId="44" xr:uid="{00000000-0005-0000-0000-00003B000000}"/>
    <cellStyle name="40% - Accent3" xfId="45" xr:uid="{00000000-0005-0000-0000-00003C000000}"/>
    <cellStyle name="40% - Accent4" xfId="46" xr:uid="{00000000-0005-0000-0000-00003D000000}"/>
    <cellStyle name="40% - Accent5" xfId="47" xr:uid="{00000000-0005-0000-0000-00003E000000}"/>
    <cellStyle name="40% - Accent6" xfId="48" xr:uid="{00000000-0005-0000-0000-00003F000000}"/>
    <cellStyle name="60% - 1. jelölőszín" xfId="49" builtinId="32" customBuiltin="1"/>
    <cellStyle name="60% - 1. jelölőszín 2" xfId="50" xr:uid="{00000000-0005-0000-0000-000043000000}"/>
    <cellStyle name="60% - 1. jelölőszín 3" xfId="51" xr:uid="{00000000-0005-0000-0000-000044000000}"/>
    <cellStyle name="60% - 1. jelölőszín 4" xfId="221" xr:uid="{00000000-0005-0000-0000-000045000000}"/>
    <cellStyle name="60% - 2. jelölőszín" xfId="52" builtinId="36" customBuiltin="1"/>
    <cellStyle name="60% - 2. jelölőszín 2" xfId="53" xr:uid="{00000000-0005-0000-0000-000047000000}"/>
    <cellStyle name="60% - 2. jelölőszín 3" xfId="54" xr:uid="{00000000-0005-0000-0000-000048000000}"/>
    <cellStyle name="60% - 2. jelölőszín 4" xfId="222" xr:uid="{00000000-0005-0000-0000-000049000000}"/>
    <cellStyle name="60% - 3. jelölőszín" xfId="55" builtinId="40" customBuiltin="1"/>
    <cellStyle name="60% - 3. jelölőszín 2" xfId="56" xr:uid="{00000000-0005-0000-0000-00004B000000}"/>
    <cellStyle name="60% - 3. jelölőszín 3" xfId="57" xr:uid="{00000000-0005-0000-0000-00004C000000}"/>
    <cellStyle name="60% - 3. jelölőszín 4" xfId="223" xr:uid="{00000000-0005-0000-0000-00004D000000}"/>
    <cellStyle name="60% - 4. jelölőszín" xfId="58" builtinId="44" customBuiltin="1"/>
    <cellStyle name="60% - 4. jelölőszín 2" xfId="59" xr:uid="{00000000-0005-0000-0000-00004F000000}"/>
    <cellStyle name="60% - 4. jelölőszín 3" xfId="60" xr:uid="{00000000-0005-0000-0000-000050000000}"/>
    <cellStyle name="60% - 4. jelölőszín 4" xfId="224" xr:uid="{00000000-0005-0000-0000-000051000000}"/>
    <cellStyle name="60% - 5. jelölőszín" xfId="61" builtinId="48" customBuiltin="1"/>
    <cellStyle name="60% - 5. jelölőszín 2" xfId="62" xr:uid="{00000000-0005-0000-0000-000053000000}"/>
    <cellStyle name="60% - 5. jelölőszín 3" xfId="63" xr:uid="{00000000-0005-0000-0000-000054000000}"/>
    <cellStyle name="60% - 5. jelölőszín 4" xfId="225" xr:uid="{00000000-0005-0000-0000-000055000000}"/>
    <cellStyle name="60% - 6. jelölőszín" xfId="64" builtinId="52" customBuiltin="1"/>
    <cellStyle name="60% - 6. jelölőszín 2" xfId="65" xr:uid="{00000000-0005-0000-0000-000057000000}"/>
    <cellStyle name="60% - 6. jelölőszín 3" xfId="66" xr:uid="{00000000-0005-0000-0000-000058000000}"/>
    <cellStyle name="60% - 6. jelölőszín 4" xfId="226" xr:uid="{00000000-0005-0000-0000-000059000000}"/>
    <cellStyle name="60% - Accent1" xfId="67" xr:uid="{00000000-0005-0000-0000-00005A000000}"/>
    <cellStyle name="60% - Accent2" xfId="68" xr:uid="{00000000-0005-0000-0000-00005B000000}"/>
    <cellStyle name="60% - Accent3" xfId="69" xr:uid="{00000000-0005-0000-0000-00005C000000}"/>
    <cellStyle name="60% - Accent4" xfId="70" xr:uid="{00000000-0005-0000-0000-00005D000000}"/>
    <cellStyle name="60% - Accent5" xfId="71" xr:uid="{00000000-0005-0000-0000-00005E000000}"/>
    <cellStyle name="60% - Accent6" xfId="72" xr:uid="{00000000-0005-0000-0000-00005F000000}"/>
    <cellStyle name="Accent1" xfId="73" xr:uid="{00000000-0005-0000-0000-000060000000}"/>
    <cellStyle name="Accent2" xfId="74" xr:uid="{00000000-0005-0000-0000-000061000000}"/>
    <cellStyle name="Accent3" xfId="75" xr:uid="{00000000-0005-0000-0000-000062000000}"/>
    <cellStyle name="Accent4" xfId="76" xr:uid="{00000000-0005-0000-0000-000063000000}"/>
    <cellStyle name="Accent5" xfId="77" xr:uid="{00000000-0005-0000-0000-000064000000}"/>
    <cellStyle name="Accent6" xfId="78" xr:uid="{00000000-0005-0000-0000-000065000000}"/>
    <cellStyle name="Bad" xfId="79" xr:uid="{00000000-0005-0000-0000-000066000000}"/>
    <cellStyle name="Bevitel" xfId="80" builtinId="20" customBuiltin="1"/>
    <cellStyle name="Bevitel 2" xfId="81" xr:uid="{00000000-0005-0000-0000-000068000000}"/>
    <cellStyle name="Bevitel 3" xfId="82" xr:uid="{00000000-0005-0000-0000-000069000000}"/>
    <cellStyle name="Bevitel 4" xfId="227" xr:uid="{00000000-0005-0000-0000-00006A000000}"/>
    <cellStyle name="Calculation" xfId="83" xr:uid="{00000000-0005-0000-0000-00006B000000}"/>
    <cellStyle name="Check Cell" xfId="84" xr:uid="{00000000-0005-0000-0000-00006C000000}"/>
    <cellStyle name="Cím" xfId="85" builtinId="15" customBuiltin="1"/>
    <cellStyle name="Cím 2" xfId="86" xr:uid="{00000000-0005-0000-0000-00006E000000}"/>
    <cellStyle name="Cím 3" xfId="87" xr:uid="{00000000-0005-0000-0000-00006F000000}"/>
    <cellStyle name="Cím 4" xfId="228" xr:uid="{00000000-0005-0000-0000-000070000000}"/>
    <cellStyle name="Címsor 1" xfId="88" builtinId="16" customBuiltin="1"/>
    <cellStyle name="Címsor 1 2" xfId="89" xr:uid="{00000000-0005-0000-0000-000072000000}"/>
    <cellStyle name="Címsor 1 3" xfId="90" xr:uid="{00000000-0005-0000-0000-000073000000}"/>
    <cellStyle name="Címsor 1 4" xfId="229" xr:uid="{00000000-0005-0000-0000-000074000000}"/>
    <cellStyle name="Címsor 2" xfId="91" builtinId="17" customBuiltin="1"/>
    <cellStyle name="Címsor 2 2" xfId="92" xr:uid="{00000000-0005-0000-0000-000076000000}"/>
    <cellStyle name="Címsor 2 3" xfId="93" xr:uid="{00000000-0005-0000-0000-000077000000}"/>
    <cellStyle name="Címsor 2 4" xfId="230" xr:uid="{00000000-0005-0000-0000-000078000000}"/>
    <cellStyle name="Címsor 3" xfId="94" builtinId="18" customBuiltin="1"/>
    <cellStyle name="Címsor 3 2" xfId="95" xr:uid="{00000000-0005-0000-0000-00007A000000}"/>
    <cellStyle name="Címsor 3 3" xfId="96" xr:uid="{00000000-0005-0000-0000-00007B000000}"/>
    <cellStyle name="Címsor 3 4" xfId="231" xr:uid="{00000000-0005-0000-0000-00007C000000}"/>
    <cellStyle name="Címsor 4" xfId="97" builtinId="19" customBuiltin="1"/>
    <cellStyle name="Címsor 4 2" xfId="98" xr:uid="{00000000-0005-0000-0000-00007E000000}"/>
    <cellStyle name="Címsor 4 3" xfId="99" xr:uid="{00000000-0005-0000-0000-00007F000000}"/>
    <cellStyle name="Címsor 4 4" xfId="232" xr:uid="{00000000-0005-0000-0000-000080000000}"/>
    <cellStyle name="Ellenőrzőcella" xfId="100" builtinId="23" customBuiltin="1"/>
    <cellStyle name="Ellenőrzőcella 2" xfId="101" xr:uid="{00000000-0005-0000-0000-000082000000}"/>
    <cellStyle name="Ellenőrzőcella 3" xfId="102" xr:uid="{00000000-0005-0000-0000-000083000000}"/>
    <cellStyle name="Ellenőrzőcella 4" xfId="233" xr:uid="{00000000-0005-0000-0000-000084000000}"/>
    <cellStyle name="Explanatory Text" xfId="103" xr:uid="{00000000-0005-0000-0000-000085000000}"/>
    <cellStyle name="Ezres" xfId="254" builtinId="3"/>
    <cellStyle name="Ezres 2" xfId="104" xr:uid="{00000000-0005-0000-0000-000087000000}"/>
    <cellStyle name="Ezres 2 2" xfId="197" xr:uid="{00000000-0005-0000-0000-000088000000}"/>
    <cellStyle name="Ezres 3" xfId="105" xr:uid="{00000000-0005-0000-0000-000089000000}"/>
    <cellStyle name="Ezres 3 2" xfId="201" xr:uid="{00000000-0005-0000-0000-00008A000000}"/>
    <cellStyle name="Ezres 4" xfId="261" xr:uid="{00000000-0005-0000-0000-00008B000000}"/>
    <cellStyle name="Figyelmeztetés" xfId="106" builtinId="11" customBuiltin="1"/>
    <cellStyle name="Figyelmeztetés 2" xfId="107" xr:uid="{00000000-0005-0000-0000-00008D000000}"/>
    <cellStyle name="Figyelmeztetés 3" xfId="108" xr:uid="{00000000-0005-0000-0000-00008E000000}"/>
    <cellStyle name="Figyelmeztetés 4" xfId="234" xr:uid="{00000000-0005-0000-0000-00008F000000}"/>
    <cellStyle name="Good" xfId="109" xr:uid="{00000000-0005-0000-0000-000090000000}"/>
    <cellStyle name="Heading 1" xfId="110" xr:uid="{00000000-0005-0000-0000-000091000000}"/>
    <cellStyle name="Heading 2" xfId="111" xr:uid="{00000000-0005-0000-0000-000092000000}"/>
    <cellStyle name="Heading 3" xfId="112" xr:uid="{00000000-0005-0000-0000-000093000000}"/>
    <cellStyle name="Heading 4" xfId="113" xr:uid="{00000000-0005-0000-0000-000094000000}"/>
    <cellStyle name="Hivatkozott cella" xfId="114" builtinId="24" customBuiltin="1"/>
    <cellStyle name="Hivatkozott cella 2" xfId="115" xr:uid="{00000000-0005-0000-0000-000096000000}"/>
    <cellStyle name="Hivatkozott cella 3" xfId="116" xr:uid="{00000000-0005-0000-0000-000097000000}"/>
    <cellStyle name="Hivatkozott cella 4" xfId="235" xr:uid="{00000000-0005-0000-0000-000098000000}"/>
    <cellStyle name="Input" xfId="117" xr:uid="{00000000-0005-0000-0000-000099000000}"/>
    <cellStyle name="Jegyzet" xfId="118" builtinId="10" customBuiltin="1"/>
    <cellStyle name="Jegyzet 2" xfId="119" xr:uid="{00000000-0005-0000-0000-00009B000000}"/>
    <cellStyle name="Jegyzet 3" xfId="120" xr:uid="{00000000-0005-0000-0000-00009C000000}"/>
    <cellStyle name="Jegyzet 4" xfId="121" xr:uid="{00000000-0005-0000-0000-00009D000000}"/>
    <cellStyle name="Jegyzet 5" xfId="236" xr:uid="{00000000-0005-0000-0000-00009E000000}"/>
    <cellStyle name="Jelölőszín (1) 2" xfId="123" xr:uid="{00000000-0005-0000-0000-00009F000000}"/>
    <cellStyle name="Jelölőszín (1) 3" xfId="124" xr:uid="{00000000-0005-0000-0000-0000A0000000}"/>
    <cellStyle name="Jelölőszín (1) 4" xfId="237" xr:uid="{00000000-0005-0000-0000-0000A1000000}"/>
    <cellStyle name="Jelölőszín (2) 2" xfId="126" xr:uid="{00000000-0005-0000-0000-0000A2000000}"/>
    <cellStyle name="Jelölőszín (2) 3" xfId="127" xr:uid="{00000000-0005-0000-0000-0000A3000000}"/>
    <cellStyle name="Jelölőszín (2) 4" xfId="238" xr:uid="{00000000-0005-0000-0000-0000A4000000}"/>
    <cellStyle name="Jelölőszín (3) 2" xfId="129" xr:uid="{00000000-0005-0000-0000-0000A5000000}"/>
    <cellStyle name="Jelölőszín (3) 3" xfId="130" xr:uid="{00000000-0005-0000-0000-0000A6000000}"/>
    <cellStyle name="Jelölőszín (3) 4" xfId="239" xr:uid="{00000000-0005-0000-0000-0000A7000000}"/>
    <cellStyle name="Jelölőszín (4) 2" xfId="132" xr:uid="{00000000-0005-0000-0000-0000A8000000}"/>
    <cellStyle name="Jelölőszín (4) 3" xfId="133" xr:uid="{00000000-0005-0000-0000-0000A9000000}"/>
    <cellStyle name="Jelölőszín (4) 4" xfId="240" xr:uid="{00000000-0005-0000-0000-0000AA000000}"/>
    <cellStyle name="Jelölőszín (5) 2" xfId="135" xr:uid="{00000000-0005-0000-0000-0000AB000000}"/>
    <cellStyle name="Jelölőszín (5) 3" xfId="136" xr:uid="{00000000-0005-0000-0000-0000AC000000}"/>
    <cellStyle name="Jelölőszín (5) 4" xfId="241" xr:uid="{00000000-0005-0000-0000-0000AD000000}"/>
    <cellStyle name="Jelölőszín (6) 2" xfId="138" xr:uid="{00000000-0005-0000-0000-0000AE000000}"/>
    <cellStyle name="Jelölőszín (6) 3" xfId="139" xr:uid="{00000000-0005-0000-0000-0000AF000000}"/>
    <cellStyle name="Jelölőszín (6) 4" xfId="242" xr:uid="{00000000-0005-0000-0000-0000B0000000}"/>
    <cellStyle name="Jelölőszín 1" xfId="122" builtinId="29" customBuiltin="1"/>
    <cellStyle name="Jelölőszín 2" xfId="125" builtinId="33" customBuiltin="1"/>
    <cellStyle name="Jelölőszín 3" xfId="128" builtinId="37" customBuiltin="1"/>
    <cellStyle name="Jelölőszín 4" xfId="131" builtinId="41" customBuiltin="1"/>
    <cellStyle name="Jelölőszín 5" xfId="134" builtinId="45" customBuiltin="1"/>
    <cellStyle name="Jelölőszín 6" xfId="137" builtinId="49" customBuiltin="1"/>
    <cellStyle name="Jó" xfId="140" builtinId="26" customBuiltin="1"/>
    <cellStyle name="Jó 2" xfId="141" xr:uid="{00000000-0005-0000-0000-0000B2000000}"/>
    <cellStyle name="Jó 3" xfId="142" xr:uid="{00000000-0005-0000-0000-0000B3000000}"/>
    <cellStyle name="Jó 4" xfId="243" xr:uid="{00000000-0005-0000-0000-0000B4000000}"/>
    <cellStyle name="Kimenet" xfId="143" builtinId="21" customBuiltin="1"/>
    <cellStyle name="Kimenet 2" xfId="144" xr:uid="{00000000-0005-0000-0000-0000B6000000}"/>
    <cellStyle name="Kimenet 3" xfId="145" xr:uid="{00000000-0005-0000-0000-0000B7000000}"/>
    <cellStyle name="Kimenet 4" xfId="244" xr:uid="{00000000-0005-0000-0000-0000B8000000}"/>
    <cellStyle name="Linked Cell" xfId="146" xr:uid="{00000000-0005-0000-0000-0000B9000000}"/>
    <cellStyle name="Magyarázó szöveg" xfId="147" builtinId="53" customBuiltin="1"/>
    <cellStyle name="Magyarázó szöveg 2" xfId="148" xr:uid="{00000000-0005-0000-0000-0000BB000000}"/>
    <cellStyle name="Magyarázó szöveg 3" xfId="149" xr:uid="{00000000-0005-0000-0000-0000BC000000}"/>
    <cellStyle name="Magyarázó szöveg 4" xfId="245" xr:uid="{00000000-0005-0000-0000-0000BD000000}"/>
    <cellStyle name="Neutral" xfId="150" xr:uid="{00000000-0005-0000-0000-0000BE000000}"/>
    <cellStyle name="Normál" xfId="0" builtinId="0"/>
    <cellStyle name="Normál 10" xfId="151" xr:uid="{00000000-0005-0000-0000-0000C0000000}"/>
    <cellStyle name="Normál 11" xfId="198" xr:uid="{00000000-0005-0000-0000-0000C1000000}"/>
    <cellStyle name="Normál 11 2" xfId="202" xr:uid="{00000000-0005-0000-0000-0000C2000000}"/>
    <cellStyle name="Normál 11 3" xfId="251" xr:uid="{00000000-0005-0000-0000-0000C3000000}"/>
    <cellStyle name="Normál 11 4" xfId="253" xr:uid="{00000000-0005-0000-0000-0000C4000000}"/>
    <cellStyle name="Normál 11 5" xfId="255" xr:uid="{00000000-0005-0000-0000-0000C5000000}"/>
    <cellStyle name="Normál 11 6" xfId="264" xr:uid="{00000000-0005-0000-0000-0000C6000000}"/>
    <cellStyle name="Normál 11 7" xfId="270" xr:uid="{00000000-0005-0000-0000-0000C7000000}"/>
    <cellStyle name="Normál 12" xfId="206" xr:uid="{00000000-0005-0000-0000-0000C8000000}"/>
    <cellStyle name="Normál 13" xfId="207" xr:uid="{00000000-0005-0000-0000-0000C9000000}"/>
    <cellStyle name="Normál 13 2" xfId="265" xr:uid="{00000000-0005-0000-0000-0000CA000000}"/>
    <cellStyle name="Normál 13 3" xfId="268" xr:uid="{00000000-0005-0000-0000-0000CB000000}"/>
    <cellStyle name="Normál 2" xfId="152" xr:uid="{00000000-0005-0000-0000-0000CC000000}"/>
    <cellStyle name="Normál 2 2" xfId="153" xr:uid="{00000000-0005-0000-0000-0000CD000000}"/>
    <cellStyle name="Normál 2 3" xfId="154" xr:uid="{00000000-0005-0000-0000-0000CE000000}"/>
    <cellStyle name="Normál 2 4" xfId="155" xr:uid="{00000000-0005-0000-0000-0000CF000000}"/>
    <cellStyle name="Normál 2 5" xfId="196" xr:uid="{00000000-0005-0000-0000-0000D0000000}"/>
    <cellStyle name="Normál 2_11.sz.melléklet_többéves" xfId="156" xr:uid="{00000000-0005-0000-0000-0000D1000000}"/>
    <cellStyle name="Normál 3" xfId="157" xr:uid="{00000000-0005-0000-0000-0000D2000000}"/>
    <cellStyle name="Normál 3 2" xfId="158" xr:uid="{00000000-0005-0000-0000-0000D3000000}"/>
    <cellStyle name="Normál 3 2 2" xfId="159" xr:uid="{00000000-0005-0000-0000-0000D4000000}"/>
    <cellStyle name="Normál 3 2 2 2" xfId="204" xr:uid="{00000000-0005-0000-0000-0000D5000000}"/>
    <cellStyle name="Normál 3 2 3" xfId="208" xr:uid="{00000000-0005-0000-0000-0000D6000000}"/>
    <cellStyle name="Normál 3 2 3 2" xfId="267" xr:uid="{00000000-0005-0000-0000-0000D7000000}"/>
    <cellStyle name="Normál 3 2 3 3" xfId="269" xr:uid="{00000000-0005-0000-0000-0000D8000000}"/>
    <cellStyle name="Normál 3 2 4" xfId="250" xr:uid="{00000000-0005-0000-0000-0000D9000000}"/>
    <cellStyle name="Normál 3 2 5" xfId="252" xr:uid="{00000000-0005-0000-0000-0000DA000000}"/>
    <cellStyle name="Normál 4" xfId="160" xr:uid="{00000000-0005-0000-0000-0000DB000000}"/>
    <cellStyle name="Normál 5" xfId="161" xr:uid="{00000000-0005-0000-0000-0000DC000000}"/>
    <cellStyle name="Normál 5 2" xfId="162" xr:uid="{00000000-0005-0000-0000-0000DD000000}"/>
    <cellStyle name="Normál 5 2 2" xfId="163" xr:uid="{00000000-0005-0000-0000-0000DE000000}"/>
    <cellStyle name="Normál 5 3" xfId="164" xr:uid="{00000000-0005-0000-0000-0000DF000000}"/>
    <cellStyle name="Normál 5 4" xfId="203" xr:uid="{00000000-0005-0000-0000-0000E0000000}"/>
    <cellStyle name="Normál 5_11.sz.melléklet_többéves" xfId="165" xr:uid="{00000000-0005-0000-0000-0000E1000000}"/>
    <cellStyle name="Normál 6" xfId="166" xr:uid="{00000000-0005-0000-0000-0000E2000000}"/>
    <cellStyle name="Normál 6 2" xfId="167" xr:uid="{00000000-0005-0000-0000-0000E3000000}"/>
    <cellStyle name="Normál 7" xfId="168" xr:uid="{00000000-0005-0000-0000-0000E4000000}"/>
    <cellStyle name="Normál 8" xfId="169" xr:uid="{00000000-0005-0000-0000-0000E5000000}"/>
    <cellStyle name="Normál 9" xfId="170" xr:uid="{00000000-0005-0000-0000-0000E6000000}"/>
    <cellStyle name="Normál_2001-2002. címjegyzék nov.28-i módosítása (1)" xfId="263" xr:uid="{00000000-0005-0000-0000-0000E7000000}"/>
    <cellStyle name="Normál_2001bev jó" xfId="266" xr:uid="{00000000-0005-0000-0000-0000E8000000}"/>
    <cellStyle name="Normál_2003év kiadás" xfId="171" xr:uid="{00000000-0005-0000-0000-0000E9000000}"/>
    <cellStyle name="Normál_2003költségvet" xfId="172" xr:uid="{00000000-0005-0000-0000-0000EA000000}"/>
    <cellStyle name="Normál_2003ktvmod2fin" xfId="259" xr:uid="{00000000-0005-0000-0000-0000EB000000}"/>
    <cellStyle name="Normál_2003terv" xfId="256" xr:uid="{00000000-0005-0000-0000-0000EC000000}"/>
    <cellStyle name="Normál_2009éviköltségvetés-Móricz Károly 2" xfId="173" xr:uid="{00000000-0005-0000-0000-0000ED000000}"/>
    <cellStyle name="Normál_37-2010. évi III.rendmód 2 2" xfId="195" xr:uid="{00000000-0005-0000-0000-0000EE000000}"/>
    <cellStyle name="Normál_37-2010. évi III.rendmód_4. sz. melléklet 2" xfId="194" xr:uid="{00000000-0005-0000-0000-0000EF000000}"/>
    <cellStyle name="Normál_Áhttáblák_76-3-hiányzó mellékletek" xfId="258" xr:uid="{00000000-0005-0000-0000-0000F0000000}"/>
    <cellStyle name="Normál_bevétel_bevétel_1" xfId="174" xr:uid="{00000000-0005-0000-0000-0000F1000000}"/>
    <cellStyle name="Normál_bevétel_bevétel_1 2" xfId="175" xr:uid="{00000000-0005-0000-0000-0000F2000000}"/>
    <cellStyle name="Normál_bevétel_bevétel_1 2 2" xfId="176" xr:uid="{00000000-0005-0000-0000-0000F3000000}"/>
    <cellStyle name="Normál_fedezetes" xfId="262" xr:uid="{00000000-0005-0000-0000-0000F4000000}"/>
    <cellStyle name="Normál_finansz.2004" xfId="205" xr:uid="{00000000-0005-0000-0000-0000F5000000}"/>
    <cellStyle name="Normál_kiadás_1_2005aprilisrendmod" xfId="199" xr:uid="{00000000-0005-0000-0000-0000F6000000}"/>
    <cellStyle name="Normál_Környezetvédelmi Alap felosztása-01.21." xfId="260" xr:uid="{00000000-0005-0000-0000-0000F7000000}"/>
    <cellStyle name="Normál_kötelezettségváll 2009-ra" xfId="257" xr:uid="{00000000-0005-0000-0000-0000F8000000}"/>
    <cellStyle name="Normál_Munka2 (2)_1_2005aprilisrendmod" xfId="200" xr:uid="{00000000-0005-0000-0000-0000F9000000}"/>
    <cellStyle name="Note" xfId="177" xr:uid="{00000000-0005-0000-0000-0000FA000000}"/>
    <cellStyle name="Output" xfId="178" xr:uid="{00000000-0005-0000-0000-0000FB000000}"/>
    <cellStyle name="Összesen" xfId="179" builtinId="25" customBuiltin="1"/>
    <cellStyle name="Összesen 2" xfId="180" xr:uid="{00000000-0005-0000-0000-0000FD000000}"/>
    <cellStyle name="Összesen 3" xfId="181" xr:uid="{00000000-0005-0000-0000-0000FE000000}"/>
    <cellStyle name="Összesen 4" xfId="246" xr:uid="{00000000-0005-0000-0000-0000FF000000}"/>
    <cellStyle name="Rossz" xfId="182" builtinId="27" customBuiltin="1"/>
    <cellStyle name="Rossz 2" xfId="183" xr:uid="{00000000-0005-0000-0000-000001010000}"/>
    <cellStyle name="Rossz 3" xfId="184" xr:uid="{00000000-0005-0000-0000-000002010000}"/>
    <cellStyle name="Rossz 4" xfId="247" xr:uid="{00000000-0005-0000-0000-000003010000}"/>
    <cellStyle name="Semleges" xfId="185" builtinId="28" customBuiltin="1"/>
    <cellStyle name="Semleges 2" xfId="186" xr:uid="{00000000-0005-0000-0000-000005010000}"/>
    <cellStyle name="Semleges 3" xfId="187" xr:uid="{00000000-0005-0000-0000-000006010000}"/>
    <cellStyle name="Semleges 4" xfId="248" xr:uid="{00000000-0005-0000-0000-000007010000}"/>
    <cellStyle name="Számítás" xfId="188" builtinId="22" customBuiltin="1"/>
    <cellStyle name="Számítás 2" xfId="189" xr:uid="{00000000-0005-0000-0000-000009010000}"/>
    <cellStyle name="Számítás 3" xfId="190" xr:uid="{00000000-0005-0000-0000-00000A010000}"/>
    <cellStyle name="Számítás 4" xfId="249" xr:uid="{00000000-0005-0000-0000-00000B010000}"/>
    <cellStyle name="Title" xfId="191" xr:uid="{00000000-0005-0000-0000-00000C010000}"/>
    <cellStyle name="Total" xfId="192" xr:uid="{00000000-0005-0000-0000-00000D010000}"/>
    <cellStyle name="Warning Text" xfId="193" xr:uid="{00000000-0005-0000-0000-00000E01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KISARINE\USER\KAISER\5MELLEK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\KISARINE\USER\KAISER\5MELLEK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Munka2"/>
      <sheetName val="Munka1 (2)"/>
      <sheetName val="Munka3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947"/>
  <sheetViews>
    <sheetView zoomScale="70" zoomScaleNormal="70" workbookViewId="0">
      <pane xSplit="2" ySplit="8" topLeftCell="Y33" activePane="bottomRight" state="frozen"/>
      <selection activeCell="F18" sqref="F18"/>
      <selection pane="topRight" activeCell="F18" sqref="F18"/>
      <selection pane="bottomLeft" activeCell="F18" sqref="F18"/>
      <selection pane="bottomRight" activeCell="A18" sqref="A18"/>
    </sheetView>
  </sheetViews>
  <sheetFormatPr defaultColWidth="9.25" defaultRowHeight="15.75" x14ac:dyDescent="0.25"/>
  <cols>
    <col min="1" max="1" width="37.5" style="260" customWidth="1"/>
    <col min="2" max="2" width="10.375" style="260" customWidth="1"/>
    <col min="3" max="3" width="12.625" style="16" customWidth="1"/>
    <col min="4" max="4" width="13.5" style="16" customWidth="1"/>
    <col min="5" max="5" width="14.5" style="16" customWidth="1"/>
    <col min="6" max="8" width="13.875" style="16" customWidth="1"/>
    <col min="9" max="9" width="15.25" style="16" customWidth="1"/>
    <col min="10" max="12" width="13.875" style="16" customWidth="1"/>
    <col min="13" max="13" width="15" style="16" customWidth="1"/>
    <col min="14" max="14" width="13.875" style="16" customWidth="1"/>
    <col min="15" max="15" width="12.875" style="16" customWidth="1"/>
    <col min="16" max="16" width="13.25" style="16" customWidth="1"/>
    <col min="17" max="17" width="16" style="16" customWidth="1"/>
    <col min="18" max="18" width="14.75" style="16" customWidth="1"/>
    <col min="19" max="20" width="12.625" style="16" customWidth="1"/>
    <col min="21" max="21" width="15.875" style="16" customWidth="1"/>
    <col min="22" max="22" width="14" style="16" customWidth="1"/>
    <col min="23" max="24" width="12.625" style="16" customWidth="1"/>
    <col min="25" max="25" width="15.625" style="16" customWidth="1"/>
    <col min="26" max="26" width="14.25" style="16" customWidth="1"/>
    <col min="27" max="27" width="13.125" style="16" customWidth="1"/>
    <col min="28" max="28" width="13.75" style="16" customWidth="1"/>
    <col min="29" max="29" width="15.25" style="16" customWidth="1"/>
    <col min="30" max="30" width="13.875" style="16" customWidth="1"/>
    <col min="31" max="31" width="13.125" style="16" customWidth="1"/>
    <col min="32" max="32" width="13.75" style="16" customWidth="1"/>
    <col min="33" max="33" width="15.25" style="16" customWidth="1"/>
    <col min="34" max="34" width="13.875" style="16" customWidth="1"/>
    <col min="35" max="35" width="13.125" style="16" customWidth="1"/>
    <col min="36" max="36" width="13.75" style="16" customWidth="1"/>
    <col min="37" max="37" width="15.25" style="16" customWidth="1"/>
    <col min="38" max="38" width="14.25" style="16" customWidth="1"/>
    <col min="39" max="16384" width="9.25" style="16"/>
  </cols>
  <sheetData>
    <row r="1" spans="1:38" x14ac:dyDescent="0.25">
      <c r="C1" s="875" t="s">
        <v>369</v>
      </c>
      <c r="D1" s="875"/>
      <c r="E1" s="875"/>
      <c r="F1" s="875"/>
      <c r="G1" s="875"/>
      <c r="H1" s="875"/>
      <c r="I1" s="875"/>
      <c r="J1" s="875"/>
      <c r="K1" s="875"/>
      <c r="L1" s="875"/>
      <c r="M1" s="875"/>
      <c r="N1" s="875"/>
      <c r="O1" s="875" t="s">
        <v>369</v>
      </c>
      <c r="P1" s="875"/>
      <c r="Q1" s="875"/>
      <c r="R1" s="875"/>
      <c r="S1" s="875"/>
      <c r="T1" s="875"/>
      <c r="U1" s="875"/>
      <c r="V1" s="875"/>
      <c r="W1" s="875"/>
      <c r="X1" s="875"/>
      <c r="Y1" s="875"/>
      <c r="Z1" s="875"/>
      <c r="AA1" s="875" t="s">
        <v>369</v>
      </c>
      <c r="AB1" s="875"/>
      <c r="AC1" s="875"/>
      <c r="AD1" s="875"/>
      <c r="AE1" s="875"/>
      <c r="AF1" s="875"/>
      <c r="AG1" s="875"/>
      <c r="AH1" s="875"/>
      <c r="AI1" s="875"/>
      <c r="AJ1" s="875"/>
      <c r="AK1" s="875"/>
      <c r="AL1" s="875"/>
    </row>
    <row r="2" spans="1:38" x14ac:dyDescent="0.25">
      <c r="C2" s="875" t="s">
        <v>794</v>
      </c>
      <c r="D2" s="875"/>
      <c r="E2" s="875"/>
      <c r="F2" s="875"/>
      <c r="G2" s="875"/>
      <c r="H2" s="875"/>
      <c r="I2" s="875"/>
      <c r="J2" s="875"/>
      <c r="K2" s="875"/>
      <c r="L2" s="875"/>
      <c r="M2" s="875"/>
      <c r="N2" s="875"/>
      <c r="O2" s="875" t="s">
        <v>794</v>
      </c>
      <c r="P2" s="875"/>
      <c r="Q2" s="875"/>
      <c r="R2" s="875"/>
      <c r="S2" s="875"/>
      <c r="T2" s="875"/>
      <c r="U2" s="875"/>
      <c r="V2" s="875"/>
      <c r="W2" s="875"/>
      <c r="X2" s="875"/>
      <c r="Y2" s="875"/>
      <c r="Z2" s="875"/>
      <c r="AA2" s="875" t="s">
        <v>794</v>
      </c>
      <c r="AB2" s="875"/>
      <c r="AC2" s="875"/>
      <c r="AD2" s="875"/>
      <c r="AE2" s="875"/>
      <c r="AF2" s="875"/>
      <c r="AG2" s="875"/>
      <c r="AH2" s="875"/>
      <c r="AI2" s="875"/>
      <c r="AJ2" s="875"/>
      <c r="AK2" s="875"/>
      <c r="AL2" s="875"/>
    </row>
    <row r="3" spans="1:38" x14ac:dyDescent="0.25">
      <c r="C3" s="875" t="s">
        <v>863</v>
      </c>
      <c r="D3" s="875"/>
      <c r="E3" s="875"/>
      <c r="F3" s="875"/>
      <c r="G3" s="875"/>
      <c r="H3" s="875"/>
      <c r="I3" s="875"/>
      <c r="J3" s="875"/>
      <c r="K3" s="875"/>
      <c r="L3" s="875"/>
      <c r="M3" s="875"/>
      <c r="N3" s="875"/>
      <c r="O3" s="875" t="s">
        <v>863</v>
      </c>
      <c r="P3" s="875"/>
      <c r="Q3" s="875"/>
      <c r="R3" s="875"/>
      <c r="S3" s="875"/>
      <c r="T3" s="875"/>
      <c r="U3" s="875"/>
      <c r="V3" s="875"/>
      <c r="W3" s="875"/>
      <c r="X3" s="875"/>
      <c r="Y3" s="875"/>
      <c r="Z3" s="875"/>
      <c r="AA3" s="875" t="s">
        <v>863</v>
      </c>
      <c r="AB3" s="875"/>
      <c r="AC3" s="875"/>
      <c r="AD3" s="875"/>
      <c r="AE3" s="875"/>
      <c r="AF3" s="875"/>
      <c r="AG3" s="875"/>
      <c r="AH3" s="875"/>
      <c r="AI3" s="875"/>
      <c r="AJ3" s="875"/>
      <c r="AK3" s="875"/>
      <c r="AL3" s="875"/>
    </row>
    <row r="4" spans="1:38" ht="16.5" thickBot="1" x14ac:dyDescent="0.3"/>
    <row r="5" spans="1:38" ht="87" customHeight="1" thickTop="1" thickBot="1" x14ac:dyDescent="0.3">
      <c r="A5" s="261"/>
      <c r="B5" s="262"/>
      <c r="C5" s="877" t="s">
        <v>22</v>
      </c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9"/>
      <c r="O5" s="877" t="s">
        <v>23</v>
      </c>
      <c r="P5" s="878"/>
      <c r="Q5" s="878"/>
      <c r="R5" s="878"/>
      <c r="S5" s="878"/>
      <c r="T5" s="878"/>
      <c r="U5" s="878"/>
      <c r="V5" s="878"/>
      <c r="W5" s="878"/>
      <c r="X5" s="878"/>
      <c r="Y5" s="878"/>
      <c r="Z5" s="879"/>
      <c r="AA5" s="880" t="s">
        <v>144</v>
      </c>
      <c r="AB5" s="881"/>
      <c r="AC5" s="881"/>
      <c r="AD5" s="881"/>
      <c r="AE5" s="881"/>
      <c r="AF5" s="881"/>
      <c r="AG5" s="881"/>
      <c r="AH5" s="881"/>
      <c r="AI5" s="881"/>
      <c r="AJ5" s="881"/>
      <c r="AK5" s="881"/>
      <c r="AL5" s="882"/>
    </row>
    <row r="6" spans="1:38" ht="33" customHeight="1" thickTop="1" thickBot="1" x14ac:dyDescent="0.3">
      <c r="A6" s="261" t="s">
        <v>137</v>
      </c>
      <c r="B6" s="262" t="s">
        <v>154</v>
      </c>
      <c r="C6" s="877" t="s">
        <v>349</v>
      </c>
      <c r="D6" s="878"/>
      <c r="E6" s="878"/>
      <c r="F6" s="879"/>
      <c r="G6" s="877" t="s">
        <v>350</v>
      </c>
      <c r="H6" s="878"/>
      <c r="I6" s="878"/>
      <c r="J6" s="879"/>
      <c r="K6" s="877" t="s">
        <v>864</v>
      </c>
      <c r="L6" s="878"/>
      <c r="M6" s="878"/>
      <c r="N6" s="879"/>
      <c r="O6" s="877" t="s">
        <v>349</v>
      </c>
      <c r="P6" s="878"/>
      <c r="Q6" s="878"/>
      <c r="R6" s="879"/>
      <c r="S6" s="883" t="s">
        <v>350</v>
      </c>
      <c r="T6" s="883"/>
      <c r="U6" s="883"/>
      <c r="V6" s="883"/>
      <c r="W6" s="877" t="s">
        <v>864</v>
      </c>
      <c r="X6" s="878"/>
      <c r="Y6" s="878"/>
      <c r="Z6" s="879"/>
      <c r="AA6" s="877" t="s">
        <v>349</v>
      </c>
      <c r="AB6" s="878"/>
      <c r="AC6" s="878"/>
      <c r="AD6" s="879"/>
      <c r="AE6" s="877" t="s">
        <v>350</v>
      </c>
      <c r="AF6" s="878"/>
      <c r="AG6" s="878"/>
      <c r="AH6" s="879"/>
      <c r="AI6" s="877" t="s">
        <v>864</v>
      </c>
      <c r="AJ6" s="878"/>
      <c r="AK6" s="878"/>
      <c r="AL6" s="879"/>
    </row>
    <row r="7" spans="1:38" ht="33" thickTop="1" thickBot="1" x14ac:dyDescent="0.3">
      <c r="A7" s="261"/>
      <c r="B7" s="262"/>
      <c r="C7" s="580" t="s">
        <v>132</v>
      </c>
      <c r="D7" s="582" t="s">
        <v>133</v>
      </c>
      <c r="E7" s="582" t="s">
        <v>335</v>
      </c>
      <c r="F7" s="582" t="s">
        <v>144</v>
      </c>
      <c r="G7" s="580" t="s">
        <v>132</v>
      </c>
      <c r="H7" s="580" t="s">
        <v>133</v>
      </c>
      <c r="I7" s="580" t="s">
        <v>335</v>
      </c>
      <c r="J7" s="580" t="s">
        <v>144</v>
      </c>
      <c r="K7" s="580" t="s">
        <v>132</v>
      </c>
      <c r="L7" s="580" t="s">
        <v>133</v>
      </c>
      <c r="M7" s="580" t="s">
        <v>335</v>
      </c>
      <c r="N7" s="582" t="s">
        <v>144</v>
      </c>
      <c r="O7" s="580" t="s">
        <v>132</v>
      </c>
      <c r="P7" s="582" t="s">
        <v>133</v>
      </c>
      <c r="Q7" s="582" t="s">
        <v>335</v>
      </c>
      <c r="R7" s="582" t="s">
        <v>144</v>
      </c>
      <c r="S7" s="580" t="s">
        <v>132</v>
      </c>
      <c r="T7" s="580" t="s">
        <v>133</v>
      </c>
      <c r="U7" s="580" t="s">
        <v>335</v>
      </c>
      <c r="V7" s="580" t="s">
        <v>144</v>
      </c>
      <c r="W7" s="580" t="s">
        <v>132</v>
      </c>
      <c r="X7" s="580" t="s">
        <v>133</v>
      </c>
      <c r="Y7" s="580" t="s">
        <v>335</v>
      </c>
      <c r="Z7" s="582" t="s">
        <v>144</v>
      </c>
      <c r="AA7" s="580" t="s">
        <v>132</v>
      </c>
      <c r="AB7" s="582" t="s">
        <v>133</v>
      </c>
      <c r="AC7" s="582" t="s">
        <v>335</v>
      </c>
      <c r="AD7" s="582" t="s">
        <v>144</v>
      </c>
      <c r="AE7" s="580" t="s">
        <v>132</v>
      </c>
      <c r="AF7" s="582" t="s">
        <v>133</v>
      </c>
      <c r="AG7" s="582" t="s">
        <v>335</v>
      </c>
      <c r="AH7" s="582" t="s">
        <v>144</v>
      </c>
      <c r="AI7" s="580" t="s">
        <v>132</v>
      </c>
      <c r="AJ7" s="582" t="s">
        <v>133</v>
      </c>
      <c r="AK7" s="582" t="s">
        <v>335</v>
      </c>
      <c r="AL7" s="582" t="s">
        <v>144</v>
      </c>
    </row>
    <row r="8" spans="1:38" ht="17.25" thickTop="1" thickBot="1" x14ac:dyDescent="0.3">
      <c r="A8" s="261" t="s">
        <v>138</v>
      </c>
      <c r="B8" s="262"/>
      <c r="C8" s="877" t="s">
        <v>360</v>
      </c>
      <c r="D8" s="878"/>
      <c r="E8" s="878"/>
      <c r="F8" s="879"/>
      <c r="G8" s="883" t="s">
        <v>361</v>
      </c>
      <c r="H8" s="883"/>
      <c r="I8" s="883"/>
      <c r="J8" s="883"/>
      <c r="K8" s="883" t="s">
        <v>362</v>
      </c>
      <c r="L8" s="883"/>
      <c r="M8" s="883"/>
      <c r="N8" s="883"/>
      <c r="O8" s="880" t="s">
        <v>363</v>
      </c>
      <c r="P8" s="881"/>
      <c r="Q8" s="881"/>
      <c r="R8" s="882"/>
      <c r="S8" s="876" t="s">
        <v>364</v>
      </c>
      <c r="T8" s="876"/>
      <c r="U8" s="876"/>
      <c r="V8" s="876"/>
      <c r="W8" s="876" t="s">
        <v>365</v>
      </c>
      <c r="X8" s="876"/>
      <c r="Y8" s="876"/>
      <c r="Z8" s="876"/>
      <c r="AA8" s="880" t="s">
        <v>366</v>
      </c>
      <c r="AB8" s="881"/>
      <c r="AC8" s="881"/>
      <c r="AD8" s="882"/>
      <c r="AE8" s="880" t="s">
        <v>367</v>
      </c>
      <c r="AF8" s="881"/>
      <c r="AG8" s="881"/>
      <c r="AH8" s="882"/>
      <c r="AI8" s="880" t="s">
        <v>368</v>
      </c>
      <c r="AJ8" s="881"/>
      <c r="AK8" s="881"/>
      <c r="AL8" s="882"/>
    </row>
    <row r="9" spans="1:38" ht="32.25" thickTop="1" x14ac:dyDescent="0.25">
      <c r="A9" s="15" t="s">
        <v>186</v>
      </c>
      <c r="B9" s="67" t="s">
        <v>190</v>
      </c>
      <c r="C9" s="68">
        <v>18</v>
      </c>
      <c r="D9" s="5"/>
      <c r="E9" s="6"/>
      <c r="F9" s="7">
        <f t="shared" ref="F9:F17" si="0">SUM(C9:E9)</f>
        <v>18</v>
      </c>
      <c r="G9" s="7">
        <v>3550</v>
      </c>
      <c r="H9" s="7">
        <v>130</v>
      </c>
      <c r="I9" s="7"/>
      <c r="J9" s="7">
        <f>SUM(G9:I9)</f>
        <v>3680</v>
      </c>
      <c r="K9" s="7">
        <f>SUM(G9+C9)</f>
        <v>3568</v>
      </c>
      <c r="L9" s="7">
        <f t="shared" ref="L9:M9" si="1">SUM(H9+D9)</f>
        <v>130</v>
      </c>
      <c r="M9" s="7">
        <f t="shared" si="1"/>
        <v>0</v>
      </c>
      <c r="N9" s="7">
        <f>SUM(K9:M9)</f>
        <v>3698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3">
        <f t="shared" ref="AA9:AC11" si="2">SUM(O9+C9)</f>
        <v>18</v>
      </c>
      <c r="AB9" s="3">
        <f t="shared" si="2"/>
        <v>0</v>
      </c>
      <c r="AC9" s="3">
        <f t="shared" si="2"/>
        <v>0</v>
      </c>
      <c r="AD9" s="3">
        <f>SUM(AA9:AC9)</f>
        <v>18</v>
      </c>
      <c r="AE9" s="3">
        <f>SUM(S9+G9)</f>
        <v>3550</v>
      </c>
      <c r="AF9" s="3">
        <f t="shared" ref="AE9:AG11" si="3">SUM(T9+H9)</f>
        <v>130</v>
      </c>
      <c r="AG9" s="3">
        <f t="shared" si="3"/>
        <v>0</v>
      </c>
      <c r="AH9" s="3">
        <f t="shared" ref="AH9:AH11" si="4">SUM(AE9:AG9)</f>
        <v>3680</v>
      </c>
      <c r="AI9" s="3">
        <f>SUM(W9+K9)</f>
        <v>3568</v>
      </c>
      <c r="AJ9" s="3">
        <f t="shared" ref="AI9:AK11" si="5">SUM(X9+L9)</f>
        <v>130</v>
      </c>
      <c r="AK9" s="3">
        <f t="shared" si="5"/>
        <v>0</v>
      </c>
      <c r="AL9" s="3">
        <f t="shared" ref="AL9:AL11" si="6">SUM(AI9:AK9)</f>
        <v>3698</v>
      </c>
    </row>
    <row r="10" spans="1:38" ht="31.5" x14ac:dyDescent="0.25">
      <c r="A10" s="15" t="s">
        <v>317</v>
      </c>
      <c r="B10" s="15" t="s">
        <v>191</v>
      </c>
      <c r="C10" s="6">
        <v>2022101</v>
      </c>
      <c r="D10" s="5"/>
      <c r="E10" s="6"/>
      <c r="F10" s="7">
        <f t="shared" si="0"/>
        <v>2022101</v>
      </c>
      <c r="G10" s="7"/>
      <c r="H10" s="7"/>
      <c r="I10" s="7"/>
      <c r="J10" s="7">
        <f>SUM(G10:I10)</f>
        <v>0</v>
      </c>
      <c r="K10" s="7">
        <f t="shared" ref="K10:K11" si="7">SUM(G10+C10)</f>
        <v>2022101</v>
      </c>
      <c r="L10" s="7">
        <f t="shared" ref="L10:L11" si="8">SUM(H10+D10)</f>
        <v>0</v>
      </c>
      <c r="M10" s="7">
        <f t="shared" ref="M10:M11" si="9">SUM(I10+E10)</f>
        <v>0</v>
      </c>
      <c r="N10" s="7">
        <f t="shared" ref="N10:N11" si="10">SUM(K10:M10)</f>
        <v>2022101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3">
        <f t="shared" si="2"/>
        <v>2022101</v>
      </c>
      <c r="AB10" s="3">
        <f t="shared" si="2"/>
        <v>0</v>
      </c>
      <c r="AC10" s="3">
        <f t="shared" si="2"/>
        <v>0</v>
      </c>
      <c r="AD10" s="3">
        <f>SUM(AA10:AC10)</f>
        <v>2022101</v>
      </c>
      <c r="AE10" s="3">
        <f t="shared" si="3"/>
        <v>0</v>
      </c>
      <c r="AF10" s="3">
        <f t="shared" si="3"/>
        <v>0</v>
      </c>
      <c r="AG10" s="3">
        <f t="shared" si="3"/>
        <v>0</v>
      </c>
      <c r="AH10" s="3">
        <f t="shared" si="4"/>
        <v>0</v>
      </c>
      <c r="AI10" s="3">
        <f t="shared" si="5"/>
        <v>2022101</v>
      </c>
      <c r="AJ10" s="3">
        <f t="shared" si="5"/>
        <v>0</v>
      </c>
      <c r="AK10" s="3">
        <f t="shared" si="5"/>
        <v>0</v>
      </c>
      <c r="AL10" s="3">
        <f t="shared" si="6"/>
        <v>2022101</v>
      </c>
    </row>
    <row r="11" spans="1:38" ht="47.25" x14ac:dyDescent="0.25">
      <c r="A11" s="113" t="s">
        <v>313</v>
      </c>
      <c r="B11" s="15" t="s">
        <v>192</v>
      </c>
      <c r="C11" s="6">
        <v>1959728</v>
      </c>
      <c r="D11" s="5"/>
      <c r="E11" s="6"/>
      <c r="F11" s="7">
        <f t="shared" si="0"/>
        <v>1959728</v>
      </c>
      <c r="G11" s="7">
        <f>2210+80076+3542</f>
        <v>85828</v>
      </c>
      <c r="H11" s="7"/>
      <c r="I11" s="7"/>
      <c r="J11" s="7">
        <f t="shared" ref="J11:J17" si="11">SUM(G11:I11)</f>
        <v>85828</v>
      </c>
      <c r="K11" s="6">
        <f t="shared" si="7"/>
        <v>2045556</v>
      </c>
      <c r="L11" s="7">
        <f t="shared" si="8"/>
        <v>0</v>
      </c>
      <c r="M11" s="7">
        <f t="shared" si="9"/>
        <v>0</v>
      </c>
      <c r="N11" s="7">
        <f t="shared" si="10"/>
        <v>2045556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3">
        <f t="shared" si="2"/>
        <v>1959728</v>
      </c>
      <c r="AB11" s="3">
        <f t="shared" si="2"/>
        <v>0</v>
      </c>
      <c r="AC11" s="3">
        <f t="shared" si="2"/>
        <v>0</v>
      </c>
      <c r="AD11" s="3">
        <f>SUM(AA11:AC11)</f>
        <v>1959728</v>
      </c>
      <c r="AE11" s="3">
        <f t="shared" si="3"/>
        <v>85828</v>
      </c>
      <c r="AF11" s="3">
        <f t="shared" si="3"/>
        <v>0</v>
      </c>
      <c r="AG11" s="3">
        <f t="shared" si="3"/>
        <v>0</v>
      </c>
      <c r="AH11" s="3">
        <f t="shared" si="4"/>
        <v>85828</v>
      </c>
      <c r="AI11" s="3">
        <f t="shared" si="5"/>
        <v>2045556</v>
      </c>
      <c r="AJ11" s="3">
        <f t="shared" si="5"/>
        <v>0</v>
      </c>
      <c r="AK11" s="3">
        <f t="shared" si="5"/>
        <v>0</v>
      </c>
      <c r="AL11" s="3">
        <f t="shared" si="6"/>
        <v>2045556</v>
      </c>
    </row>
    <row r="12" spans="1:38" ht="31.5" x14ac:dyDescent="0.25">
      <c r="A12" s="15" t="s">
        <v>187</v>
      </c>
      <c r="B12" s="15" t="s">
        <v>193</v>
      </c>
      <c r="C12" s="6">
        <v>531534</v>
      </c>
      <c r="D12" s="5">
        <v>331800</v>
      </c>
      <c r="E12" s="6"/>
      <c r="F12" s="7">
        <f t="shared" si="0"/>
        <v>863334</v>
      </c>
      <c r="G12" s="7">
        <f>-3088+2100+1+19094</f>
        <v>18107</v>
      </c>
      <c r="H12" s="7">
        <f>-301800+485391+14482</f>
        <v>198073</v>
      </c>
      <c r="I12" s="7"/>
      <c r="J12" s="7">
        <f t="shared" si="11"/>
        <v>216180</v>
      </c>
      <c r="K12" s="6">
        <f t="shared" ref="K12:K17" si="12">SUM(G12+C12)</f>
        <v>549641</v>
      </c>
      <c r="L12" s="7">
        <f t="shared" ref="L12:L17" si="13">SUM(H12+D12)</f>
        <v>529873</v>
      </c>
      <c r="M12" s="7">
        <f t="shared" ref="M12:M17" si="14">SUM(I12+E12)</f>
        <v>0</v>
      </c>
      <c r="N12" s="7">
        <f t="shared" ref="N12:N17" si="15">SUM(K12:M12)</f>
        <v>1079514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3">
        <f t="shared" ref="AA12:AD17" si="16">SUM(C12+O12)</f>
        <v>531534</v>
      </c>
      <c r="AB12" s="3">
        <f t="shared" si="16"/>
        <v>331800</v>
      </c>
      <c r="AC12" s="3">
        <f t="shared" si="16"/>
        <v>0</v>
      </c>
      <c r="AD12" s="3">
        <f t="shared" si="16"/>
        <v>863334</v>
      </c>
      <c r="AE12" s="3">
        <f t="shared" ref="AE12:AL17" si="17">SUM(G12+S12)</f>
        <v>18107</v>
      </c>
      <c r="AF12" s="3">
        <f t="shared" si="17"/>
        <v>198073</v>
      </c>
      <c r="AG12" s="3">
        <f t="shared" si="17"/>
        <v>0</v>
      </c>
      <c r="AH12" s="3">
        <f t="shared" si="17"/>
        <v>216180</v>
      </c>
      <c r="AI12" s="3">
        <f t="shared" si="17"/>
        <v>549641</v>
      </c>
      <c r="AJ12" s="3">
        <f t="shared" si="17"/>
        <v>529873</v>
      </c>
      <c r="AK12" s="3">
        <f t="shared" si="17"/>
        <v>0</v>
      </c>
      <c r="AL12" s="3">
        <f t="shared" si="17"/>
        <v>1079514</v>
      </c>
    </row>
    <row r="13" spans="1:38" ht="31.5" x14ac:dyDescent="0.25">
      <c r="A13" s="15" t="s">
        <v>25</v>
      </c>
      <c r="B13" s="15"/>
      <c r="C13" s="6">
        <v>234160</v>
      </c>
      <c r="D13" s="5"/>
      <c r="E13" s="6"/>
      <c r="F13" s="7">
        <f t="shared" si="0"/>
        <v>234160</v>
      </c>
      <c r="G13" s="7"/>
      <c r="H13" s="7"/>
      <c r="I13" s="7"/>
      <c r="J13" s="7">
        <f t="shared" si="11"/>
        <v>0</v>
      </c>
      <c r="K13" s="6">
        <f t="shared" si="12"/>
        <v>234160</v>
      </c>
      <c r="L13" s="7">
        <f t="shared" si="13"/>
        <v>0</v>
      </c>
      <c r="M13" s="7">
        <f t="shared" si="14"/>
        <v>0</v>
      </c>
      <c r="N13" s="7">
        <f t="shared" si="15"/>
        <v>234160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3">
        <f t="shared" si="16"/>
        <v>234160</v>
      </c>
      <c r="AB13" s="3">
        <f t="shared" si="16"/>
        <v>0</v>
      </c>
      <c r="AC13" s="3">
        <f t="shared" si="16"/>
        <v>0</v>
      </c>
      <c r="AD13" s="3">
        <f t="shared" si="16"/>
        <v>234160</v>
      </c>
      <c r="AE13" s="3">
        <f t="shared" si="17"/>
        <v>0</v>
      </c>
      <c r="AF13" s="3">
        <f t="shared" si="17"/>
        <v>0</v>
      </c>
      <c r="AG13" s="3">
        <f t="shared" si="17"/>
        <v>0</v>
      </c>
      <c r="AH13" s="3">
        <f t="shared" si="17"/>
        <v>0</v>
      </c>
      <c r="AI13" s="3">
        <f t="shared" si="17"/>
        <v>234160</v>
      </c>
      <c r="AJ13" s="3">
        <f t="shared" si="17"/>
        <v>0</v>
      </c>
      <c r="AK13" s="3">
        <f t="shared" si="17"/>
        <v>0</v>
      </c>
      <c r="AL13" s="3">
        <f t="shared" si="17"/>
        <v>234160</v>
      </c>
    </row>
    <row r="14" spans="1:38" ht="31.5" x14ac:dyDescent="0.25">
      <c r="A14" s="15" t="s">
        <v>26</v>
      </c>
      <c r="B14" s="15"/>
      <c r="C14" s="6">
        <v>177000</v>
      </c>
      <c r="D14" s="5"/>
      <c r="E14" s="6"/>
      <c r="F14" s="7">
        <f t="shared" si="0"/>
        <v>177000</v>
      </c>
      <c r="G14" s="7"/>
      <c r="H14" s="7"/>
      <c r="I14" s="7"/>
      <c r="J14" s="7">
        <f t="shared" si="11"/>
        <v>0</v>
      </c>
      <c r="K14" s="6">
        <f t="shared" si="12"/>
        <v>177000</v>
      </c>
      <c r="L14" s="7">
        <f t="shared" si="13"/>
        <v>0</v>
      </c>
      <c r="M14" s="7">
        <f t="shared" si="14"/>
        <v>0</v>
      </c>
      <c r="N14" s="7">
        <f t="shared" si="15"/>
        <v>177000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3">
        <f t="shared" si="16"/>
        <v>177000</v>
      </c>
      <c r="AB14" s="3">
        <f t="shared" si="16"/>
        <v>0</v>
      </c>
      <c r="AC14" s="3">
        <f t="shared" si="16"/>
        <v>0</v>
      </c>
      <c r="AD14" s="3">
        <f t="shared" si="16"/>
        <v>177000</v>
      </c>
      <c r="AE14" s="3">
        <f t="shared" si="17"/>
        <v>0</v>
      </c>
      <c r="AF14" s="3">
        <f t="shared" si="17"/>
        <v>0</v>
      </c>
      <c r="AG14" s="3">
        <f t="shared" si="17"/>
        <v>0</v>
      </c>
      <c r="AH14" s="3">
        <f t="shared" si="17"/>
        <v>0</v>
      </c>
      <c r="AI14" s="3">
        <f t="shared" si="17"/>
        <v>177000</v>
      </c>
      <c r="AJ14" s="3">
        <f t="shared" si="17"/>
        <v>0</v>
      </c>
      <c r="AK14" s="3">
        <f t="shared" si="17"/>
        <v>0</v>
      </c>
      <c r="AL14" s="3">
        <f t="shared" si="17"/>
        <v>177000</v>
      </c>
    </row>
    <row r="15" spans="1:38" x14ac:dyDescent="0.25">
      <c r="A15" s="15" t="s">
        <v>812</v>
      </c>
      <c r="B15" s="15"/>
      <c r="C15" s="6"/>
      <c r="D15" s="5">
        <v>30000</v>
      </c>
      <c r="E15" s="6"/>
      <c r="F15" s="7">
        <f t="shared" ref="F15" si="18">SUM(C15:E15)</f>
        <v>30000</v>
      </c>
      <c r="G15" s="7"/>
      <c r="H15" s="7"/>
      <c r="I15" s="7"/>
      <c r="J15" s="7">
        <f t="shared" ref="J15" si="19">SUM(G15:I15)</f>
        <v>0</v>
      </c>
      <c r="K15" s="6">
        <f t="shared" ref="K15" si="20">SUM(G15+C15)</f>
        <v>0</v>
      </c>
      <c r="L15" s="7">
        <f t="shared" ref="L15" si="21">SUM(H15+D15)</f>
        <v>30000</v>
      </c>
      <c r="M15" s="7">
        <f t="shared" ref="M15" si="22">SUM(I15+E15)</f>
        <v>0</v>
      </c>
      <c r="N15" s="7">
        <f t="shared" ref="N15" si="23">SUM(K15:M15)</f>
        <v>30000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3">
        <f t="shared" ref="AA15" si="24">SUM(C15+O15)</f>
        <v>0</v>
      </c>
      <c r="AB15" s="3">
        <f t="shared" ref="AB15" si="25">SUM(D15+P15)</f>
        <v>30000</v>
      </c>
      <c r="AC15" s="3">
        <f t="shared" ref="AC15" si="26">SUM(E15+Q15)</f>
        <v>0</v>
      </c>
      <c r="AD15" s="3">
        <f t="shared" ref="AD15" si="27">SUM(F15+R15)</f>
        <v>30000</v>
      </c>
      <c r="AE15" s="3">
        <f t="shared" ref="AE15" si="28">SUM(G15+S15)</f>
        <v>0</v>
      </c>
      <c r="AF15" s="3">
        <f t="shared" ref="AF15" si="29">SUM(H15+T15)</f>
        <v>0</v>
      </c>
      <c r="AG15" s="3">
        <f t="shared" ref="AG15" si="30">SUM(I15+U15)</f>
        <v>0</v>
      </c>
      <c r="AH15" s="3">
        <f t="shared" ref="AH15" si="31">SUM(J15+V15)</f>
        <v>0</v>
      </c>
      <c r="AI15" s="3">
        <f t="shared" ref="AI15" si="32">SUM(K15+W15)</f>
        <v>0</v>
      </c>
      <c r="AJ15" s="3">
        <f t="shared" ref="AJ15" si="33">SUM(L15+X15)</f>
        <v>30000</v>
      </c>
      <c r="AK15" s="3">
        <f t="shared" ref="AK15" si="34">SUM(M15+Y15)</f>
        <v>0</v>
      </c>
      <c r="AL15" s="3">
        <f t="shared" ref="AL15" si="35">SUM(N15+Z15)</f>
        <v>30000</v>
      </c>
    </row>
    <row r="16" spans="1:38" x14ac:dyDescent="0.25">
      <c r="A16" s="15" t="s">
        <v>27</v>
      </c>
      <c r="B16" s="15"/>
      <c r="C16" s="6"/>
      <c r="D16" s="5">
        <v>301800</v>
      </c>
      <c r="E16" s="6"/>
      <c r="F16" s="7">
        <f t="shared" si="0"/>
        <v>301800</v>
      </c>
      <c r="G16" s="7"/>
      <c r="H16" s="7">
        <f>-301800+485391</f>
        <v>183591</v>
      </c>
      <c r="I16" s="7"/>
      <c r="J16" s="7">
        <f t="shared" si="11"/>
        <v>183591</v>
      </c>
      <c r="K16" s="6">
        <f t="shared" si="12"/>
        <v>0</v>
      </c>
      <c r="L16" s="7">
        <f t="shared" si="13"/>
        <v>485391</v>
      </c>
      <c r="M16" s="7">
        <f t="shared" si="14"/>
        <v>0</v>
      </c>
      <c r="N16" s="7">
        <f t="shared" si="15"/>
        <v>485391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3">
        <f t="shared" si="16"/>
        <v>0</v>
      </c>
      <c r="AB16" s="3">
        <f t="shared" si="16"/>
        <v>301800</v>
      </c>
      <c r="AC16" s="3">
        <f t="shared" si="16"/>
        <v>0</v>
      </c>
      <c r="AD16" s="3">
        <f t="shared" si="16"/>
        <v>301800</v>
      </c>
      <c r="AE16" s="3">
        <f t="shared" si="17"/>
        <v>0</v>
      </c>
      <c r="AF16" s="3">
        <f t="shared" si="17"/>
        <v>183591</v>
      </c>
      <c r="AG16" s="3">
        <f t="shared" si="17"/>
        <v>0</v>
      </c>
      <c r="AH16" s="3">
        <f t="shared" si="17"/>
        <v>183591</v>
      </c>
      <c r="AI16" s="3">
        <f t="shared" si="17"/>
        <v>0</v>
      </c>
      <c r="AJ16" s="3">
        <f t="shared" si="17"/>
        <v>485391</v>
      </c>
      <c r="AK16" s="3">
        <f t="shared" si="17"/>
        <v>0</v>
      </c>
      <c r="AL16" s="3">
        <f t="shared" si="17"/>
        <v>485391</v>
      </c>
    </row>
    <row r="17" spans="1:38" ht="36.75" customHeight="1" x14ac:dyDescent="0.25">
      <c r="A17" s="15" t="s">
        <v>188</v>
      </c>
      <c r="B17" s="15" t="s">
        <v>194</v>
      </c>
      <c r="C17" s="6"/>
      <c r="D17" s="5"/>
      <c r="E17" s="6"/>
      <c r="F17" s="7">
        <f t="shared" si="0"/>
        <v>0</v>
      </c>
      <c r="G17" s="7"/>
      <c r="H17" s="7"/>
      <c r="I17" s="7"/>
      <c r="J17" s="7">
        <f t="shared" si="11"/>
        <v>0</v>
      </c>
      <c r="K17" s="6">
        <f t="shared" si="12"/>
        <v>0</v>
      </c>
      <c r="L17" s="7">
        <f t="shared" si="13"/>
        <v>0</v>
      </c>
      <c r="M17" s="7">
        <f t="shared" si="14"/>
        <v>0</v>
      </c>
      <c r="N17" s="7">
        <f t="shared" si="15"/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3">
        <f t="shared" si="16"/>
        <v>0</v>
      </c>
      <c r="AB17" s="3">
        <f t="shared" si="16"/>
        <v>0</v>
      </c>
      <c r="AC17" s="3">
        <f t="shared" si="16"/>
        <v>0</v>
      </c>
      <c r="AD17" s="3">
        <f t="shared" si="16"/>
        <v>0</v>
      </c>
      <c r="AE17" s="3">
        <f t="shared" si="17"/>
        <v>0</v>
      </c>
      <c r="AF17" s="3">
        <f t="shared" si="17"/>
        <v>0</v>
      </c>
      <c r="AG17" s="3">
        <f t="shared" si="17"/>
        <v>0</v>
      </c>
      <c r="AH17" s="3">
        <f t="shared" si="17"/>
        <v>0</v>
      </c>
      <c r="AI17" s="3">
        <f t="shared" si="17"/>
        <v>0</v>
      </c>
      <c r="AJ17" s="3">
        <f t="shared" si="17"/>
        <v>0</v>
      </c>
      <c r="AK17" s="3">
        <f t="shared" si="17"/>
        <v>0</v>
      </c>
      <c r="AL17" s="3">
        <f t="shared" si="17"/>
        <v>0</v>
      </c>
    </row>
    <row r="18" spans="1:38" s="264" customFormat="1" ht="31.5" x14ac:dyDescent="0.25">
      <c r="A18" s="263" t="s">
        <v>189</v>
      </c>
      <c r="B18" s="263" t="s">
        <v>195</v>
      </c>
      <c r="C18" s="8">
        <f t="shared" ref="C18:F18" si="36">SUM(C9:C11,C12,C17)</f>
        <v>4513381</v>
      </c>
      <c r="D18" s="8">
        <f t="shared" si="36"/>
        <v>331800</v>
      </c>
      <c r="E18" s="8">
        <f t="shared" si="36"/>
        <v>0</v>
      </c>
      <c r="F18" s="8">
        <f t="shared" si="36"/>
        <v>4845181</v>
      </c>
      <c r="G18" s="8">
        <f t="shared" ref="G18:AD18" si="37">SUM(G9:G11,G12,G17)</f>
        <v>107485</v>
      </c>
      <c r="H18" s="8">
        <f t="shared" si="37"/>
        <v>198203</v>
      </c>
      <c r="I18" s="8">
        <f t="shared" si="37"/>
        <v>0</v>
      </c>
      <c r="J18" s="8">
        <f t="shared" si="37"/>
        <v>305688</v>
      </c>
      <c r="K18" s="8">
        <f t="shared" si="37"/>
        <v>4620866</v>
      </c>
      <c r="L18" s="8">
        <f t="shared" si="37"/>
        <v>530003</v>
      </c>
      <c r="M18" s="8">
        <f t="shared" si="37"/>
        <v>0</v>
      </c>
      <c r="N18" s="8">
        <f t="shared" si="37"/>
        <v>5150869</v>
      </c>
      <c r="O18" s="8">
        <f t="shared" si="37"/>
        <v>0</v>
      </c>
      <c r="P18" s="8">
        <f t="shared" si="37"/>
        <v>0</v>
      </c>
      <c r="Q18" s="8">
        <f t="shared" si="37"/>
        <v>0</v>
      </c>
      <c r="R18" s="8">
        <f t="shared" si="37"/>
        <v>0</v>
      </c>
      <c r="S18" s="8">
        <f t="shared" si="37"/>
        <v>0</v>
      </c>
      <c r="T18" s="8">
        <f t="shared" si="37"/>
        <v>0</v>
      </c>
      <c r="U18" s="8">
        <f t="shared" si="37"/>
        <v>0</v>
      </c>
      <c r="V18" s="8">
        <f t="shared" si="37"/>
        <v>0</v>
      </c>
      <c r="W18" s="8">
        <f t="shared" si="37"/>
        <v>0</v>
      </c>
      <c r="X18" s="8">
        <f t="shared" si="37"/>
        <v>0</v>
      </c>
      <c r="Y18" s="8">
        <f t="shared" si="37"/>
        <v>0</v>
      </c>
      <c r="Z18" s="8">
        <f t="shared" si="37"/>
        <v>0</v>
      </c>
      <c r="AA18" s="8">
        <f t="shared" si="37"/>
        <v>4513381</v>
      </c>
      <c r="AB18" s="8">
        <f t="shared" si="37"/>
        <v>331800</v>
      </c>
      <c r="AC18" s="8">
        <f t="shared" si="37"/>
        <v>0</v>
      </c>
      <c r="AD18" s="8">
        <f t="shared" si="37"/>
        <v>4845181</v>
      </c>
      <c r="AE18" s="8">
        <f t="shared" ref="AE18:AL18" si="38">SUM(AE9:AE11,AE12,AE17)</f>
        <v>107485</v>
      </c>
      <c r="AF18" s="8">
        <f t="shared" si="38"/>
        <v>198203</v>
      </c>
      <c r="AG18" s="8">
        <f t="shared" si="38"/>
        <v>0</v>
      </c>
      <c r="AH18" s="8">
        <f t="shared" si="38"/>
        <v>305688</v>
      </c>
      <c r="AI18" s="8">
        <f t="shared" si="38"/>
        <v>4620866</v>
      </c>
      <c r="AJ18" s="8">
        <f t="shared" si="38"/>
        <v>530003</v>
      </c>
      <c r="AK18" s="8">
        <f t="shared" si="38"/>
        <v>0</v>
      </c>
      <c r="AL18" s="8">
        <f t="shared" si="38"/>
        <v>5150869</v>
      </c>
    </row>
    <row r="19" spans="1:38" s="264" customFormat="1" ht="31.5" x14ac:dyDescent="0.25">
      <c r="A19" s="263" t="s">
        <v>227</v>
      </c>
      <c r="B19" s="263" t="s">
        <v>228</v>
      </c>
      <c r="C19" s="8">
        <v>42641</v>
      </c>
      <c r="D19" s="8">
        <v>27782</v>
      </c>
      <c r="E19" s="8"/>
      <c r="F19" s="8">
        <f>SUM(C19:E19)</f>
        <v>70423</v>
      </c>
      <c r="G19" s="8">
        <v>255</v>
      </c>
      <c r="H19" s="8"/>
      <c r="I19" s="8"/>
      <c r="J19" s="8">
        <f>SUM(G19:I19)</f>
        <v>255</v>
      </c>
      <c r="K19" s="8">
        <f t="shared" ref="K19" si="39">SUM(G19+C19)</f>
        <v>42896</v>
      </c>
      <c r="L19" s="8">
        <f t="shared" ref="L19" si="40">SUM(H19+D19)</f>
        <v>27782</v>
      </c>
      <c r="M19" s="8">
        <f t="shared" ref="M19" si="41">SUM(I19+E19)</f>
        <v>0</v>
      </c>
      <c r="N19" s="8">
        <f t="shared" ref="N19" si="42">SUM(K19:M19)</f>
        <v>70678</v>
      </c>
      <c r="O19" s="8">
        <v>510933</v>
      </c>
      <c r="P19" s="8">
        <v>170469</v>
      </c>
      <c r="Q19" s="8">
        <v>74317</v>
      </c>
      <c r="R19" s="8">
        <f>SUM(O19:Q19)</f>
        <v>755719</v>
      </c>
      <c r="S19" s="8">
        <f>492701-30195+4665</f>
        <v>467171</v>
      </c>
      <c r="T19" s="8">
        <f>40088+1915+20000</f>
        <v>62003</v>
      </c>
      <c r="U19" s="8">
        <v>0</v>
      </c>
      <c r="V19" s="8">
        <f>SUM(S19:U19)</f>
        <v>529174</v>
      </c>
      <c r="W19" s="8">
        <f>SUM(S19+O19)</f>
        <v>978104</v>
      </c>
      <c r="X19" s="8">
        <f>SUM(T19+P19)</f>
        <v>232472</v>
      </c>
      <c r="Y19" s="8">
        <f>SUM(Q19+U19)</f>
        <v>74317</v>
      </c>
      <c r="Z19" s="8">
        <f>SUM(W19:Y19)</f>
        <v>1284893</v>
      </c>
      <c r="AA19" s="3">
        <f>SUM(C19+O19)</f>
        <v>553574</v>
      </c>
      <c r="AB19" s="3">
        <f>SUM(D19+P19)</f>
        <v>198251</v>
      </c>
      <c r="AC19" s="3">
        <f>SUM(E19+Q19)</f>
        <v>74317</v>
      </c>
      <c r="AD19" s="3">
        <f>SUM(F19+R19)</f>
        <v>826142</v>
      </c>
      <c r="AE19" s="3">
        <f t="shared" ref="AE19:AL19" si="43">SUM(G19+S19)</f>
        <v>467426</v>
      </c>
      <c r="AF19" s="3">
        <f t="shared" si="43"/>
        <v>62003</v>
      </c>
      <c r="AG19" s="3">
        <f t="shared" si="43"/>
        <v>0</v>
      </c>
      <c r="AH19" s="3">
        <f t="shared" si="43"/>
        <v>529429</v>
      </c>
      <c r="AI19" s="3">
        <f t="shared" si="43"/>
        <v>1021000</v>
      </c>
      <c r="AJ19" s="3">
        <f t="shared" si="43"/>
        <v>260254</v>
      </c>
      <c r="AK19" s="3">
        <f t="shared" si="43"/>
        <v>74317</v>
      </c>
      <c r="AL19" s="3">
        <f t="shared" si="43"/>
        <v>1355571</v>
      </c>
    </row>
    <row r="20" spans="1:38" ht="31.5" x14ac:dyDescent="0.25">
      <c r="A20" s="265" t="s">
        <v>229</v>
      </c>
      <c r="B20" s="265" t="s">
        <v>165</v>
      </c>
      <c r="C20" s="3">
        <f>SUM(C18+C19)</f>
        <v>4556022</v>
      </c>
      <c r="D20" s="3">
        <f t="shared" ref="D20:F20" si="44">SUM(D18+D19)</f>
        <v>359582</v>
      </c>
      <c r="E20" s="3">
        <f t="shared" si="44"/>
        <v>0</v>
      </c>
      <c r="F20" s="3">
        <f t="shared" si="44"/>
        <v>4915604</v>
      </c>
      <c r="G20" s="3">
        <f t="shared" ref="G20:AD20" si="45">SUM(G18+G19)</f>
        <v>107740</v>
      </c>
      <c r="H20" s="3">
        <f t="shared" si="45"/>
        <v>198203</v>
      </c>
      <c r="I20" s="3">
        <f t="shared" si="45"/>
        <v>0</v>
      </c>
      <c r="J20" s="3">
        <f t="shared" si="45"/>
        <v>305943</v>
      </c>
      <c r="K20" s="3">
        <f t="shared" si="45"/>
        <v>4663762</v>
      </c>
      <c r="L20" s="3">
        <f t="shared" si="45"/>
        <v>557785</v>
      </c>
      <c r="M20" s="3">
        <f t="shared" si="45"/>
        <v>0</v>
      </c>
      <c r="N20" s="3">
        <f t="shared" si="45"/>
        <v>5221547</v>
      </c>
      <c r="O20" s="3">
        <f t="shared" si="45"/>
        <v>510933</v>
      </c>
      <c r="P20" s="3">
        <f t="shared" si="45"/>
        <v>170469</v>
      </c>
      <c r="Q20" s="3">
        <f t="shared" si="45"/>
        <v>74317</v>
      </c>
      <c r="R20" s="3">
        <f t="shared" si="45"/>
        <v>755719</v>
      </c>
      <c r="S20" s="3">
        <f t="shared" si="45"/>
        <v>467171</v>
      </c>
      <c r="T20" s="3">
        <f t="shared" si="45"/>
        <v>62003</v>
      </c>
      <c r="U20" s="3">
        <f t="shared" si="45"/>
        <v>0</v>
      </c>
      <c r="V20" s="3">
        <f t="shared" si="45"/>
        <v>529174</v>
      </c>
      <c r="W20" s="3">
        <f t="shared" si="45"/>
        <v>978104</v>
      </c>
      <c r="X20" s="3">
        <f t="shared" si="45"/>
        <v>232472</v>
      </c>
      <c r="Y20" s="3">
        <f t="shared" si="45"/>
        <v>74317</v>
      </c>
      <c r="Z20" s="3">
        <f t="shared" si="45"/>
        <v>1284893</v>
      </c>
      <c r="AA20" s="3">
        <f t="shared" si="45"/>
        <v>5066955</v>
      </c>
      <c r="AB20" s="3">
        <f t="shared" si="45"/>
        <v>530051</v>
      </c>
      <c r="AC20" s="3">
        <f t="shared" si="45"/>
        <v>74317</v>
      </c>
      <c r="AD20" s="3">
        <f t="shared" si="45"/>
        <v>5671323</v>
      </c>
      <c r="AE20" s="3">
        <f t="shared" ref="AE20:AL20" si="46">SUM(AE18+AE19)</f>
        <v>574911</v>
      </c>
      <c r="AF20" s="3">
        <f t="shared" si="46"/>
        <v>260206</v>
      </c>
      <c r="AG20" s="3">
        <f t="shared" si="46"/>
        <v>0</v>
      </c>
      <c r="AH20" s="3">
        <f t="shared" si="46"/>
        <v>835117</v>
      </c>
      <c r="AI20" s="3">
        <f t="shared" si="46"/>
        <v>5641866</v>
      </c>
      <c r="AJ20" s="3">
        <f t="shared" si="46"/>
        <v>790257</v>
      </c>
      <c r="AK20" s="3">
        <f t="shared" si="46"/>
        <v>74317</v>
      </c>
      <c r="AL20" s="3">
        <f t="shared" si="46"/>
        <v>6506440</v>
      </c>
    </row>
    <row r="21" spans="1:38" s="267" customFormat="1" ht="31.5" x14ac:dyDescent="0.25">
      <c r="A21" s="263" t="s">
        <v>230</v>
      </c>
      <c r="B21" s="266" t="s">
        <v>196</v>
      </c>
      <c r="C21" s="21"/>
      <c r="D21" s="65"/>
      <c r="E21" s="21">
        <v>0</v>
      </c>
      <c r="F21" s="22">
        <f>SUM(C21:E21)</f>
        <v>0</v>
      </c>
      <c r="G21" s="22"/>
      <c r="H21" s="22"/>
      <c r="I21" s="22"/>
      <c r="J21" s="22">
        <f>SUM(G21:I21)</f>
        <v>0</v>
      </c>
      <c r="K21" s="21">
        <f t="shared" ref="K21:K22" si="47">SUM(G21+C21)</f>
        <v>0</v>
      </c>
      <c r="L21" s="22">
        <f t="shared" ref="L21:L22" si="48">SUM(H21+D21)</f>
        <v>0</v>
      </c>
      <c r="M21" s="22">
        <f t="shared" ref="M21:M22" si="49">SUM(I21+E21)</f>
        <v>0</v>
      </c>
      <c r="N21" s="22">
        <f t="shared" ref="N21:N22" si="50">SUM(K21:M21)</f>
        <v>0</v>
      </c>
      <c r="O21" s="21"/>
      <c r="P21" s="21"/>
      <c r="Q21" s="21"/>
      <c r="R21" s="21">
        <f>SUM(O21:Q21)</f>
        <v>0</v>
      </c>
      <c r="S21" s="21"/>
      <c r="T21" s="21"/>
      <c r="U21" s="21"/>
      <c r="V21" s="21">
        <f>SUM(S21:U21)</f>
        <v>0</v>
      </c>
      <c r="W21" s="21">
        <f>SUM(S21+O21)</f>
        <v>0</v>
      </c>
      <c r="X21" s="21">
        <f>SUM(T21+P21)</f>
        <v>0</v>
      </c>
      <c r="Y21" s="21">
        <f>SUM(Q21+U21)</f>
        <v>0</v>
      </c>
      <c r="Z21" s="21">
        <f>SUM(W21:Y21)</f>
        <v>0</v>
      </c>
      <c r="AA21" s="3">
        <f t="shared" ref="AA21:AD22" si="51">SUM(C21+O21)</f>
        <v>0</v>
      </c>
      <c r="AB21" s="3">
        <f t="shared" si="51"/>
        <v>0</v>
      </c>
      <c r="AC21" s="3">
        <f t="shared" si="51"/>
        <v>0</v>
      </c>
      <c r="AD21" s="3">
        <f t="shared" si="51"/>
        <v>0</v>
      </c>
      <c r="AE21" s="3">
        <f t="shared" ref="AE21:AL22" si="52">SUM(G21+S21)</f>
        <v>0</v>
      </c>
      <c r="AF21" s="3">
        <f t="shared" si="52"/>
        <v>0</v>
      </c>
      <c r="AG21" s="3">
        <f t="shared" si="52"/>
        <v>0</v>
      </c>
      <c r="AH21" s="3">
        <f t="shared" si="52"/>
        <v>0</v>
      </c>
      <c r="AI21" s="3">
        <f t="shared" si="52"/>
        <v>0</v>
      </c>
      <c r="AJ21" s="3">
        <f t="shared" si="52"/>
        <v>0</v>
      </c>
      <c r="AK21" s="3">
        <f t="shared" si="52"/>
        <v>0</v>
      </c>
      <c r="AL21" s="3">
        <f t="shared" si="52"/>
        <v>0</v>
      </c>
    </row>
    <row r="22" spans="1:38" s="267" customFormat="1" ht="31.5" x14ac:dyDescent="0.25">
      <c r="A22" s="263" t="s">
        <v>232</v>
      </c>
      <c r="B22" s="266" t="s">
        <v>231</v>
      </c>
      <c r="C22" s="21">
        <v>8757806</v>
      </c>
      <c r="D22" s="65">
        <v>1847285</v>
      </c>
      <c r="E22" s="21">
        <v>0</v>
      </c>
      <c r="F22" s="22">
        <f>SUM(C22:E22)</f>
        <v>10605091</v>
      </c>
      <c r="G22" s="22">
        <v>-255</v>
      </c>
      <c r="H22" s="22"/>
      <c r="I22" s="22"/>
      <c r="J22" s="22">
        <f>SUM(G22:I22)</f>
        <v>-255</v>
      </c>
      <c r="K22" s="21">
        <f t="shared" si="47"/>
        <v>8757551</v>
      </c>
      <c r="L22" s="22">
        <f t="shared" si="48"/>
        <v>1847285</v>
      </c>
      <c r="M22" s="22">
        <f t="shared" si="49"/>
        <v>0</v>
      </c>
      <c r="N22" s="22">
        <f t="shared" si="50"/>
        <v>10604836</v>
      </c>
      <c r="O22" s="21"/>
      <c r="P22" s="21"/>
      <c r="Q22" s="21"/>
      <c r="R22" s="21">
        <f>SUM(O22:Q22)</f>
        <v>0</v>
      </c>
      <c r="S22" s="21"/>
      <c r="T22" s="21"/>
      <c r="U22" s="21"/>
      <c r="V22" s="21">
        <f>SUM(S22:U22)</f>
        <v>0</v>
      </c>
      <c r="W22" s="21">
        <f>SUM(S22+O22)</f>
        <v>0</v>
      </c>
      <c r="X22" s="21">
        <f>SUM(T22+P22)</f>
        <v>0</v>
      </c>
      <c r="Y22" s="21">
        <f>SUM(Q22+U22)</f>
        <v>0</v>
      </c>
      <c r="Z22" s="21">
        <f>SUM(W22:Y22)</f>
        <v>0</v>
      </c>
      <c r="AA22" s="3">
        <f t="shared" si="51"/>
        <v>8757806</v>
      </c>
      <c r="AB22" s="3">
        <f t="shared" si="51"/>
        <v>1847285</v>
      </c>
      <c r="AC22" s="3">
        <f t="shared" si="51"/>
        <v>0</v>
      </c>
      <c r="AD22" s="3">
        <f t="shared" si="51"/>
        <v>10605091</v>
      </c>
      <c r="AE22" s="3">
        <f t="shared" si="52"/>
        <v>-255</v>
      </c>
      <c r="AF22" s="3">
        <f t="shared" si="52"/>
        <v>0</v>
      </c>
      <c r="AG22" s="3">
        <f t="shared" si="52"/>
        <v>0</v>
      </c>
      <c r="AH22" s="3">
        <f t="shared" si="52"/>
        <v>-255</v>
      </c>
      <c r="AI22" s="3">
        <f t="shared" si="52"/>
        <v>8757551</v>
      </c>
      <c r="AJ22" s="3">
        <f t="shared" si="52"/>
        <v>1847285</v>
      </c>
      <c r="AK22" s="3">
        <f t="shared" si="52"/>
        <v>0</v>
      </c>
      <c r="AL22" s="3">
        <f t="shared" si="52"/>
        <v>10604836</v>
      </c>
    </row>
    <row r="23" spans="1:38" s="269" customFormat="1" ht="31.5" x14ac:dyDescent="0.25">
      <c r="A23" s="265" t="s">
        <v>233</v>
      </c>
      <c r="B23" s="268" t="s">
        <v>166</v>
      </c>
      <c r="C23" s="23">
        <f>SUM(C21+C22)</f>
        <v>8757806</v>
      </c>
      <c r="D23" s="23">
        <f t="shared" ref="D23:F23" si="53">SUM(D21+D22)</f>
        <v>1847285</v>
      </c>
      <c r="E23" s="23">
        <f t="shared" si="53"/>
        <v>0</v>
      </c>
      <c r="F23" s="23">
        <f t="shared" si="53"/>
        <v>10605091</v>
      </c>
      <c r="G23" s="23">
        <f t="shared" ref="G23:AD23" si="54">SUM(G21+G22)</f>
        <v>-255</v>
      </c>
      <c r="H23" s="23">
        <f t="shared" si="54"/>
        <v>0</v>
      </c>
      <c r="I23" s="23">
        <f t="shared" si="54"/>
        <v>0</v>
      </c>
      <c r="J23" s="23">
        <f t="shared" si="54"/>
        <v>-255</v>
      </c>
      <c r="K23" s="23">
        <f t="shared" si="54"/>
        <v>8757551</v>
      </c>
      <c r="L23" s="23">
        <f t="shared" si="54"/>
        <v>1847285</v>
      </c>
      <c r="M23" s="23">
        <f t="shared" si="54"/>
        <v>0</v>
      </c>
      <c r="N23" s="23">
        <f t="shared" si="54"/>
        <v>10604836</v>
      </c>
      <c r="O23" s="23">
        <f t="shared" si="54"/>
        <v>0</v>
      </c>
      <c r="P23" s="23">
        <f t="shared" si="54"/>
        <v>0</v>
      </c>
      <c r="Q23" s="23">
        <f t="shared" si="54"/>
        <v>0</v>
      </c>
      <c r="R23" s="23">
        <f t="shared" si="54"/>
        <v>0</v>
      </c>
      <c r="S23" s="23">
        <f t="shared" si="54"/>
        <v>0</v>
      </c>
      <c r="T23" s="23">
        <f t="shared" si="54"/>
        <v>0</v>
      </c>
      <c r="U23" s="23">
        <f t="shared" si="54"/>
        <v>0</v>
      </c>
      <c r="V23" s="23">
        <f t="shared" si="54"/>
        <v>0</v>
      </c>
      <c r="W23" s="23">
        <f t="shared" si="54"/>
        <v>0</v>
      </c>
      <c r="X23" s="23">
        <f t="shared" si="54"/>
        <v>0</v>
      </c>
      <c r="Y23" s="23">
        <f t="shared" si="54"/>
        <v>0</v>
      </c>
      <c r="Z23" s="23">
        <f t="shared" si="54"/>
        <v>0</v>
      </c>
      <c r="AA23" s="23">
        <f t="shared" si="54"/>
        <v>8757806</v>
      </c>
      <c r="AB23" s="23">
        <f t="shared" si="54"/>
        <v>1847285</v>
      </c>
      <c r="AC23" s="23">
        <f t="shared" si="54"/>
        <v>0</v>
      </c>
      <c r="AD23" s="23">
        <f t="shared" si="54"/>
        <v>10605091</v>
      </c>
      <c r="AE23" s="23">
        <f t="shared" ref="AE23:AL23" si="55">SUM(AE21+AE22)</f>
        <v>-255</v>
      </c>
      <c r="AF23" s="23">
        <f t="shared" si="55"/>
        <v>0</v>
      </c>
      <c r="AG23" s="23">
        <f t="shared" si="55"/>
        <v>0</v>
      </c>
      <c r="AH23" s="23">
        <f t="shared" si="55"/>
        <v>-255</v>
      </c>
      <c r="AI23" s="23">
        <f t="shared" si="55"/>
        <v>8757551</v>
      </c>
      <c r="AJ23" s="23">
        <f t="shared" si="55"/>
        <v>1847285</v>
      </c>
      <c r="AK23" s="23">
        <f t="shared" si="55"/>
        <v>0</v>
      </c>
      <c r="AL23" s="23">
        <f t="shared" si="55"/>
        <v>10604836</v>
      </c>
    </row>
    <row r="24" spans="1:38" x14ac:dyDescent="0.25">
      <c r="A24" s="15" t="s">
        <v>521</v>
      </c>
      <c r="B24" s="15" t="s">
        <v>197</v>
      </c>
      <c r="C24" s="2">
        <v>2300000</v>
      </c>
      <c r="D24" s="584"/>
      <c r="E24" s="2"/>
      <c r="F24" s="7">
        <f>SUM(C24:E24)</f>
        <v>2300000</v>
      </c>
      <c r="G24" s="7"/>
      <c r="H24" s="7"/>
      <c r="I24" s="7"/>
      <c r="J24" s="7">
        <f>SUM(G24:I24)</f>
        <v>0</v>
      </c>
      <c r="K24" s="6">
        <f t="shared" ref="K24" si="56">SUM(G24+C24)</f>
        <v>2300000</v>
      </c>
      <c r="L24" s="7">
        <f t="shared" ref="L24" si="57">SUM(H24+D24)</f>
        <v>0</v>
      </c>
      <c r="M24" s="7">
        <f t="shared" ref="M24" si="58">SUM(I24+E24)</f>
        <v>0</v>
      </c>
      <c r="N24" s="7">
        <f t="shared" ref="N24" si="59">SUM(K24:M24)</f>
        <v>2300000</v>
      </c>
      <c r="O24" s="2"/>
      <c r="P24" s="2"/>
      <c r="Q24" s="2"/>
      <c r="R24" s="2">
        <f>SUM(O24:Q24)</f>
        <v>0</v>
      </c>
      <c r="S24" s="2"/>
      <c r="T24" s="2"/>
      <c r="U24" s="2"/>
      <c r="V24" s="2">
        <f>SUM(S24:U24)</f>
        <v>0</v>
      </c>
      <c r="W24" s="2">
        <f>SUM(S24+O24)</f>
        <v>0</v>
      </c>
      <c r="X24" s="2">
        <f>SUM(T24+P24)</f>
        <v>0</v>
      </c>
      <c r="Y24" s="2">
        <f>SUM(Q24+U24)</f>
        <v>0</v>
      </c>
      <c r="Z24" s="2">
        <f>SUM(W24:Y24)</f>
        <v>0</v>
      </c>
      <c r="AA24" s="3">
        <f>SUM(O24+C24)</f>
        <v>2300000</v>
      </c>
      <c r="AB24" s="2">
        <f>SUM(P24+D24)</f>
        <v>0</v>
      </c>
      <c r="AC24" s="2">
        <f>SUM(Q24+E24)</f>
        <v>0</v>
      </c>
      <c r="AD24" s="2">
        <f>SUM(AA24:AC24)</f>
        <v>2300000</v>
      </c>
      <c r="AE24" s="3">
        <f t="shared" ref="AE24:AG24" si="60">SUM(S24+G24)</f>
        <v>0</v>
      </c>
      <c r="AF24" s="2">
        <f t="shared" si="60"/>
        <v>0</v>
      </c>
      <c r="AG24" s="2">
        <f t="shared" si="60"/>
        <v>0</v>
      </c>
      <c r="AH24" s="2">
        <f t="shared" ref="AH24" si="61">SUM(AE24:AG24)</f>
        <v>0</v>
      </c>
      <c r="AI24" s="3">
        <f t="shared" ref="AI24:AK24" si="62">SUM(W24+K24)</f>
        <v>2300000</v>
      </c>
      <c r="AJ24" s="2">
        <f t="shared" si="62"/>
        <v>0</v>
      </c>
      <c r="AK24" s="2">
        <f t="shared" si="62"/>
        <v>0</v>
      </c>
      <c r="AL24" s="2">
        <f t="shared" ref="AL24" si="63">SUM(AI24:AK24)</f>
        <v>2300000</v>
      </c>
    </row>
    <row r="25" spans="1:38" s="264" customFormat="1" x14ac:dyDescent="0.25">
      <c r="A25" s="263" t="s">
        <v>522</v>
      </c>
      <c r="B25" s="263" t="s">
        <v>197</v>
      </c>
      <c r="C25" s="8">
        <f t="shared" ref="C25:F25" si="64">SUM(C24:C24)</f>
        <v>2300000</v>
      </c>
      <c r="D25" s="8">
        <f t="shared" si="64"/>
        <v>0</v>
      </c>
      <c r="E25" s="8">
        <f t="shared" si="64"/>
        <v>0</v>
      </c>
      <c r="F25" s="8">
        <f t="shared" si="64"/>
        <v>2300000</v>
      </c>
      <c r="G25" s="8">
        <f t="shared" ref="G25:AD25" si="65">SUM(G24:G24)</f>
        <v>0</v>
      </c>
      <c r="H25" s="8">
        <f t="shared" si="65"/>
        <v>0</v>
      </c>
      <c r="I25" s="8">
        <f t="shared" si="65"/>
        <v>0</v>
      </c>
      <c r="J25" s="8">
        <f t="shared" si="65"/>
        <v>0</v>
      </c>
      <c r="K25" s="8">
        <f t="shared" si="65"/>
        <v>2300000</v>
      </c>
      <c r="L25" s="8">
        <f t="shared" si="65"/>
        <v>0</v>
      </c>
      <c r="M25" s="8">
        <f t="shared" si="65"/>
        <v>0</v>
      </c>
      <c r="N25" s="8">
        <f t="shared" si="65"/>
        <v>2300000</v>
      </c>
      <c r="O25" s="8">
        <f t="shared" si="65"/>
        <v>0</v>
      </c>
      <c r="P25" s="8">
        <f t="shared" si="65"/>
        <v>0</v>
      </c>
      <c r="Q25" s="8">
        <f t="shared" si="65"/>
        <v>0</v>
      </c>
      <c r="R25" s="8">
        <f t="shared" si="65"/>
        <v>0</v>
      </c>
      <c r="S25" s="8">
        <f t="shared" si="65"/>
        <v>0</v>
      </c>
      <c r="T25" s="8">
        <f t="shared" si="65"/>
        <v>0</v>
      </c>
      <c r="U25" s="8">
        <f t="shared" si="65"/>
        <v>0</v>
      </c>
      <c r="V25" s="8">
        <f t="shared" si="65"/>
        <v>0</v>
      </c>
      <c r="W25" s="8">
        <f t="shared" si="65"/>
        <v>0</v>
      </c>
      <c r="X25" s="8">
        <f t="shared" si="65"/>
        <v>0</v>
      </c>
      <c r="Y25" s="8">
        <f t="shared" si="65"/>
        <v>0</v>
      </c>
      <c r="Z25" s="8">
        <f t="shared" si="65"/>
        <v>0</v>
      </c>
      <c r="AA25" s="8">
        <f t="shared" si="65"/>
        <v>2300000</v>
      </c>
      <c r="AB25" s="8">
        <f t="shared" si="65"/>
        <v>0</v>
      </c>
      <c r="AC25" s="8">
        <f t="shared" si="65"/>
        <v>0</v>
      </c>
      <c r="AD25" s="8">
        <f t="shared" si="65"/>
        <v>2300000</v>
      </c>
      <c r="AE25" s="8">
        <f t="shared" ref="AE25:AL25" si="66">SUM(AE24:AE24)</f>
        <v>0</v>
      </c>
      <c r="AF25" s="8">
        <f t="shared" si="66"/>
        <v>0</v>
      </c>
      <c r="AG25" s="8">
        <f t="shared" si="66"/>
        <v>0</v>
      </c>
      <c r="AH25" s="8">
        <f t="shared" si="66"/>
        <v>0</v>
      </c>
      <c r="AI25" s="8">
        <f t="shared" si="66"/>
        <v>2300000</v>
      </c>
      <c r="AJ25" s="8">
        <f t="shared" si="66"/>
        <v>0</v>
      </c>
      <c r="AK25" s="8">
        <f t="shared" si="66"/>
        <v>0</v>
      </c>
      <c r="AL25" s="8">
        <f t="shared" si="66"/>
        <v>2300000</v>
      </c>
    </row>
    <row r="26" spans="1:38" x14ac:dyDescent="0.25">
      <c r="A26" s="15" t="s">
        <v>523</v>
      </c>
      <c r="B26" s="15" t="s">
        <v>198</v>
      </c>
      <c r="C26" s="2">
        <v>20100000</v>
      </c>
      <c r="D26" s="584"/>
      <c r="E26" s="2"/>
      <c r="F26" s="7">
        <f>SUM(C26:E26)</f>
        <v>20100000</v>
      </c>
      <c r="G26" s="7">
        <v>-6000000</v>
      </c>
      <c r="H26" s="7"/>
      <c r="I26" s="7"/>
      <c r="J26" s="7">
        <f>SUM(G26:I26)</f>
        <v>-6000000</v>
      </c>
      <c r="K26" s="6">
        <f t="shared" ref="K26" si="67">SUM(G26+C26)</f>
        <v>14100000</v>
      </c>
      <c r="L26" s="7">
        <f t="shared" ref="L26" si="68">SUM(H26+D26)</f>
        <v>0</v>
      </c>
      <c r="M26" s="7">
        <f t="shared" ref="M26" si="69">SUM(I26+E26)</f>
        <v>0</v>
      </c>
      <c r="N26" s="7">
        <f t="shared" ref="N26" si="70">SUM(K26:M26)</f>
        <v>14100000</v>
      </c>
      <c r="O26" s="2"/>
      <c r="P26" s="2"/>
      <c r="Q26" s="2"/>
      <c r="R26" s="2">
        <f>SUM(O26:Q26)</f>
        <v>0</v>
      </c>
      <c r="S26" s="2"/>
      <c r="T26" s="2"/>
      <c r="U26" s="2"/>
      <c r="V26" s="2">
        <f>SUM(S26:U26)</f>
        <v>0</v>
      </c>
      <c r="W26" s="2">
        <f>SUM(S26+O26)</f>
        <v>0</v>
      </c>
      <c r="X26" s="2">
        <f>SUM(T26+P26)</f>
        <v>0</v>
      </c>
      <c r="Y26" s="2">
        <f>SUM(Q26+U26)</f>
        <v>0</v>
      </c>
      <c r="Z26" s="2">
        <f>SUM(W26:Y26)</f>
        <v>0</v>
      </c>
      <c r="AA26" s="3">
        <f>SUM(O26+C26)</f>
        <v>20100000</v>
      </c>
      <c r="AB26" s="2">
        <f>SUM(P26+D26)</f>
        <v>0</v>
      </c>
      <c r="AC26" s="2">
        <f>SUM(Q26+E26)</f>
        <v>0</v>
      </c>
      <c r="AD26" s="2">
        <f>SUM(AA26:AC26)</f>
        <v>20100000</v>
      </c>
      <c r="AE26" s="3">
        <f t="shared" ref="AE26:AG26" si="71">SUM(S26+G26)</f>
        <v>-6000000</v>
      </c>
      <c r="AF26" s="2">
        <f t="shared" si="71"/>
        <v>0</v>
      </c>
      <c r="AG26" s="2">
        <f t="shared" si="71"/>
        <v>0</v>
      </c>
      <c r="AH26" s="2">
        <f t="shared" ref="AH26" si="72">SUM(AE26:AG26)</f>
        <v>-6000000</v>
      </c>
      <c r="AI26" s="3">
        <f t="shared" ref="AI26:AK26" si="73">SUM(W26+K26)</f>
        <v>14100000</v>
      </c>
      <c r="AJ26" s="2">
        <f t="shared" si="73"/>
        <v>0</v>
      </c>
      <c r="AK26" s="2">
        <f t="shared" si="73"/>
        <v>0</v>
      </c>
      <c r="AL26" s="2">
        <f t="shared" ref="AL26" si="74">SUM(AI26:AK26)</f>
        <v>14100000</v>
      </c>
    </row>
    <row r="27" spans="1:38" s="267" customFormat="1" x14ac:dyDescent="0.25">
      <c r="A27" s="263" t="s">
        <v>524</v>
      </c>
      <c r="B27" s="263" t="s">
        <v>198</v>
      </c>
      <c r="C27" s="8">
        <f>SUM(C26)</f>
        <v>20100000</v>
      </c>
      <c r="D27" s="8">
        <f t="shared" ref="D27:F27" si="75">SUM(D26)</f>
        <v>0</v>
      </c>
      <c r="E27" s="8">
        <f t="shared" si="75"/>
        <v>0</v>
      </c>
      <c r="F27" s="8">
        <f t="shared" si="75"/>
        <v>20100000</v>
      </c>
      <c r="G27" s="8">
        <f t="shared" ref="G27:AD27" si="76">SUM(G26)</f>
        <v>-6000000</v>
      </c>
      <c r="H27" s="8">
        <f t="shared" si="76"/>
        <v>0</v>
      </c>
      <c r="I27" s="8">
        <f t="shared" si="76"/>
        <v>0</v>
      </c>
      <c r="J27" s="8">
        <f t="shared" si="76"/>
        <v>-6000000</v>
      </c>
      <c r="K27" s="8">
        <f t="shared" si="76"/>
        <v>14100000</v>
      </c>
      <c r="L27" s="8">
        <f t="shared" si="76"/>
        <v>0</v>
      </c>
      <c r="M27" s="8">
        <f t="shared" si="76"/>
        <v>0</v>
      </c>
      <c r="N27" s="8">
        <f t="shared" si="76"/>
        <v>14100000</v>
      </c>
      <c r="O27" s="8">
        <f t="shared" ref="O27:Q27" si="77">SUM(O26)</f>
        <v>0</v>
      </c>
      <c r="P27" s="8">
        <f t="shared" si="77"/>
        <v>0</v>
      </c>
      <c r="Q27" s="8">
        <f t="shared" si="77"/>
        <v>0</v>
      </c>
      <c r="R27" s="8">
        <f t="shared" si="76"/>
        <v>0</v>
      </c>
      <c r="S27" s="8">
        <f t="shared" si="76"/>
        <v>0</v>
      </c>
      <c r="T27" s="8">
        <f t="shared" si="76"/>
        <v>0</v>
      </c>
      <c r="U27" s="8">
        <f t="shared" si="76"/>
        <v>0</v>
      </c>
      <c r="V27" s="8">
        <f t="shared" si="76"/>
        <v>0</v>
      </c>
      <c r="W27" s="8">
        <f t="shared" si="76"/>
        <v>0</v>
      </c>
      <c r="X27" s="8">
        <f t="shared" si="76"/>
        <v>0</v>
      </c>
      <c r="Y27" s="8">
        <f t="shared" si="76"/>
        <v>0</v>
      </c>
      <c r="Z27" s="8">
        <f t="shared" si="76"/>
        <v>0</v>
      </c>
      <c r="AA27" s="8">
        <f t="shared" si="76"/>
        <v>20100000</v>
      </c>
      <c r="AB27" s="8">
        <f t="shared" si="76"/>
        <v>0</v>
      </c>
      <c r="AC27" s="8">
        <f t="shared" si="76"/>
        <v>0</v>
      </c>
      <c r="AD27" s="8">
        <f t="shared" si="76"/>
        <v>20100000</v>
      </c>
      <c r="AE27" s="8">
        <f t="shared" ref="AE27:AL27" si="78">SUM(AE26)</f>
        <v>-6000000</v>
      </c>
      <c r="AF27" s="8">
        <f t="shared" si="78"/>
        <v>0</v>
      </c>
      <c r="AG27" s="8">
        <f t="shared" si="78"/>
        <v>0</v>
      </c>
      <c r="AH27" s="8">
        <f t="shared" si="78"/>
        <v>-6000000</v>
      </c>
      <c r="AI27" s="8">
        <f t="shared" si="78"/>
        <v>14100000</v>
      </c>
      <c r="AJ27" s="8">
        <f t="shared" si="78"/>
        <v>0</v>
      </c>
      <c r="AK27" s="8">
        <f t="shared" si="78"/>
        <v>0</v>
      </c>
      <c r="AL27" s="8">
        <f t="shared" si="78"/>
        <v>14100000</v>
      </c>
    </row>
    <row r="28" spans="1:38" s="267" customFormat="1" x14ac:dyDescent="0.25">
      <c r="A28" s="263" t="s">
        <v>525</v>
      </c>
      <c r="B28" s="263" t="s">
        <v>199</v>
      </c>
      <c r="C28" s="8">
        <v>420000</v>
      </c>
      <c r="D28" s="9"/>
      <c r="E28" s="8"/>
      <c r="F28" s="13">
        <f>SUM(C28:E28)</f>
        <v>420000</v>
      </c>
      <c r="G28" s="13">
        <v>-420000</v>
      </c>
      <c r="H28" s="13"/>
      <c r="I28" s="13"/>
      <c r="J28" s="13">
        <f>SUM(G28:I28)</f>
        <v>-420000</v>
      </c>
      <c r="K28" s="8">
        <f t="shared" ref="K28:K29" si="79">SUM(G28+C28)</f>
        <v>0</v>
      </c>
      <c r="L28" s="13">
        <f t="shared" ref="L28:L29" si="80">SUM(H28+D28)</f>
        <v>0</v>
      </c>
      <c r="M28" s="13">
        <f t="shared" ref="M28:M29" si="81">SUM(I28+E28)</f>
        <v>0</v>
      </c>
      <c r="N28" s="13">
        <f t="shared" ref="N28:N29" si="82">SUM(K28:M28)</f>
        <v>0</v>
      </c>
      <c r="O28" s="14"/>
      <c r="P28" s="14"/>
      <c r="Q28" s="14"/>
      <c r="R28" s="14"/>
      <c r="S28" s="14"/>
      <c r="T28" s="14"/>
      <c r="U28" s="14"/>
      <c r="V28" s="14">
        <f>SUM(S28:U28)</f>
        <v>0</v>
      </c>
      <c r="W28" s="14">
        <f t="shared" ref="W28:W29" si="83">SUM(S28+O28)</f>
        <v>0</v>
      </c>
      <c r="X28" s="14">
        <f t="shared" ref="X28:X29" si="84">SUM(T28+P28)</f>
        <v>0</v>
      </c>
      <c r="Y28" s="14">
        <f t="shared" ref="Y28:Y29" si="85">SUM(Q28+U28)</f>
        <v>0</v>
      </c>
      <c r="Z28" s="14">
        <f t="shared" ref="Z28:Z29" si="86">SUM(W28:Y28)</f>
        <v>0</v>
      </c>
      <c r="AA28" s="8">
        <f t="shared" ref="AA28:AC29" si="87">SUM(O28+C28)</f>
        <v>420000</v>
      </c>
      <c r="AB28" s="14">
        <f t="shared" si="87"/>
        <v>0</v>
      </c>
      <c r="AC28" s="14">
        <f t="shared" si="87"/>
        <v>0</v>
      </c>
      <c r="AD28" s="14">
        <f>SUM(AA28:AC28)</f>
        <v>420000</v>
      </c>
      <c r="AE28" s="8">
        <f t="shared" ref="AE28:AG29" si="88">SUM(S28+G28)</f>
        <v>-420000</v>
      </c>
      <c r="AF28" s="14">
        <f t="shared" si="88"/>
        <v>0</v>
      </c>
      <c r="AG28" s="14">
        <f t="shared" si="88"/>
        <v>0</v>
      </c>
      <c r="AH28" s="14">
        <f t="shared" ref="AH28:AH29" si="89">SUM(AE28:AG28)</f>
        <v>-420000</v>
      </c>
      <c r="AI28" s="8">
        <f t="shared" ref="AI28:AK29" si="90">SUM(W28+K28)</f>
        <v>0</v>
      </c>
      <c r="AJ28" s="14">
        <f t="shared" si="90"/>
        <v>0</v>
      </c>
      <c r="AK28" s="14">
        <f t="shared" si="90"/>
        <v>0</v>
      </c>
      <c r="AL28" s="14">
        <f t="shared" ref="AL28:AL29" si="91">SUM(AI28:AK28)</f>
        <v>0</v>
      </c>
    </row>
    <row r="29" spans="1:38" x14ac:dyDescent="0.25">
      <c r="A29" s="15" t="s">
        <v>526</v>
      </c>
      <c r="B29" s="15" t="s">
        <v>200</v>
      </c>
      <c r="C29" s="2">
        <v>65000</v>
      </c>
      <c r="D29" s="584"/>
      <c r="E29" s="2"/>
      <c r="F29" s="7">
        <f>SUM(C29:E29)</f>
        <v>65000</v>
      </c>
      <c r="G29" s="7">
        <v>-51302</v>
      </c>
      <c r="H29" s="7"/>
      <c r="I29" s="7"/>
      <c r="J29" s="7">
        <f>SUM(G29:I29)</f>
        <v>-51302</v>
      </c>
      <c r="K29" s="6">
        <f t="shared" si="79"/>
        <v>13698</v>
      </c>
      <c r="L29" s="7">
        <f t="shared" si="80"/>
        <v>0</v>
      </c>
      <c r="M29" s="7">
        <f t="shared" si="81"/>
        <v>0</v>
      </c>
      <c r="N29" s="7">
        <f t="shared" si="82"/>
        <v>13698</v>
      </c>
      <c r="O29" s="2"/>
      <c r="P29" s="2"/>
      <c r="Q29" s="2"/>
      <c r="R29" s="2">
        <f>SUM(O29:Q29)</f>
        <v>0</v>
      </c>
      <c r="S29" s="2"/>
      <c r="T29" s="2"/>
      <c r="U29" s="2"/>
      <c r="V29" s="2">
        <f>SUM(S29:U29)</f>
        <v>0</v>
      </c>
      <c r="W29" s="2">
        <f t="shared" si="83"/>
        <v>0</v>
      </c>
      <c r="X29" s="2">
        <f t="shared" si="84"/>
        <v>0</v>
      </c>
      <c r="Y29" s="2">
        <f t="shared" si="85"/>
        <v>0</v>
      </c>
      <c r="Z29" s="2">
        <f t="shared" si="86"/>
        <v>0</v>
      </c>
      <c r="AA29" s="3">
        <f t="shared" si="87"/>
        <v>65000</v>
      </c>
      <c r="AB29" s="2">
        <f t="shared" si="87"/>
        <v>0</v>
      </c>
      <c r="AC29" s="2">
        <f t="shared" si="87"/>
        <v>0</v>
      </c>
      <c r="AD29" s="2">
        <f>SUM(AA29:AC29)</f>
        <v>65000</v>
      </c>
      <c r="AE29" s="3">
        <f t="shared" si="88"/>
        <v>-51302</v>
      </c>
      <c r="AF29" s="2">
        <f t="shared" si="88"/>
        <v>0</v>
      </c>
      <c r="AG29" s="2">
        <f t="shared" si="88"/>
        <v>0</v>
      </c>
      <c r="AH29" s="2">
        <f t="shared" si="89"/>
        <v>-51302</v>
      </c>
      <c r="AI29" s="3">
        <f t="shared" si="90"/>
        <v>13698</v>
      </c>
      <c r="AJ29" s="2">
        <f t="shared" si="90"/>
        <v>0</v>
      </c>
      <c r="AK29" s="2">
        <f t="shared" si="90"/>
        <v>0</v>
      </c>
      <c r="AL29" s="2">
        <f t="shared" si="91"/>
        <v>13698</v>
      </c>
    </row>
    <row r="30" spans="1:38" x14ac:dyDescent="0.25">
      <c r="A30" s="15" t="s">
        <v>813</v>
      </c>
      <c r="B30" s="15" t="s">
        <v>200</v>
      </c>
      <c r="C30" s="2">
        <v>9000</v>
      </c>
      <c r="D30" s="584"/>
      <c r="E30" s="2"/>
      <c r="F30" s="7">
        <f>SUM(C30:E30)</f>
        <v>9000</v>
      </c>
      <c r="G30" s="7"/>
      <c r="H30" s="7"/>
      <c r="I30" s="7"/>
      <c r="J30" s="7">
        <f>SUM(G30:I30)</f>
        <v>0</v>
      </c>
      <c r="K30" s="6">
        <f t="shared" ref="K30" si="92">SUM(G30+C30)</f>
        <v>9000</v>
      </c>
      <c r="L30" s="7">
        <f t="shared" ref="L30" si="93">SUM(H30+D30)</f>
        <v>0</v>
      </c>
      <c r="M30" s="7">
        <f t="shared" ref="M30" si="94">SUM(I30+E30)</f>
        <v>0</v>
      </c>
      <c r="N30" s="7">
        <f t="shared" ref="N30" si="95">SUM(K30:M30)</f>
        <v>9000</v>
      </c>
      <c r="O30" s="2"/>
      <c r="P30" s="2"/>
      <c r="Q30" s="2"/>
      <c r="R30" s="2">
        <f>SUM(O30:Q30)</f>
        <v>0</v>
      </c>
      <c r="S30" s="2"/>
      <c r="T30" s="2"/>
      <c r="U30" s="2"/>
      <c r="V30" s="2">
        <f>SUM(S30:U30)</f>
        <v>0</v>
      </c>
      <c r="W30" s="2">
        <f t="shared" ref="W30" si="96">SUM(S30+O30)</f>
        <v>0</v>
      </c>
      <c r="X30" s="2">
        <f t="shared" ref="X30" si="97">SUM(T30+P30)</f>
        <v>0</v>
      </c>
      <c r="Y30" s="2">
        <f t="shared" ref="Y30" si="98">SUM(Q30+U30)</f>
        <v>0</v>
      </c>
      <c r="Z30" s="2">
        <f t="shared" ref="Z30" si="99">SUM(W30:Y30)</f>
        <v>0</v>
      </c>
      <c r="AA30" s="3">
        <f t="shared" ref="AA30" si="100">SUM(O30+C30)</f>
        <v>9000</v>
      </c>
      <c r="AB30" s="2">
        <f t="shared" ref="AB30" si="101">SUM(P30+D30)</f>
        <v>0</v>
      </c>
      <c r="AC30" s="2">
        <f t="shared" ref="AC30" si="102">SUM(Q30+E30)</f>
        <v>0</v>
      </c>
      <c r="AD30" s="2">
        <f>SUM(AA30:AC30)</f>
        <v>9000</v>
      </c>
      <c r="AE30" s="3">
        <f t="shared" ref="AE30" si="103">SUM(S30+G30)</f>
        <v>0</v>
      </c>
      <c r="AF30" s="2">
        <f t="shared" ref="AF30" si="104">SUM(T30+H30)</f>
        <v>0</v>
      </c>
      <c r="AG30" s="2">
        <f t="shared" ref="AG30" si="105">SUM(U30+I30)</f>
        <v>0</v>
      </c>
      <c r="AH30" s="2">
        <f t="shared" ref="AH30" si="106">SUM(AE30:AG30)</f>
        <v>0</v>
      </c>
      <c r="AI30" s="3">
        <f t="shared" ref="AI30" si="107">SUM(W30+K30)</f>
        <v>9000</v>
      </c>
      <c r="AJ30" s="2">
        <f t="shared" ref="AJ30" si="108">SUM(X30+L30)</f>
        <v>0</v>
      </c>
      <c r="AK30" s="2">
        <f t="shared" ref="AK30" si="109">SUM(Y30+M30)</f>
        <v>0</v>
      </c>
      <c r="AL30" s="2">
        <f t="shared" ref="AL30" si="110">SUM(AI30:AK30)</f>
        <v>9000</v>
      </c>
    </row>
    <row r="31" spans="1:38" s="267" customFormat="1" ht="31.5" x14ac:dyDescent="0.25">
      <c r="A31" s="263" t="s">
        <v>814</v>
      </c>
      <c r="B31" s="263" t="s">
        <v>200</v>
      </c>
      <c r="C31" s="8">
        <f>SUM(C29:C30)</f>
        <v>74000</v>
      </c>
      <c r="D31" s="8">
        <f t="shared" ref="D31:F31" si="111">SUM(D29:D30)</f>
        <v>0</v>
      </c>
      <c r="E31" s="8">
        <f t="shared" si="111"/>
        <v>0</v>
      </c>
      <c r="F31" s="8">
        <f t="shared" si="111"/>
        <v>74000</v>
      </c>
      <c r="G31" s="8">
        <f>SUM(G29:G30)</f>
        <v>-51302</v>
      </c>
      <c r="H31" s="8">
        <f t="shared" ref="H31:J31" si="112">SUM(H29:H30)</f>
        <v>0</v>
      </c>
      <c r="I31" s="8">
        <f t="shared" si="112"/>
        <v>0</v>
      </c>
      <c r="J31" s="8">
        <f t="shared" si="112"/>
        <v>-51302</v>
      </c>
      <c r="K31" s="8">
        <f>SUM(K29:K30)</f>
        <v>22698</v>
      </c>
      <c r="L31" s="8">
        <f t="shared" ref="L31:N31" si="113">SUM(L29:L30)</f>
        <v>0</v>
      </c>
      <c r="M31" s="8">
        <f t="shared" si="113"/>
        <v>0</v>
      </c>
      <c r="N31" s="8">
        <f t="shared" si="113"/>
        <v>22698</v>
      </c>
      <c r="O31" s="8">
        <f>SUM(O29:O30)</f>
        <v>0</v>
      </c>
      <c r="P31" s="8">
        <f t="shared" ref="P31:R31" si="114">SUM(P29:P30)</f>
        <v>0</v>
      </c>
      <c r="Q31" s="8">
        <f t="shared" si="114"/>
        <v>0</v>
      </c>
      <c r="R31" s="8">
        <f t="shared" si="114"/>
        <v>0</v>
      </c>
      <c r="S31" s="8">
        <f>SUM(S29:S30)</f>
        <v>0</v>
      </c>
      <c r="T31" s="8">
        <f t="shared" ref="T31:AL31" si="115">SUM(T29:T30)</f>
        <v>0</v>
      </c>
      <c r="U31" s="8">
        <f t="shared" si="115"/>
        <v>0</v>
      </c>
      <c r="V31" s="8">
        <f t="shared" si="115"/>
        <v>0</v>
      </c>
      <c r="W31" s="8">
        <f t="shared" si="115"/>
        <v>0</v>
      </c>
      <c r="X31" s="8">
        <f t="shared" si="115"/>
        <v>0</v>
      </c>
      <c r="Y31" s="8">
        <f t="shared" si="115"/>
        <v>0</v>
      </c>
      <c r="Z31" s="8">
        <f t="shared" si="115"/>
        <v>0</v>
      </c>
      <c r="AA31" s="8">
        <f t="shared" si="115"/>
        <v>74000</v>
      </c>
      <c r="AB31" s="8">
        <f t="shared" si="115"/>
        <v>0</v>
      </c>
      <c r="AC31" s="8">
        <f t="shared" si="115"/>
        <v>0</v>
      </c>
      <c r="AD31" s="8">
        <f t="shared" si="115"/>
        <v>74000</v>
      </c>
      <c r="AE31" s="8">
        <f t="shared" si="115"/>
        <v>-51302</v>
      </c>
      <c r="AF31" s="8">
        <f t="shared" si="115"/>
        <v>0</v>
      </c>
      <c r="AG31" s="8">
        <f t="shared" si="115"/>
        <v>0</v>
      </c>
      <c r="AH31" s="8">
        <f t="shared" si="115"/>
        <v>-51302</v>
      </c>
      <c r="AI31" s="8">
        <f t="shared" si="115"/>
        <v>22698</v>
      </c>
      <c r="AJ31" s="8">
        <f t="shared" si="115"/>
        <v>0</v>
      </c>
      <c r="AK31" s="8">
        <f t="shared" si="115"/>
        <v>0</v>
      </c>
      <c r="AL31" s="8">
        <f t="shared" si="115"/>
        <v>22698</v>
      </c>
    </row>
    <row r="32" spans="1:38" s="267" customFormat="1" ht="31.5" x14ac:dyDescent="0.25">
      <c r="A32" s="263" t="s">
        <v>815</v>
      </c>
      <c r="B32" s="263" t="s">
        <v>201</v>
      </c>
      <c r="C32" s="8">
        <f t="shared" ref="C32:F32" si="116">SUM(C31+C28+C27)</f>
        <v>20594000</v>
      </c>
      <c r="D32" s="8">
        <f t="shared" si="116"/>
        <v>0</v>
      </c>
      <c r="E32" s="8">
        <f t="shared" si="116"/>
        <v>0</v>
      </c>
      <c r="F32" s="8">
        <f t="shared" si="116"/>
        <v>20594000</v>
      </c>
      <c r="G32" s="8">
        <f t="shared" ref="G32:AL32" si="117">SUM(G31+G28+G27)</f>
        <v>-6471302</v>
      </c>
      <c r="H32" s="8">
        <f t="shared" si="117"/>
        <v>0</v>
      </c>
      <c r="I32" s="8">
        <f t="shared" si="117"/>
        <v>0</v>
      </c>
      <c r="J32" s="8">
        <f t="shared" si="117"/>
        <v>-6471302</v>
      </c>
      <c r="K32" s="8">
        <f t="shared" si="117"/>
        <v>14122698</v>
      </c>
      <c r="L32" s="8">
        <f t="shared" si="117"/>
        <v>0</v>
      </c>
      <c r="M32" s="8">
        <f t="shared" si="117"/>
        <v>0</v>
      </c>
      <c r="N32" s="8">
        <f t="shared" si="117"/>
        <v>14122698</v>
      </c>
      <c r="O32" s="8">
        <f t="shared" si="117"/>
        <v>0</v>
      </c>
      <c r="P32" s="8">
        <f t="shared" si="117"/>
        <v>0</v>
      </c>
      <c r="Q32" s="8">
        <f t="shared" si="117"/>
        <v>0</v>
      </c>
      <c r="R32" s="8">
        <f t="shared" si="117"/>
        <v>0</v>
      </c>
      <c r="S32" s="8">
        <f t="shared" si="117"/>
        <v>0</v>
      </c>
      <c r="T32" s="8">
        <f t="shared" si="117"/>
        <v>0</v>
      </c>
      <c r="U32" s="8">
        <f t="shared" si="117"/>
        <v>0</v>
      </c>
      <c r="V32" s="8">
        <f t="shared" si="117"/>
        <v>0</v>
      </c>
      <c r="W32" s="8">
        <f t="shared" si="117"/>
        <v>0</v>
      </c>
      <c r="X32" s="8">
        <f t="shared" si="117"/>
        <v>0</v>
      </c>
      <c r="Y32" s="8">
        <f t="shared" si="117"/>
        <v>0</v>
      </c>
      <c r="Z32" s="8">
        <f t="shared" si="117"/>
        <v>0</v>
      </c>
      <c r="AA32" s="8">
        <f t="shared" si="117"/>
        <v>20594000</v>
      </c>
      <c r="AB32" s="8">
        <f t="shared" si="117"/>
        <v>0</v>
      </c>
      <c r="AC32" s="8">
        <f t="shared" si="117"/>
        <v>0</v>
      </c>
      <c r="AD32" s="8">
        <f t="shared" si="117"/>
        <v>20594000</v>
      </c>
      <c r="AE32" s="8">
        <f t="shared" si="117"/>
        <v>-6471302</v>
      </c>
      <c r="AF32" s="8">
        <f t="shared" si="117"/>
        <v>0</v>
      </c>
      <c r="AG32" s="8">
        <f t="shared" si="117"/>
        <v>0</v>
      </c>
      <c r="AH32" s="8">
        <f t="shared" si="117"/>
        <v>-6471302</v>
      </c>
      <c r="AI32" s="8">
        <f t="shared" si="117"/>
        <v>14122698</v>
      </c>
      <c r="AJ32" s="8">
        <f t="shared" si="117"/>
        <v>0</v>
      </c>
      <c r="AK32" s="8">
        <f t="shared" si="117"/>
        <v>0</v>
      </c>
      <c r="AL32" s="8">
        <f t="shared" si="117"/>
        <v>14122698</v>
      </c>
    </row>
    <row r="33" spans="1:38" x14ac:dyDescent="0.25">
      <c r="A33" s="15" t="s">
        <v>527</v>
      </c>
      <c r="B33" s="15" t="s">
        <v>202</v>
      </c>
      <c r="C33" s="11">
        <v>50000</v>
      </c>
      <c r="D33" s="10"/>
      <c r="E33" s="11"/>
      <c r="F33" s="12">
        <f t="shared" ref="F33:F35" si="118">SUM(C33:E33)</f>
        <v>50000</v>
      </c>
      <c r="G33" s="12">
        <v>-45000</v>
      </c>
      <c r="H33" s="12"/>
      <c r="I33" s="12"/>
      <c r="J33" s="1">
        <f t="shared" ref="J33:J35" si="119">SUM(G33:I33)</f>
        <v>-45000</v>
      </c>
      <c r="K33" s="11">
        <f t="shared" ref="K33:K35" si="120">SUM(G33+C33)</f>
        <v>5000</v>
      </c>
      <c r="L33" s="12">
        <f t="shared" ref="L33:L35" si="121">SUM(H33+D33)</f>
        <v>0</v>
      </c>
      <c r="M33" s="12">
        <f t="shared" ref="M33:M35" si="122">SUM(I33+E33)</f>
        <v>0</v>
      </c>
      <c r="N33" s="12">
        <f t="shared" ref="N33:N35" si="123">SUM(K33:M33)</f>
        <v>5000</v>
      </c>
      <c r="O33" s="2"/>
      <c r="P33" s="2"/>
      <c r="Q33" s="2"/>
      <c r="R33" s="6">
        <f t="shared" ref="R33:R35" si="124">SUM(O33:Q33)</f>
        <v>0</v>
      </c>
      <c r="S33" s="2"/>
      <c r="T33" s="2"/>
      <c r="U33" s="2"/>
      <c r="V33" s="6">
        <f t="shared" ref="V33:V35" si="125">SUM(S33:U33)</f>
        <v>0</v>
      </c>
      <c r="W33" s="2">
        <f t="shared" ref="W33:W35" si="126">SUM(S33+O33)</f>
        <v>0</v>
      </c>
      <c r="X33" s="2">
        <f t="shared" ref="X33:X35" si="127">SUM(T33+P33)</f>
        <v>0</v>
      </c>
      <c r="Y33" s="2">
        <f t="shared" ref="Y33:Y35" si="128">SUM(Q33+U33)</f>
        <v>0</v>
      </c>
      <c r="Z33" s="2">
        <f t="shared" ref="Z33:Z35" si="129">SUM(W33:Y33)</f>
        <v>0</v>
      </c>
      <c r="AA33" s="2">
        <f t="shared" ref="AA33:AC35" si="130">SUM(O33+C33)</f>
        <v>50000</v>
      </c>
      <c r="AB33" s="2">
        <f t="shared" si="130"/>
        <v>0</v>
      </c>
      <c r="AC33" s="2">
        <f t="shared" si="130"/>
        <v>0</v>
      </c>
      <c r="AD33" s="2">
        <f t="shared" ref="AD33:AD35" si="131">SUM(AA33:AC33)</f>
        <v>50000</v>
      </c>
      <c r="AE33" s="2">
        <f t="shared" ref="AE33:AG35" si="132">SUM(S33+G33)</f>
        <v>-45000</v>
      </c>
      <c r="AF33" s="2">
        <f t="shared" si="132"/>
        <v>0</v>
      </c>
      <c r="AG33" s="2">
        <f t="shared" si="132"/>
        <v>0</v>
      </c>
      <c r="AH33" s="2">
        <f t="shared" ref="AH33:AH35" si="133">SUM(AE33:AG33)</f>
        <v>-45000</v>
      </c>
      <c r="AI33" s="2">
        <f t="shared" ref="AI33:AK35" si="134">SUM(W33+K33)</f>
        <v>5000</v>
      </c>
      <c r="AJ33" s="2">
        <f t="shared" si="134"/>
        <v>0</v>
      </c>
      <c r="AK33" s="2">
        <f t="shared" si="134"/>
        <v>0</v>
      </c>
      <c r="AL33" s="2">
        <f t="shared" ref="AL33:AL35" si="135">SUM(AI33:AK33)</f>
        <v>5000</v>
      </c>
    </row>
    <row r="34" spans="1:38" ht="31.5" x14ac:dyDescent="0.25">
      <c r="A34" s="15" t="s">
        <v>528</v>
      </c>
      <c r="B34" s="15" t="s">
        <v>202</v>
      </c>
      <c r="C34" s="11">
        <v>16300</v>
      </c>
      <c r="D34" s="10"/>
      <c r="E34" s="11"/>
      <c r="F34" s="12">
        <f t="shared" si="118"/>
        <v>16300</v>
      </c>
      <c r="G34" s="12"/>
      <c r="H34" s="12"/>
      <c r="I34" s="12"/>
      <c r="J34" s="1">
        <f t="shared" si="119"/>
        <v>0</v>
      </c>
      <c r="K34" s="11">
        <f t="shared" si="120"/>
        <v>16300</v>
      </c>
      <c r="L34" s="12">
        <f t="shared" si="121"/>
        <v>0</v>
      </c>
      <c r="M34" s="12">
        <f t="shared" si="122"/>
        <v>0</v>
      </c>
      <c r="N34" s="12">
        <f t="shared" si="123"/>
        <v>16300</v>
      </c>
      <c r="O34" s="2"/>
      <c r="P34" s="2"/>
      <c r="Q34" s="2"/>
      <c r="R34" s="6">
        <f t="shared" si="124"/>
        <v>0</v>
      </c>
      <c r="S34" s="2"/>
      <c r="T34" s="2"/>
      <c r="U34" s="2"/>
      <c r="V34" s="6">
        <f t="shared" si="125"/>
        <v>0</v>
      </c>
      <c r="W34" s="2">
        <f t="shared" si="126"/>
        <v>0</v>
      </c>
      <c r="X34" s="2">
        <f t="shared" si="127"/>
        <v>0</v>
      </c>
      <c r="Y34" s="2">
        <f t="shared" si="128"/>
        <v>0</v>
      </c>
      <c r="Z34" s="2">
        <f t="shared" si="129"/>
        <v>0</v>
      </c>
      <c r="AA34" s="2">
        <f t="shared" si="130"/>
        <v>16300</v>
      </c>
      <c r="AB34" s="2">
        <f t="shared" si="130"/>
        <v>0</v>
      </c>
      <c r="AC34" s="2">
        <f t="shared" si="130"/>
        <v>0</v>
      </c>
      <c r="AD34" s="2">
        <f t="shared" si="131"/>
        <v>16300</v>
      </c>
      <c r="AE34" s="2">
        <f t="shared" si="132"/>
        <v>0</v>
      </c>
      <c r="AF34" s="2">
        <f t="shared" si="132"/>
        <v>0</v>
      </c>
      <c r="AG34" s="2">
        <f t="shared" si="132"/>
        <v>0</v>
      </c>
      <c r="AH34" s="2">
        <f t="shared" si="133"/>
        <v>0</v>
      </c>
      <c r="AI34" s="2">
        <f t="shared" si="134"/>
        <v>16300</v>
      </c>
      <c r="AJ34" s="2">
        <f t="shared" si="134"/>
        <v>0</v>
      </c>
      <c r="AK34" s="2">
        <f t="shared" si="134"/>
        <v>0</v>
      </c>
      <c r="AL34" s="2">
        <f t="shared" si="135"/>
        <v>16300</v>
      </c>
    </row>
    <row r="35" spans="1:38" x14ac:dyDescent="0.25">
      <c r="A35" s="15" t="s">
        <v>529</v>
      </c>
      <c r="B35" s="15" t="s">
        <v>202</v>
      </c>
      <c r="C35" s="11">
        <v>5000</v>
      </c>
      <c r="D35" s="10"/>
      <c r="E35" s="11"/>
      <c r="F35" s="12">
        <f t="shared" si="118"/>
        <v>5000</v>
      </c>
      <c r="G35" s="12"/>
      <c r="H35" s="12"/>
      <c r="I35" s="12"/>
      <c r="J35" s="1">
        <f t="shared" si="119"/>
        <v>0</v>
      </c>
      <c r="K35" s="11">
        <f t="shared" si="120"/>
        <v>5000</v>
      </c>
      <c r="L35" s="12">
        <f t="shared" si="121"/>
        <v>0</v>
      </c>
      <c r="M35" s="12">
        <f t="shared" si="122"/>
        <v>0</v>
      </c>
      <c r="N35" s="12">
        <f t="shared" si="123"/>
        <v>5000</v>
      </c>
      <c r="O35" s="2"/>
      <c r="P35" s="2"/>
      <c r="Q35" s="2">
        <v>350</v>
      </c>
      <c r="R35" s="6">
        <f t="shared" si="124"/>
        <v>350</v>
      </c>
      <c r="S35" s="2"/>
      <c r="T35" s="2"/>
      <c r="U35" s="2"/>
      <c r="V35" s="6">
        <f t="shared" si="125"/>
        <v>0</v>
      </c>
      <c r="W35" s="2">
        <f t="shared" si="126"/>
        <v>0</v>
      </c>
      <c r="X35" s="2">
        <f t="shared" si="127"/>
        <v>0</v>
      </c>
      <c r="Y35" s="2">
        <f t="shared" si="128"/>
        <v>350</v>
      </c>
      <c r="Z35" s="2">
        <f t="shared" si="129"/>
        <v>350</v>
      </c>
      <c r="AA35" s="2">
        <f t="shared" si="130"/>
        <v>5000</v>
      </c>
      <c r="AB35" s="2">
        <f t="shared" si="130"/>
        <v>0</v>
      </c>
      <c r="AC35" s="2">
        <f t="shared" si="130"/>
        <v>350</v>
      </c>
      <c r="AD35" s="2">
        <f t="shared" si="131"/>
        <v>5350</v>
      </c>
      <c r="AE35" s="2">
        <f t="shared" si="132"/>
        <v>0</v>
      </c>
      <c r="AF35" s="2">
        <f t="shared" si="132"/>
        <v>0</v>
      </c>
      <c r="AG35" s="2">
        <f t="shared" si="132"/>
        <v>0</v>
      </c>
      <c r="AH35" s="2">
        <f t="shared" si="133"/>
        <v>0</v>
      </c>
      <c r="AI35" s="2">
        <f t="shared" si="134"/>
        <v>5000</v>
      </c>
      <c r="AJ35" s="2">
        <f t="shared" si="134"/>
        <v>0</v>
      </c>
      <c r="AK35" s="2">
        <f t="shared" si="134"/>
        <v>350</v>
      </c>
      <c r="AL35" s="2">
        <f t="shared" si="135"/>
        <v>5350</v>
      </c>
    </row>
    <row r="36" spans="1:38" s="267" customFormat="1" ht="31.5" x14ac:dyDescent="0.25">
      <c r="A36" s="263" t="s">
        <v>816</v>
      </c>
      <c r="B36" s="263" t="s">
        <v>202</v>
      </c>
      <c r="C36" s="8">
        <f t="shared" ref="C36:AL36" si="136">SUM(C33:C35)</f>
        <v>71300</v>
      </c>
      <c r="D36" s="8">
        <f t="shared" si="136"/>
        <v>0</v>
      </c>
      <c r="E36" s="8">
        <f t="shared" si="136"/>
        <v>0</v>
      </c>
      <c r="F36" s="8">
        <f t="shared" si="136"/>
        <v>71300</v>
      </c>
      <c r="G36" s="8">
        <f t="shared" si="136"/>
        <v>-45000</v>
      </c>
      <c r="H36" s="8">
        <f t="shared" si="136"/>
        <v>0</v>
      </c>
      <c r="I36" s="8">
        <f t="shared" si="136"/>
        <v>0</v>
      </c>
      <c r="J36" s="8">
        <f t="shared" si="136"/>
        <v>-45000</v>
      </c>
      <c r="K36" s="8">
        <f t="shared" si="136"/>
        <v>26300</v>
      </c>
      <c r="L36" s="8">
        <f t="shared" si="136"/>
        <v>0</v>
      </c>
      <c r="M36" s="8">
        <f t="shared" si="136"/>
        <v>0</v>
      </c>
      <c r="N36" s="8">
        <f t="shared" si="136"/>
        <v>26300</v>
      </c>
      <c r="O36" s="8">
        <f t="shared" si="136"/>
        <v>0</v>
      </c>
      <c r="P36" s="8">
        <f t="shared" si="136"/>
        <v>0</v>
      </c>
      <c r="Q36" s="8">
        <f t="shared" si="136"/>
        <v>350</v>
      </c>
      <c r="R36" s="8">
        <f t="shared" si="136"/>
        <v>350</v>
      </c>
      <c r="S36" s="8">
        <f t="shared" si="136"/>
        <v>0</v>
      </c>
      <c r="T36" s="8">
        <f t="shared" si="136"/>
        <v>0</v>
      </c>
      <c r="U36" s="8">
        <f t="shared" si="136"/>
        <v>0</v>
      </c>
      <c r="V36" s="8">
        <f t="shared" si="136"/>
        <v>0</v>
      </c>
      <c r="W36" s="8">
        <f t="shared" si="136"/>
        <v>0</v>
      </c>
      <c r="X36" s="8">
        <f t="shared" si="136"/>
        <v>0</v>
      </c>
      <c r="Y36" s="8">
        <f t="shared" si="136"/>
        <v>350</v>
      </c>
      <c r="Z36" s="8">
        <f t="shared" si="136"/>
        <v>350</v>
      </c>
      <c r="AA36" s="8">
        <f t="shared" si="136"/>
        <v>71300</v>
      </c>
      <c r="AB36" s="8">
        <f t="shared" si="136"/>
        <v>0</v>
      </c>
      <c r="AC36" s="8">
        <f t="shared" si="136"/>
        <v>350</v>
      </c>
      <c r="AD36" s="8">
        <f t="shared" si="136"/>
        <v>71650</v>
      </c>
      <c r="AE36" s="8">
        <f t="shared" si="136"/>
        <v>-45000</v>
      </c>
      <c r="AF36" s="8">
        <f t="shared" si="136"/>
        <v>0</v>
      </c>
      <c r="AG36" s="8">
        <f t="shared" si="136"/>
        <v>0</v>
      </c>
      <c r="AH36" s="8">
        <f t="shared" si="136"/>
        <v>-45000</v>
      </c>
      <c r="AI36" s="8">
        <f t="shared" si="136"/>
        <v>26300</v>
      </c>
      <c r="AJ36" s="8">
        <f t="shared" si="136"/>
        <v>0</v>
      </c>
      <c r="AK36" s="8">
        <f t="shared" si="136"/>
        <v>350</v>
      </c>
      <c r="AL36" s="8">
        <f t="shared" si="136"/>
        <v>26650</v>
      </c>
    </row>
    <row r="37" spans="1:38" ht="31.5" x14ac:dyDescent="0.25">
      <c r="A37" s="265" t="s">
        <v>817</v>
      </c>
      <c r="B37" s="265" t="s">
        <v>167</v>
      </c>
      <c r="C37" s="4">
        <f t="shared" ref="C37:AL37" si="137">SUM(C25+C32+C36)</f>
        <v>22965300</v>
      </c>
      <c r="D37" s="4">
        <f t="shared" si="137"/>
        <v>0</v>
      </c>
      <c r="E37" s="4">
        <f t="shared" si="137"/>
        <v>0</v>
      </c>
      <c r="F37" s="4">
        <f t="shared" si="137"/>
        <v>22965300</v>
      </c>
      <c r="G37" s="4">
        <f t="shared" si="137"/>
        <v>-6516302</v>
      </c>
      <c r="H37" s="4">
        <f t="shared" si="137"/>
        <v>0</v>
      </c>
      <c r="I37" s="4">
        <f t="shared" si="137"/>
        <v>0</v>
      </c>
      <c r="J37" s="4">
        <f t="shared" si="137"/>
        <v>-6516302</v>
      </c>
      <c r="K37" s="4">
        <f t="shared" si="137"/>
        <v>16448998</v>
      </c>
      <c r="L37" s="4">
        <f t="shared" si="137"/>
        <v>0</v>
      </c>
      <c r="M37" s="4">
        <f t="shared" si="137"/>
        <v>0</v>
      </c>
      <c r="N37" s="4">
        <f t="shared" si="137"/>
        <v>16448998</v>
      </c>
      <c r="O37" s="4">
        <f t="shared" si="137"/>
        <v>0</v>
      </c>
      <c r="P37" s="4">
        <f t="shared" si="137"/>
        <v>0</v>
      </c>
      <c r="Q37" s="4">
        <f t="shared" si="137"/>
        <v>350</v>
      </c>
      <c r="R37" s="4">
        <f t="shared" si="137"/>
        <v>350</v>
      </c>
      <c r="S37" s="4">
        <f t="shared" si="137"/>
        <v>0</v>
      </c>
      <c r="T37" s="4">
        <f t="shared" si="137"/>
        <v>0</v>
      </c>
      <c r="U37" s="4">
        <f t="shared" si="137"/>
        <v>0</v>
      </c>
      <c r="V37" s="4">
        <f t="shared" si="137"/>
        <v>0</v>
      </c>
      <c r="W37" s="4">
        <f t="shared" si="137"/>
        <v>0</v>
      </c>
      <c r="X37" s="4">
        <f t="shared" si="137"/>
        <v>0</v>
      </c>
      <c r="Y37" s="4">
        <f t="shared" si="137"/>
        <v>350</v>
      </c>
      <c r="Z37" s="4">
        <f t="shared" si="137"/>
        <v>350</v>
      </c>
      <c r="AA37" s="4">
        <f t="shared" si="137"/>
        <v>22965300</v>
      </c>
      <c r="AB37" s="4">
        <f t="shared" si="137"/>
        <v>0</v>
      </c>
      <c r="AC37" s="4">
        <f t="shared" si="137"/>
        <v>350</v>
      </c>
      <c r="AD37" s="4">
        <f t="shared" si="137"/>
        <v>22965650</v>
      </c>
      <c r="AE37" s="4">
        <f t="shared" si="137"/>
        <v>-6516302</v>
      </c>
      <c r="AF37" s="4">
        <f t="shared" si="137"/>
        <v>0</v>
      </c>
      <c r="AG37" s="4">
        <f t="shared" si="137"/>
        <v>0</v>
      </c>
      <c r="AH37" s="4">
        <f t="shared" si="137"/>
        <v>-6516302</v>
      </c>
      <c r="AI37" s="4">
        <f t="shared" si="137"/>
        <v>16448998</v>
      </c>
      <c r="AJ37" s="4">
        <f t="shared" si="137"/>
        <v>0</v>
      </c>
      <c r="AK37" s="4">
        <f t="shared" si="137"/>
        <v>350</v>
      </c>
      <c r="AL37" s="4">
        <f t="shared" si="137"/>
        <v>16449348</v>
      </c>
    </row>
    <row r="38" spans="1:38" x14ac:dyDescent="0.25">
      <c r="A38" s="265" t="s">
        <v>530</v>
      </c>
      <c r="B38" s="265" t="s">
        <v>168</v>
      </c>
      <c r="C38" s="4">
        <v>954091</v>
      </c>
      <c r="D38" s="4">
        <v>380450</v>
      </c>
      <c r="E38" s="4"/>
      <c r="F38" s="4">
        <f t="shared" ref="F38:F43" si="138">SUM(C38:E38)</f>
        <v>1334541</v>
      </c>
      <c r="G38" s="4">
        <f>-32+32-95000+587500-11472+224+2349-25650-3097+634+289</f>
        <v>455777</v>
      </c>
      <c r="H38" s="4">
        <f>-19282-20000-5205-5400+1</f>
        <v>-49886</v>
      </c>
      <c r="I38" s="4"/>
      <c r="J38" s="4">
        <f>SUM(G38:I38)</f>
        <v>405891</v>
      </c>
      <c r="K38" s="4">
        <f t="shared" ref="K38:K43" si="139">SUM(G38+C38)</f>
        <v>1409868</v>
      </c>
      <c r="L38" s="4">
        <f t="shared" ref="L38:L43" si="140">SUM(H38+D38)</f>
        <v>330564</v>
      </c>
      <c r="M38" s="4">
        <f t="shared" ref="M38:M43" si="141">SUM(I38+E38)</f>
        <v>0</v>
      </c>
      <c r="N38" s="4">
        <f t="shared" ref="N38:N43" si="142">SUM(K38:M38)</f>
        <v>1740432</v>
      </c>
      <c r="O38" s="4">
        <v>1092335</v>
      </c>
      <c r="P38" s="4">
        <v>396904</v>
      </c>
      <c r="Q38" s="4">
        <v>0</v>
      </c>
      <c r="R38" s="4">
        <f t="shared" ref="R38:R43" si="143">SUM(O38:Q38)</f>
        <v>1489239</v>
      </c>
      <c r="S38" s="4">
        <v>-11517</v>
      </c>
      <c r="T38" s="4">
        <v>-85389</v>
      </c>
      <c r="U38" s="4">
        <v>0</v>
      </c>
      <c r="V38" s="4">
        <f>SUM(S38:U38)</f>
        <v>-96906</v>
      </c>
      <c r="W38" s="4">
        <f t="shared" ref="W38:W43" si="144">SUM(S38+O38)</f>
        <v>1080818</v>
      </c>
      <c r="X38" s="4">
        <f t="shared" ref="X38:X43" si="145">SUM(T38+P38)</f>
        <v>311515</v>
      </c>
      <c r="Y38" s="4">
        <f t="shared" ref="Y38:Y43" si="146">SUM(Q38+U38)</f>
        <v>0</v>
      </c>
      <c r="Z38" s="4">
        <f t="shared" ref="Z38:Z43" si="147">SUM(W38:Y38)</f>
        <v>1392333</v>
      </c>
      <c r="AA38" s="3">
        <f t="shared" ref="AA38:AC42" si="148">SUM(O38+C38)</f>
        <v>2046426</v>
      </c>
      <c r="AB38" s="3">
        <f t="shared" si="148"/>
        <v>777354</v>
      </c>
      <c r="AC38" s="3">
        <f t="shared" si="148"/>
        <v>0</v>
      </c>
      <c r="AD38" s="3">
        <f>SUM(AA38:AC38)</f>
        <v>2823780</v>
      </c>
      <c r="AE38" s="3">
        <f t="shared" ref="AE38:AG42" si="149">SUM(S38+G38)</f>
        <v>444260</v>
      </c>
      <c r="AF38" s="3">
        <f t="shared" si="149"/>
        <v>-135275</v>
      </c>
      <c r="AG38" s="3">
        <f t="shared" si="149"/>
        <v>0</v>
      </c>
      <c r="AH38" s="3">
        <f t="shared" ref="AH38:AH42" si="150">SUM(AE38:AG38)</f>
        <v>308985</v>
      </c>
      <c r="AI38" s="3">
        <f t="shared" ref="AI38:AK42" si="151">SUM(W38+K38)</f>
        <v>2490686</v>
      </c>
      <c r="AJ38" s="3">
        <f t="shared" si="151"/>
        <v>642079</v>
      </c>
      <c r="AK38" s="3">
        <f t="shared" si="151"/>
        <v>0</v>
      </c>
      <c r="AL38" s="3">
        <f t="shared" ref="AL38:AL42" si="152">SUM(AI38:AK38)</f>
        <v>3132765</v>
      </c>
    </row>
    <row r="39" spans="1:38" x14ac:dyDescent="0.25">
      <c r="A39" s="15" t="s">
        <v>211</v>
      </c>
      <c r="B39" s="15" t="s">
        <v>203</v>
      </c>
      <c r="C39" s="6">
        <v>392732</v>
      </c>
      <c r="D39" s="5">
        <v>34650</v>
      </c>
      <c r="E39" s="64"/>
      <c r="F39" s="5">
        <f t="shared" si="138"/>
        <v>427382</v>
      </c>
      <c r="G39" s="6">
        <f>-95000+587500-32</f>
        <v>492468</v>
      </c>
      <c r="H39" s="6">
        <v>0</v>
      </c>
      <c r="I39" s="6"/>
      <c r="J39" s="6">
        <f>SUM(G39:I39)</f>
        <v>492468</v>
      </c>
      <c r="K39" s="6">
        <f t="shared" si="139"/>
        <v>885200</v>
      </c>
      <c r="L39" s="6">
        <f t="shared" si="140"/>
        <v>34650</v>
      </c>
      <c r="M39" s="6">
        <f t="shared" si="141"/>
        <v>0</v>
      </c>
      <c r="N39" s="7">
        <f t="shared" si="142"/>
        <v>919850</v>
      </c>
      <c r="O39" s="6"/>
      <c r="P39" s="6"/>
      <c r="Q39" s="6"/>
      <c r="R39" s="6">
        <f t="shared" si="143"/>
        <v>0</v>
      </c>
      <c r="S39" s="6"/>
      <c r="T39" s="6"/>
      <c r="U39" s="6"/>
      <c r="V39" s="6">
        <f>SUM(S39:U39)</f>
        <v>0</v>
      </c>
      <c r="W39" s="6">
        <f t="shared" si="144"/>
        <v>0</v>
      </c>
      <c r="X39" s="6">
        <f t="shared" si="145"/>
        <v>0</v>
      </c>
      <c r="Y39" s="6">
        <f t="shared" si="146"/>
        <v>0</v>
      </c>
      <c r="Z39" s="6">
        <f t="shared" si="147"/>
        <v>0</v>
      </c>
      <c r="AA39" s="2">
        <f t="shared" si="148"/>
        <v>392732</v>
      </c>
      <c r="AB39" s="2">
        <f t="shared" si="148"/>
        <v>34650</v>
      </c>
      <c r="AC39" s="2">
        <f t="shared" si="148"/>
        <v>0</v>
      </c>
      <c r="AD39" s="2">
        <f>SUM(AA39:AC39)</f>
        <v>427382</v>
      </c>
      <c r="AE39" s="2">
        <f t="shared" si="149"/>
        <v>492468</v>
      </c>
      <c r="AF39" s="2">
        <f t="shared" si="149"/>
        <v>0</v>
      </c>
      <c r="AG39" s="2">
        <f t="shared" si="149"/>
        <v>0</v>
      </c>
      <c r="AH39" s="2">
        <f t="shared" si="150"/>
        <v>492468</v>
      </c>
      <c r="AI39" s="2">
        <f t="shared" si="151"/>
        <v>885200</v>
      </c>
      <c r="AJ39" s="2">
        <f t="shared" si="151"/>
        <v>34650</v>
      </c>
      <c r="AK39" s="2">
        <f t="shared" si="151"/>
        <v>0</v>
      </c>
      <c r="AL39" s="2">
        <f t="shared" si="152"/>
        <v>919850</v>
      </c>
    </row>
    <row r="40" spans="1:38" x14ac:dyDescent="0.25">
      <c r="A40" s="15" t="s">
        <v>1297</v>
      </c>
      <c r="B40" s="15" t="s">
        <v>203</v>
      </c>
      <c r="C40" s="6"/>
      <c r="D40" s="5"/>
      <c r="E40" s="64"/>
      <c r="F40" s="5">
        <f t="shared" si="138"/>
        <v>0</v>
      </c>
      <c r="G40" s="6">
        <v>587500</v>
      </c>
      <c r="H40" s="6"/>
      <c r="I40" s="6"/>
      <c r="J40" s="6">
        <f>SUM(G40:I40)</f>
        <v>587500</v>
      </c>
      <c r="K40" s="6">
        <f t="shared" ref="K40" si="153">SUM(G40+C40)</f>
        <v>587500</v>
      </c>
      <c r="L40" s="6">
        <f t="shared" ref="L40" si="154">SUM(H40+D40)</f>
        <v>0</v>
      </c>
      <c r="M40" s="6">
        <f t="shared" ref="M40" si="155">SUM(I40+E40)</f>
        <v>0</v>
      </c>
      <c r="N40" s="7">
        <f t="shared" ref="N40" si="156">SUM(K40:M40)</f>
        <v>587500</v>
      </c>
      <c r="O40" s="6"/>
      <c r="P40" s="6"/>
      <c r="Q40" s="6"/>
      <c r="R40" s="6">
        <f t="shared" si="143"/>
        <v>0</v>
      </c>
      <c r="S40" s="6"/>
      <c r="T40" s="6"/>
      <c r="U40" s="6"/>
      <c r="V40" s="6">
        <f>SUM(S40:U40)</f>
        <v>0</v>
      </c>
      <c r="W40" s="6"/>
      <c r="X40" s="6"/>
      <c r="Y40" s="6"/>
      <c r="Z40" s="6">
        <f t="shared" si="147"/>
        <v>0</v>
      </c>
      <c r="AA40" s="2">
        <f t="shared" ref="AA40" si="157">SUM(O40+C40)</f>
        <v>0</v>
      </c>
      <c r="AB40" s="2">
        <f t="shared" ref="AB40" si="158">SUM(P40+D40)</f>
        <v>0</v>
      </c>
      <c r="AC40" s="2">
        <f t="shared" ref="AC40" si="159">SUM(Q40+E40)</f>
        <v>0</v>
      </c>
      <c r="AD40" s="2">
        <f>SUM(AA40:AC40)</f>
        <v>0</v>
      </c>
      <c r="AE40" s="2">
        <f t="shared" ref="AE40" si="160">SUM(S40+G40)</f>
        <v>587500</v>
      </c>
      <c r="AF40" s="2">
        <f t="shared" ref="AF40" si="161">SUM(T40+H40)</f>
        <v>0</v>
      </c>
      <c r="AG40" s="2">
        <f t="shared" ref="AG40" si="162">SUM(U40+I40)</f>
        <v>0</v>
      </c>
      <c r="AH40" s="2">
        <f t="shared" ref="AH40" si="163">SUM(AE40:AG40)</f>
        <v>587500</v>
      </c>
      <c r="AI40" s="2">
        <f t="shared" ref="AI40" si="164">SUM(W40+K40)</f>
        <v>587500</v>
      </c>
      <c r="AJ40" s="2">
        <f t="shared" ref="AJ40" si="165">SUM(X40+L40)</f>
        <v>0</v>
      </c>
      <c r="AK40" s="2">
        <f t="shared" ref="AK40" si="166">SUM(Y40+M40)</f>
        <v>0</v>
      </c>
      <c r="AL40" s="2">
        <f t="shared" ref="AL40" si="167">SUM(AI40:AK40)</f>
        <v>587500</v>
      </c>
    </row>
    <row r="41" spans="1:38" ht="31.5" x14ac:dyDescent="0.25">
      <c r="A41" s="585" t="s">
        <v>212</v>
      </c>
      <c r="B41" s="15" t="s">
        <v>213</v>
      </c>
      <c r="C41" s="6">
        <v>139813</v>
      </c>
      <c r="D41" s="5">
        <v>80783</v>
      </c>
      <c r="E41" s="64"/>
      <c r="F41" s="5">
        <f t="shared" si="138"/>
        <v>220596</v>
      </c>
      <c r="G41" s="6">
        <f>-25650-3097+634</f>
        <v>-28113</v>
      </c>
      <c r="H41" s="6">
        <f>-5205-5400</f>
        <v>-10605</v>
      </c>
      <c r="I41" s="6"/>
      <c r="J41" s="6">
        <f t="shared" ref="J41:J43" si="168">SUM(G41:I41)</f>
        <v>-38718</v>
      </c>
      <c r="K41" s="6">
        <f t="shared" si="139"/>
        <v>111700</v>
      </c>
      <c r="L41" s="6">
        <f t="shared" si="140"/>
        <v>70178</v>
      </c>
      <c r="M41" s="6">
        <f t="shared" si="141"/>
        <v>0</v>
      </c>
      <c r="N41" s="7">
        <f t="shared" si="142"/>
        <v>181878</v>
      </c>
      <c r="O41" s="6">
        <v>313146</v>
      </c>
      <c r="P41" s="6">
        <v>132720</v>
      </c>
      <c r="Q41" s="6"/>
      <c r="R41" s="6">
        <f t="shared" si="143"/>
        <v>445866</v>
      </c>
      <c r="S41" s="6">
        <v>-2449</v>
      </c>
      <c r="T41" s="6">
        <v>-25339</v>
      </c>
      <c r="U41" s="6">
        <v>0</v>
      </c>
      <c r="V41" s="6">
        <f t="shared" ref="V41:V43" si="169">SUM(S41:U41)</f>
        <v>-27788</v>
      </c>
      <c r="W41" s="6">
        <f t="shared" si="144"/>
        <v>310697</v>
      </c>
      <c r="X41" s="6">
        <f t="shared" si="145"/>
        <v>107381</v>
      </c>
      <c r="Y41" s="6">
        <f t="shared" si="146"/>
        <v>0</v>
      </c>
      <c r="Z41" s="6">
        <f t="shared" si="147"/>
        <v>418078</v>
      </c>
      <c r="AA41" s="2">
        <f t="shared" si="148"/>
        <v>452959</v>
      </c>
      <c r="AB41" s="2">
        <f t="shared" si="148"/>
        <v>213503</v>
      </c>
      <c r="AC41" s="2">
        <f t="shared" si="148"/>
        <v>0</v>
      </c>
      <c r="AD41" s="2">
        <f>SUM(AA41:AC41)</f>
        <v>666462</v>
      </c>
      <c r="AE41" s="2">
        <f t="shared" si="149"/>
        <v>-30562</v>
      </c>
      <c r="AF41" s="2">
        <f t="shared" si="149"/>
        <v>-35944</v>
      </c>
      <c r="AG41" s="2">
        <f t="shared" si="149"/>
        <v>0</v>
      </c>
      <c r="AH41" s="2">
        <f t="shared" si="150"/>
        <v>-66506</v>
      </c>
      <c r="AI41" s="2">
        <f t="shared" si="151"/>
        <v>422397</v>
      </c>
      <c r="AJ41" s="2">
        <f t="shared" si="151"/>
        <v>177559</v>
      </c>
      <c r="AK41" s="2">
        <f t="shared" si="151"/>
        <v>0</v>
      </c>
      <c r="AL41" s="2">
        <f t="shared" si="152"/>
        <v>599956</v>
      </c>
    </row>
    <row r="42" spans="1:38" x14ac:dyDescent="0.25">
      <c r="A42" s="585" t="s">
        <v>214</v>
      </c>
      <c r="B42" s="15" t="s">
        <v>204</v>
      </c>
      <c r="C42" s="6"/>
      <c r="D42" s="5"/>
      <c r="E42" s="64"/>
      <c r="F42" s="5">
        <f t="shared" si="138"/>
        <v>0</v>
      </c>
      <c r="G42" s="6"/>
      <c r="H42" s="6"/>
      <c r="I42" s="6"/>
      <c r="J42" s="6">
        <f t="shared" si="168"/>
        <v>0</v>
      </c>
      <c r="K42" s="6">
        <f t="shared" si="139"/>
        <v>0</v>
      </c>
      <c r="L42" s="6">
        <f t="shared" si="140"/>
        <v>0</v>
      </c>
      <c r="M42" s="6">
        <f t="shared" si="141"/>
        <v>0</v>
      </c>
      <c r="N42" s="7">
        <f t="shared" si="142"/>
        <v>0</v>
      </c>
      <c r="O42" s="6"/>
      <c r="P42" s="6"/>
      <c r="Q42" s="6"/>
      <c r="R42" s="6">
        <f t="shared" si="143"/>
        <v>0</v>
      </c>
      <c r="S42" s="6"/>
      <c r="T42" s="6"/>
      <c r="U42" s="6"/>
      <c r="V42" s="6">
        <f t="shared" si="169"/>
        <v>0</v>
      </c>
      <c r="W42" s="6">
        <f t="shared" si="144"/>
        <v>0</v>
      </c>
      <c r="X42" s="6">
        <f t="shared" si="145"/>
        <v>0</v>
      </c>
      <c r="Y42" s="6">
        <f t="shared" si="146"/>
        <v>0</v>
      </c>
      <c r="Z42" s="6">
        <f t="shared" si="147"/>
        <v>0</v>
      </c>
      <c r="AA42" s="2">
        <f t="shared" si="148"/>
        <v>0</v>
      </c>
      <c r="AB42" s="2">
        <f t="shared" si="148"/>
        <v>0</v>
      </c>
      <c r="AC42" s="2">
        <f t="shared" si="148"/>
        <v>0</v>
      </c>
      <c r="AD42" s="2">
        <f>SUM(AA42:AC42)</f>
        <v>0</v>
      </c>
      <c r="AE42" s="2">
        <f t="shared" si="149"/>
        <v>0</v>
      </c>
      <c r="AF42" s="2">
        <f t="shared" si="149"/>
        <v>0</v>
      </c>
      <c r="AG42" s="2">
        <f t="shared" si="149"/>
        <v>0</v>
      </c>
      <c r="AH42" s="2">
        <f t="shared" si="150"/>
        <v>0</v>
      </c>
      <c r="AI42" s="2">
        <f t="shared" si="151"/>
        <v>0</v>
      </c>
      <c r="AJ42" s="2">
        <f t="shared" si="151"/>
        <v>0</v>
      </c>
      <c r="AK42" s="2">
        <f t="shared" si="151"/>
        <v>0</v>
      </c>
      <c r="AL42" s="2">
        <f t="shared" si="152"/>
        <v>0</v>
      </c>
    </row>
    <row r="43" spans="1:38" ht="30.75" customHeight="1" x14ac:dyDescent="0.25">
      <c r="A43" s="270" t="s">
        <v>531</v>
      </c>
      <c r="B43" s="270" t="s">
        <v>205</v>
      </c>
      <c r="C43" s="586">
        <v>205000</v>
      </c>
      <c r="D43" s="587"/>
      <c r="E43" s="586"/>
      <c r="F43" s="588">
        <f t="shared" si="138"/>
        <v>205000</v>
      </c>
      <c r="G43" s="588"/>
      <c r="H43" s="588"/>
      <c r="I43" s="586"/>
      <c r="J43" s="6">
        <f t="shared" si="168"/>
        <v>0</v>
      </c>
      <c r="K43" s="586">
        <f t="shared" si="139"/>
        <v>205000</v>
      </c>
      <c r="L43" s="588">
        <f t="shared" si="140"/>
        <v>0</v>
      </c>
      <c r="M43" s="588">
        <f t="shared" si="141"/>
        <v>0</v>
      </c>
      <c r="N43" s="588">
        <f t="shared" si="142"/>
        <v>205000</v>
      </c>
      <c r="O43" s="586"/>
      <c r="P43" s="586"/>
      <c r="Q43" s="586"/>
      <c r="R43" s="6">
        <f t="shared" si="143"/>
        <v>0</v>
      </c>
      <c r="S43" s="6"/>
      <c r="T43" s="6"/>
      <c r="U43" s="6"/>
      <c r="V43" s="6">
        <f t="shared" si="169"/>
        <v>0</v>
      </c>
      <c r="W43" s="6">
        <f t="shared" si="144"/>
        <v>0</v>
      </c>
      <c r="X43" s="6">
        <f t="shared" si="145"/>
        <v>0</v>
      </c>
      <c r="Y43" s="6">
        <f t="shared" si="146"/>
        <v>0</v>
      </c>
      <c r="Z43" s="6">
        <f t="shared" si="147"/>
        <v>0</v>
      </c>
      <c r="AA43" s="3">
        <f>SUM(C43+O43)</f>
        <v>205000</v>
      </c>
      <c r="AB43" s="3">
        <f>SUM(D43+P43)</f>
        <v>0</v>
      </c>
      <c r="AC43" s="3">
        <f>SUM(E43+Q43)</f>
        <v>0</v>
      </c>
      <c r="AD43" s="3">
        <f>SUM(F43+R43)</f>
        <v>205000</v>
      </c>
      <c r="AE43" s="3">
        <f t="shared" ref="AE43:AL43" si="170">SUM(G43+S43)</f>
        <v>0</v>
      </c>
      <c r="AF43" s="3">
        <f t="shared" si="170"/>
        <v>0</v>
      </c>
      <c r="AG43" s="3">
        <f t="shared" si="170"/>
        <v>0</v>
      </c>
      <c r="AH43" s="3">
        <f t="shared" si="170"/>
        <v>0</v>
      </c>
      <c r="AI43" s="3">
        <f t="shared" si="170"/>
        <v>205000</v>
      </c>
      <c r="AJ43" s="3">
        <f t="shared" si="170"/>
        <v>0</v>
      </c>
      <c r="AK43" s="3">
        <f t="shared" si="170"/>
        <v>0</v>
      </c>
      <c r="AL43" s="3">
        <f t="shared" si="170"/>
        <v>205000</v>
      </c>
    </row>
    <row r="44" spans="1:38" x14ac:dyDescent="0.25">
      <c r="A44" s="271" t="s">
        <v>532</v>
      </c>
      <c r="B44" s="271" t="s">
        <v>169</v>
      </c>
      <c r="C44" s="3">
        <f t="shared" ref="C44:F44" si="171">SUM(C43:C43)</f>
        <v>205000</v>
      </c>
      <c r="D44" s="3">
        <f t="shared" si="171"/>
        <v>0</v>
      </c>
      <c r="E44" s="3">
        <f t="shared" si="171"/>
        <v>0</v>
      </c>
      <c r="F44" s="3">
        <f t="shared" si="171"/>
        <v>205000</v>
      </c>
      <c r="G44" s="3">
        <f t="shared" ref="G44:AD44" si="172">SUM(G43:G43)</f>
        <v>0</v>
      </c>
      <c r="H44" s="3">
        <f t="shared" si="172"/>
        <v>0</v>
      </c>
      <c r="I44" s="3">
        <f t="shared" si="172"/>
        <v>0</v>
      </c>
      <c r="J44" s="3">
        <f t="shared" si="172"/>
        <v>0</v>
      </c>
      <c r="K44" s="3">
        <f t="shared" si="172"/>
        <v>205000</v>
      </c>
      <c r="L44" s="3">
        <f t="shared" si="172"/>
        <v>0</v>
      </c>
      <c r="M44" s="3">
        <f t="shared" si="172"/>
        <v>0</v>
      </c>
      <c r="N44" s="3">
        <f t="shared" si="172"/>
        <v>205000</v>
      </c>
      <c r="O44" s="3">
        <f t="shared" si="172"/>
        <v>0</v>
      </c>
      <c r="P44" s="3">
        <f t="shared" si="172"/>
        <v>0</v>
      </c>
      <c r="Q44" s="3">
        <f t="shared" si="172"/>
        <v>0</v>
      </c>
      <c r="R44" s="3">
        <f t="shared" si="172"/>
        <v>0</v>
      </c>
      <c r="S44" s="3">
        <f t="shared" si="172"/>
        <v>0</v>
      </c>
      <c r="T44" s="3">
        <f t="shared" si="172"/>
        <v>0</v>
      </c>
      <c r="U44" s="3">
        <f t="shared" si="172"/>
        <v>0</v>
      </c>
      <c r="V44" s="3">
        <f t="shared" si="172"/>
        <v>0</v>
      </c>
      <c r="W44" s="3">
        <f t="shared" si="172"/>
        <v>0</v>
      </c>
      <c r="X44" s="3">
        <f t="shared" si="172"/>
        <v>0</v>
      </c>
      <c r="Y44" s="3">
        <f t="shared" si="172"/>
        <v>0</v>
      </c>
      <c r="Z44" s="3">
        <f t="shared" si="172"/>
        <v>0</v>
      </c>
      <c r="AA44" s="3">
        <f t="shared" si="172"/>
        <v>205000</v>
      </c>
      <c r="AB44" s="3">
        <f t="shared" si="172"/>
        <v>0</v>
      </c>
      <c r="AC44" s="3">
        <f t="shared" si="172"/>
        <v>0</v>
      </c>
      <c r="AD44" s="3">
        <f t="shared" si="172"/>
        <v>205000</v>
      </c>
      <c r="AE44" s="3">
        <f t="shared" ref="AE44:AL44" si="173">SUM(AE43:AE43)</f>
        <v>0</v>
      </c>
      <c r="AF44" s="3">
        <f t="shared" si="173"/>
        <v>0</v>
      </c>
      <c r="AG44" s="3">
        <f t="shared" si="173"/>
        <v>0</v>
      </c>
      <c r="AH44" s="3">
        <f t="shared" si="173"/>
        <v>0</v>
      </c>
      <c r="AI44" s="3">
        <f t="shared" si="173"/>
        <v>205000</v>
      </c>
      <c r="AJ44" s="3">
        <f t="shared" si="173"/>
        <v>0</v>
      </c>
      <c r="AK44" s="3">
        <f t="shared" si="173"/>
        <v>0</v>
      </c>
      <c r="AL44" s="3">
        <f t="shared" si="173"/>
        <v>205000</v>
      </c>
    </row>
    <row r="45" spans="1:38" x14ac:dyDescent="0.25">
      <c r="A45" s="272" t="s">
        <v>533</v>
      </c>
      <c r="B45" s="272" t="s">
        <v>170</v>
      </c>
      <c r="C45" s="18"/>
      <c r="D45" s="17">
        <f>6570+61100</f>
        <v>67670</v>
      </c>
      <c r="E45" s="18"/>
      <c r="F45" s="19">
        <f>SUM(C45:E45)</f>
        <v>67670</v>
      </c>
      <c r="G45" s="19">
        <f>22109+12013+23493</f>
        <v>57615</v>
      </c>
      <c r="H45" s="19">
        <f>400</f>
        <v>400</v>
      </c>
      <c r="I45" s="19"/>
      <c r="J45" s="19">
        <f>SUM(G45:I45)</f>
        <v>58015</v>
      </c>
      <c r="K45" s="18">
        <f t="shared" ref="K45:K46" si="174">SUM(G45+C45)</f>
        <v>57615</v>
      </c>
      <c r="L45" s="19">
        <f t="shared" ref="L45:L46" si="175">SUM(H45+D45)</f>
        <v>68070</v>
      </c>
      <c r="M45" s="19">
        <f t="shared" ref="M45:M46" si="176">SUM(I45+E45)</f>
        <v>0</v>
      </c>
      <c r="N45" s="19">
        <f t="shared" ref="N45:N46" si="177">SUM(K45:M45)</f>
        <v>125685</v>
      </c>
      <c r="O45" s="18">
        <v>0</v>
      </c>
      <c r="P45" s="18">
        <v>165000</v>
      </c>
      <c r="Q45" s="18">
        <v>0</v>
      </c>
      <c r="R45" s="18">
        <f>SUM(O45:Q45)</f>
        <v>165000</v>
      </c>
      <c r="S45" s="18"/>
      <c r="T45" s="18">
        <v>-164950</v>
      </c>
      <c r="U45" s="18"/>
      <c r="V45" s="18">
        <f>SUM(S45:U45)</f>
        <v>-164950</v>
      </c>
      <c r="W45" s="18">
        <f t="shared" ref="W45:W46" si="178">SUM(S45+O45)</f>
        <v>0</v>
      </c>
      <c r="X45" s="18">
        <f t="shared" ref="X45:X46" si="179">SUM(T45+P45)</f>
        <v>50</v>
      </c>
      <c r="Y45" s="18">
        <f t="shared" ref="Y45:Y46" si="180">SUM(Q45+U45)</f>
        <v>0</v>
      </c>
      <c r="Z45" s="18">
        <f t="shared" ref="Z45:Z46" si="181">SUM(W45:Y45)</f>
        <v>50</v>
      </c>
      <c r="AA45" s="3">
        <f t="shared" ref="AA45:AD46" si="182">SUM(C45+O45)</f>
        <v>0</v>
      </c>
      <c r="AB45" s="3">
        <f t="shared" si="182"/>
        <v>232670</v>
      </c>
      <c r="AC45" s="3">
        <f t="shared" si="182"/>
        <v>0</v>
      </c>
      <c r="AD45" s="3">
        <f t="shared" si="182"/>
        <v>232670</v>
      </c>
      <c r="AE45" s="3">
        <f t="shared" ref="AE45:AL46" si="183">SUM(G45+S45)</f>
        <v>57615</v>
      </c>
      <c r="AF45" s="3">
        <f t="shared" si="183"/>
        <v>-164550</v>
      </c>
      <c r="AG45" s="3">
        <f t="shared" si="183"/>
        <v>0</v>
      </c>
      <c r="AH45" s="3">
        <f t="shared" si="183"/>
        <v>-106935</v>
      </c>
      <c r="AI45" s="3">
        <f t="shared" si="183"/>
        <v>57615</v>
      </c>
      <c r="AJ45" s="3">
        <f t="shared" si="183"/>
        <v>68120</v>
      </c>
      <c r="AK45" s="3">
        <f t="shared" si="183"/>
        <v>0</v>
      </c>
      <c r="AL45" s="3">
        <f t="shared" si="183"/>
        <v>125735</v>
      </c>
    </row>
    <row r="46" spans="1:38" ht="16.5" thickBot="1" x14ac:dyDescent="0.3">
      <c r="A46" s="268" t="s">
        <v>534</v>
      </c>
      <c r="B46" s="268" t="s">
        <v>171</v>
      </c>
      <c r="C46" s="79">
        <v>3911</v>
      </c>
      <c r="D46" s="80">
        <v>22185</v>
      </c>
      <c r="E46" s="79"/>
      <c r="F46" s="81">
        <f>SUM(C46:E46)</f>
        <v>26096</v>
      </c>
      <c r="G46" s="81"/>
      <c r="H46" s="81">
        <v>315</v>
      </c>
      <c r="I46" s="81"/>
      <c r="J46" s="81">
        <f>SUM(G46:I46)</f>
        <v>315</v>
      </c>
      <c r="K46" s="79">
        <f t="shared" si="174"/>
        <v>3911</v>
      </c>
      <c r="L46" s="81">
        <f t="shared" si="175"/>
        <v>22500</v>
      </c>
      <c r="M46" s="81">
        <f t="shared" si="176"/>
        <v>0</v>
      </c>
      <c r="N46" s="81">
        <f t="shared" si="177"/>
        <v>26411</v>
      </c>
      <c r="O46" s="79">
        <v>0</v>
      </c>
      <c r="P46" s="79">
        <v>0</v>
      </c>
      <c r="Q46" s="79">
        <v>0</v>
      </c>
      <c r="R46" s="18">
        <f>SUM(O46:Q46)</f>
        <v>0</v>
      </c>
      <c r="S46" s="143"/>
      <c r="T46" s="143"/>
      <c r="U46" s="143"/>
      <c r="V46" s="143">
        <f>SUM(S46:U46)</f>
        <v>0</v>
      </c>
      <c r="W46" s="143">
        <f t="shared" si="178"/>
        <v>0</v>
      </c>
      <c r="X46" s="143">
        <f t="shared" si="179"/>
        <v>0</v>
      </c>
      <c r="Y46" s="143">
        <f t="shared" si="180"/>
        <v>0</v>
      </c>
      <c r="Z46" s="143">
        <f t="shared" si="181"/>
        <v>0</v>
      </c>
      <c r="AA46" s="23">
        <f t="shared" si="182"/>
        <v>3911</v>
      </c>
      <c r="AB46" s="23">
        <f t="shared" si="182"/>
        <v>22185</v>
      </c>
      <c r="AC46" s="23">
        <f t="shared" si="182"/>
        <v>0</v>
      </c>
      <c r="AD46" s="23">
        <f t="shared" si="182"/>
        <v>26096</v>
      </c>
      <c r="AE46" s="23">
        <f t="shared" si="183"/>
        <v>0</v>
      </c>
      <c r="AF46" s="23">
        <f t="shared" si="183"/>
        <v>315</v>
      </c>
      <c r="AG46" s="23">
        <f t="shared" si="183"/>
        <v>0</v>
      </c>
      <c r="AH46" s="23">
        <f t="shared" si="183"/>
        <v>315</v>
      </c>
      <c r="AI46" s="23">
        <f t="shared" si="183"/>
        <v>3911</v>
      </c>
      <c r="AJ46" s="23">
        <f t="shared" si="183"/>
        <v>22500</v>
      </c>
      <c r="AK46" s="23">
        <f t="shared" si="183"/>
        <v>0</v>
      </c>
      <c r="AL46" s="23">
        <f t="shared" si="183"/>
        <v>26411</v>
      </c>
    </row>
    <row r="47" spans="1:38" ht="33" thickTop="1" thickBot="1" x14ac:dyDescent="0.3">
      <c r="A47" s="273" t="s">
        <v>535</v>
      </c>
      <c r="B47" s="273"/>
      <c r="C47" s="26">
        <f t="shared" ref="C47:AL47" si="184">SUM(C45+C38+C37+C20)</f>
        <v>28475413</v>
      </c>
      <c r="D47" s="26">
        <f t="shared" si="184"/>
        <v>807702</v>
      </c>
      <c r="E47" s="26">
        <f t="shared" si="184"/>
        <v>0</v>
      </c>
      <c r="F47" s="26">
        <f t="shared" si="184"/>
        <v>29283115</v>
      </c>
      <c r="G47" s="26">
        <f t="shared" si="184"/>
        <v>-5895170</v>
      </c>
      <c r="H47" s="26">
        <f t="shared" si="184"/>
        <v>148717</v>
      </c>
      <c r="I47" s="26">
        <f t="shared" si="184"/>
        <v>0</v>
      </c>
      <c r="J47" s="26">
        <f t="shared" si="184"/>
        <v>-5746453</v>
      </c>
      <c r="K47" s="26">
        <f t="shared" si="184"/>
        <v>22580243</v>
      </c>
      <c r="L47" s="26">
        <f t="shared" si="184"/>
        <v>956419</v>
      </c>
      <c r="M47" s="26">
        <f t="shared" si="184"/>
        <v>0</v>
      </c>
      <c r="N47" s="26">
        <f t="shared" si="184"/>
        <v>23536662</v>
      </c>
      <c r="O47" s="26">
        <f t="shared" si="184"/>
        <v>1603268</v>
      </c>
      <c r="P47" s="26">
        <f t="shared" si="184"/>
        <v>732373</v>
      </c>
      <c r="Q47" s="26">
        <f t="shared" si="184"/>
        <v>74667</v>
      </c>
      <c r="R47" s="26">
        <f t="shared" si="184"/>
        <v>2410308</v>
      </c>
      <c r="S47" s="26">
        <f t="shared" si="184"/>
        <v>455654</v>
      </c>
      <c r="T47" s="26">
        <f t="shared" si="184"/>
        <v>-188336</v>
      </c>
      <c r="U47" s="26">
        <f t="shared" si="184"/>
        <v>0</v>
      </c>
      <c r="V47" s="26">
        <f t="shared" si="184"/>
        <v>267318</v>
      </c>
      <c r="W47" s="26">
        <f t="shared" si="184"/>
        <v>2058922</v>
      </c>
      <c r="X47" s="26">
        <f t="shared" si="184"/>
        <v>544037</v>
      </c>
      <c r="Y47" s="26">
        <f t="shared" si="184"/>
        <v>74667</v>
      </c>
      <c r="Z47" s="26">
        <f t="shared" si="184"/>
        <v>2677626</v>
      </c>
      <c r="AA47" s="26">
        <f t="shared" si="184"/>
        <v>30078681</v>
      </c>
      <c r="AB47" s="26">
        <f t="shared" si="184"/>
        <v>1540075</v>
      </c>
      <c r="AC47" s="26">
        <f t="shared" si="184"/>
        <v>74667</v>
      </c>
      <c r="AD47" s="26">
        <f t="shared" si="184"/>
        <v>31693423</v>
      </c>
      <c r="AE47" s="26">
        <f t="shared" si="184"/>
        <v>-5439516</v>
      </c>
      <c r="AF47" s="26">
        <f t="shared" si="184"/>
        <v>-39619</v>
      </c>
      <c r="AG47" s="26">
        <f t="shared" si="184"/>
        <v>0</v>
      </c>
      <c r="AH47" s="26">
        <f t="shared" si="184"/>
        <v>-5479135</v>
      </c>
      <c r="AI47" s="26">
        <f t="shared" si="184"/>
        <v>24639165</v>
      </c>
      <c r="AJ47" s="26">
        <f t="shared" si="184"/>
        <v>1500456</v>
      </c>
      <c r="AK47" s="26">
        <f t="shared" si="184"/>
        <v>74667</v>
      </c>
      <c r="AL47" s="26">
        <f t="shared" si="184"/>
        <v>26214288</v>
      </c>
    </row>
    <row r="48" spans="1:38" ht="33" thickTop="1" thickBot="1" x14ac:dyDescent="0.3">
      <c r="A48" s="273" t="s">
        <v>536</v>
      </c>
      <c r="B48" s="273"/>
      <c r="C48" s="26">
        <f t="shared" ref="C48:AL48" si="185">SUM(C23+C44+C46)</f>
        <v>8966717</v>
      </c>
      <c r="D48" s="26">
        <f t="shared" si="185"/>
        <v>1869470</v>
      </c>
      <c r="E48" s="26">
        <f t="shared" si="185"/>
        <v>0</v>
      </c>
      <c r="F48" s="26">
        <f t="shared" si="185"/>
        <v>10836187</v>
      </c>
      <c r="G48" s="26">
        <f t="shared" si="185"/>
        <v>-255</v>
      </c>
      <c r="H48" s="26">
        <f t="shared" si="185"/>
        <v>315</v>
      </c>
      <c r="I48" s="26">
        <f t="shared" si="185"/>
        <v>0</v>
      </c>
      <c r="J48" s="26">
        <f t="shared" si="185"/>
        <v>60</v>
      </c>
      <c r="K48" s="26">
        <f t="shared" si="185"/>
        <v>8966462</v>
      </c>
      <c r="L48" s="26">
        <f t="shared" si="185"/>
        <v>1869785</v>
      </c>
      <c r="M48" s="26">
        <f t="shared" si="185"/>
        <v>0</v>
      </c>
      <c r="N48" s="26">
        <f t="shared" si="185"/>
        <v>10836247</v>
      </c>
      <c r="O48" s="26">
        <f t="shared" si="185"/>
        <v>0</v>
      </c>
      <c r="P48" s="26">
        <f t="shared" si="185"/>
        <v>0</v>
      </c>
      <c r="Q48" s="26">
        <f t="shared" si="185"/>
        <v>0</v>
      </c>
      <c r="R48" s="26">
        <f t="shared" si="185"/>
        <v>0</v>
      </c>
      <c r="S48" s="26">
        <f t="shared" si="185"/>
        <v>0</v>
      </c>
      <c r="T48" s="26">
        <f t="shared" si="185"/>
        <v>0</v>
      </c>
      <c r="U48" s="26">
        <f t="shared" si="185"/>
        <v>0</v>
      </c>
      <c r="V48" s="26">
        <f t="shared" si="185"/>
        <v>0</v>
      </c>
      <c r="W48" s="26">
        <f t="shared" si="185"/>
        <v>0</v>
      </c>
      <c r="X48" s="26">
        <f t="shared" si="185"/>
        <v>0</v>
      </c>
      <c r="Y48" s="26">
        <f t="shared" si="185"/>
        <v>0</v>
      </c>
      <c r="Z48" s="26">
        <f t="shared" si="185"/>
        <v>0</v>
      </c>
      <c r="AA48" s="26">
        <f t="shared" si="185"/>
        <v>8966717</v>
      </c>
      <c r="AB48" s="26">
        <f t="shared" si="185"/>
        <v>1869470</v>
      </c>
      <c r="AC48" s="26">
        <f t="shared" si="185"/>
        <v>0</v>
      </c>
      <c r="AD48" s="26">
        <f t="shared" si="185"/>
        <v>10836187</v>
      </c>
      <c r="AE48" s="26">
        <f t="shared" si="185"/>
        <v>-255</v>
      </c>
      <c r="AF48" s="26">
        <f t="shared" si="185"/>
        <v>315</v>
      </c>
      <c r="AG48" s="26">
        <f t="shared" si="185"/>
        <v>0</v>
      </c>
      <c r="AH48" s="26">
        <f t="shared" si="185"/>
        <v>60</v>
      </c>
      <c r="AI48" s="26">
        <f t="shared" si="185"/>
        <v>8966462</v>
      </c>
      <c r="AJ48" s="26">
        <f t="shared" si="185"/>
        <v>1869785</v>
      </c>
      <c r="AK48" s="26">
        <f t="shared" si="185"/>
        <v>0</v>
      </c>
      <c r="AL48" s="26">
        <f t="shared" si="185"/>
        <v>10836247</v>
      </c>
    </row>
    <row r="49" spans="1:38" ht="33" thickTop="1" thickBot="1" x14ac:dyDescent="0.3">
      <c r="A49" s="273" t="s">
        <v>537</v>
      </c>
      <c r="B49" s="273" t="s">
        <v>274</v>
      </c>
      <c r="C49" s="20">
        <f>SUM(C47+C48)</f>
        <v>37442130</v>
      </c>
      <c r="D49" s="20">
        <f t="shared" ref="D49:F49" si="186">SUM(D47+D48)</f>
        <v>2677172</v>
      </c>
      <c r="E49" s="20">
        <f t="shared" si="186"/>
        <v>0</v>
      </c>
      <c r="F49" s="20">
        <f t="shared" si="186"/>
        <v>40119302</v>
      </c>
      <c r="G49" s="20">
        <f t="shared" ref="G49:Q49" si="187">SUM(G47+G48)</f>
        <v>-5895425</v>
      </c>
      <c r="H49" s="20">
        <f t="shared" si="187"/>
        <v>149032</v>
      </c>
      <c r="I49" s="20">
        <f t="shared" si="187"/>
        <v>0</v>
      </c>
      <c r="J49" s="20">
        <f t="shared" si="187"/>
        <v>-5746393</v>
      </c>
      <c r="K49" s="20">
        <f t="shared" si="187"/>
        <v>31546705</v>
      </c>
      <c r="L49" s="20">
        <f t="shared" si="187"/>
        <v>2826204</v>
      </c>
      <c r="M49" s="20">
        <f t="shared" si="187"/>
        <v>0</v>
      </c>
      <c r="N49" s="20">
        <f t="shared" si="187"/>
        <v>34372909</v>
      </c>
      <c r="O49" s="20">
        <f t="shared" si="187"/>
        <v>1603268</v>
      </c>
      <c r="P49" s="20">
        <f t="shared" si="187"/>
        <v>732373</v>
      </c>
      <c r="Q49" s="20">
        <f t="shared" si="187"/>
        <v>74667</v>
      </c>
      <c r="R49" s="20">
        <f t="shared" ref="R49:AD49" si="188">SUM(R47+R48)</f>
        <v>2410308</v>
      </c>
      <c r="S49" s="20">
        <f t="shared" ref="S49:Z49" si="189">SUM(S47+S48)</f>
        <v>455654</v>
      </c>
      <c r="T49" s="20">
        <f t="shared" si="189"/>
        <v>-188336</v>
      </c>
      <c r="U49" s="20">
        <f t="shared" si="189"/>
        <v>0</v>
      </c>
      <c r="V49" s="20">
        <f t="shared" si="189"/>
        <v>267318</v>
      </c>
      <c r="W49" s="20">
        <f t="shared" si="189"/>
        <v>2058922</v>
      </c>
      <c r="X49" s="20">
        <f t="shared" si="189"/>
        <v>544037</v>
      </c>
      <c r="Y49" s="20">
        <f t="shared" si="189"/>
        <v>74667</v>
      </c>
      <c r="Z49" s="20">
        <f t="shared" si="189"/>
        <v>2677626</v>
      </c>
      <c r="AA49" s="20">
        <f t="shared" si="188"/>
        <v>39045398</v>
      </c>
      <c r="AB49" s="20">
        <f t="shared" si="188"/>
        <v>3409545</v>
      </c>
      <c r="AC49" s="20">
        <f t="shared" si="188"/>
        <v>74667</v>
      </c>
      <c r="AD49" s="20">
        <f t="shared" si="188"/>
        <v>42529610</v>
      </c>
      <c r="AE49" s="20">
        <f t="shared" ref="AE49:AL49" si="190">SUM(AE47+AE48)</f>
        <v>-5439771</v>
      </c>
      <c r="AF49" s="20">
        <f t="shared" si="190"/>
        <v>-39304</v>
      </c>
      <c r="AG49" s="20">
        <f t="shared" si="190"/>
        <v>0</v>
      </c>
      <c r="AH49" s="20">
        <f t="shared" si="190"/>
        <v>-5479075</v>
      </c>
      <c r="AI49" s="20">
        <f t="shared" si="190"/>
        <v>33605627</v>
      </c>
      <c r="AJ49" s="20">
        <f t="shared" si="190"/>
        <v>3370241</v>
      </c>
      <c r="AK49" s="20">
        <f t="shared" si="190"/>
        <v>74667</v>
      </c>
      <c r="AL49" s="20">
        <f t="shared" si="190"/>
        <v>37050535</v>
      </c>
    </row>
    <row r="50" spans="1:38" ht="17.25" thickTop="1" thickBot="1" x14ac:dyDescent="0.3">
      <c r="A50" s="273"/>
      <c r="B50" s="274"/>
      <c r="C50" s="24"/>
      <c r="D50" s="66"/>
      <c r="E50" s="24"/>
      <c r="F50" s="25"/>
      <c r="G50" s="25"/>
      <c r="H50" s="25"/>
      <c r="I50" s="25"/>
      <c r="J50" s="25"/>
      <c r="K50" s="25"/>
      <c r="L50" s="25"/>
      <c r="M50" s="25"/>
      <c r="N50" s="25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7"/>
      <c r="AB50" s="26"/>
      <c r="AC50" s="26"/>
      <c r="AD50" s="26"/>
      <c r="AE50" s="27"/>
      <c r="AF50" s="26"/>
      <c r="AG50" s="26"/>
      <c r="AH50" s="26"/>
      <c r="AI50" s="27"/>
      <c r="AJ50" s="26"/>
      <c r="AK50" s="26"/>
      <c r="AL50" s="26"/>
    </row>
    <row r="51" spans="1:38" ht="32.25" thickTop="1" x14ac:dyDescent="0.25">
      <c r="A51" s="275" t="s">
        <v>310</v>
      </c>
      <c r="B51" s="275"/>
      <c r="C51" s="276"/>
      <c r="D51" s="277"/>
      <c r="E51" s="278"/>
      <c r="F51" s="279">
        <f>F52-F53</f>
        <v>-11748519</v>
      </c>
      <c r="G51" s="280"/>
      <c r="H51" s="277"/>
      <c r="I51" s="277"/>
      <c r="J51" s="280">
        <f>J52-J53</f>
        <v>-3883652</v>
      </c>
      <c r="K51" s="276"/>
      <c r="L51" s="277"/>
      <c r="M51" s="277"/>
      <c r="N51" s="279">
        <f>N52-N53</f>
        <v>-15632171</v>
      </c>
      <c r="O51" s="280"/>
      <c r="P51" s="277"/>
      <c r="Q51" s="277"/>
      <c r="R51" s="279">
        <f>R52-R53</f>
        <v>-13232679</v>
      </c>
      <c r="S51" s="281"/>
      <c r="T51" s="277"/>
      <c r="U51" s="277"/>
      <c r="V51" s="279">
        <f>V52-V53</f>
        <v>762560</v>
      </c>
      <c r="W51" s="282"/>
      <c r="X51" s="277"/>
      <c r="Y51" s="277"/>
      <c r="Z51" s="283">
        <f>Z52-Z53</f>
        <v>-12470119</v>
      </c>
      <c r="AA51" s="276"/>
      <c r="AB51" s="277"/>
      <c r="AC51" s="277"/>
      <c r="AD51" s="279">
        <f>AD52-AD53</f>
        <v>-24981198</v>
      </c>
      <c r="AE51" s="276"/>
      <c r="AF51" s="277"/>
      <c r="AG51" s="277"/>
      <c r="AH51" s="279">
        <f t="shared" ref="AH51" si="191">AH52-AH53</f>
        <v>-3121092</v>
      </c>
      <c r="AI51" s="276"/>
      <c r="AJ51" s="277"/>
      <c r="AK51" s="277"/>
      <c r="AL51" s="279">
        <f t="shared" ref="AL51" si="192">AL52-AL53</f>
        <v>-28102290</v>
      </c>
    </row>
    <row r="52" spans="1:38" x14ac:dyDescent="0.25">
      <c r="A52" s="284" t="s">
        <v>216</v>
      </c>
      <c r="B52" s="284" t="s">
        <v>274</v>
      </c>
      <c r="C52" s="31"/>
      <c r="D52" s="85"/>
      <c r="E52" s="97"/>
      <c r="F52" s="98">
        <f>SUM(F49)</f>
        <v>40119302</v>
      </c>
      <c r="G52" s="87"/>
      <c r="H52" s="85"/>
      <c r="I52" s="85"/>
      <c r="J52" s="87">
        <f>SUM(J49)</f>
        <v>-5746393</v>
      </c>
      <c r="K52" s="31"/>
      <c r="L52" s="85"/>
      <c r="M52" s="85"/>
      <c r="N52" s="98">
        <f>SUM(N49)</f>
        <v>34372909</v>
      </c>
      <c r="O52" s="87"/>
      <c r="P52" s="85"/>
      <c r="Q52" s="85"/>
      <c r="R52" s="98">
        <f>SUM(R49)</f>
        <v>2410308</v>
      </c>
      <c r="S52" s="285"/>
      <c r="T52" s="85"/>
      <c r="U52" s="85"/>
      <c r="V52" s="98">
        <f>SUM(V49)</f>
        <v>267318</v>
      </c>
      <c r="W52" s="144"/>
      <c r="X52" s="85"/>
      <c r="Y52" s="85"/>
      <c r="Z52" s="100">
        <f>SUM(Z49)</f>
        <v>2677626</v>
      </c>
      <c r="AA52" s="31"/>
      <c r="AB52" s="85"/>
      <c r="AC52" s="85"/>
      <c r="AD52" s="98">
        <f>SUM(AD49)</f>
        <v>42529610</v>
      </c>
      <c r="AE52" s="31"/>
      <c r="AF52" s="85"/>
      <c r="AG52" s="85"/>
      <c r="AH52" s="98">
        <f t="shared" ref="AH52" si="193">SUM(AH49)</f>
        <v>-5479075</v>
      </c>
      <c r="AI52" s="31"/>
      <c r="AJ52" s="85"/>
      <c r="AK52" s="85"/>
      <c r="AL52" s="98">
        <f t="shared" ref="AL52" si="194">SUM(AL49)</f>
        <v>37050535</v>
      </c>
    </row>
    <row r="53" spans="1:38" x14ac:dyDescent="0.25">
      <c r="A53" s="284" t="s">
        <v>217</v>
      </c>
      <c r="B53" s="284" t="s">
        <v>270</v>
      </c>
      <c r="C53" s="31"/>
      <c r="D53" s="85"/>
      <c r="E53" s="97"/>
      <c r="F53" s="98">
        <f>'2 kiadás (kötelező, önként)'!F22</f>
        <v>51867821</v>
      </c>
      <c r="G53" s="87"/>
      <c r="H53" s="85"/>
      <c r="I53" s="85"/>
      <c r="J53" s="87">
        <f>'2 kiadás (kötelező, önként)'!J22</f>
        <v>-1862741</v>
      </c>
      <c r="K53" s="31"/>
      <c r="L53" s="85"/>
      <c r="M53" s="85"/>
      <c r="N53" s="98">
        <f>SUM(J53+F53)</f>
        <v>50005080</v>
      </c>
      <c r="O53" s="87"/>
      <c r="P53" s="85"/>
      <c r="Q53" s="85"/>
      <c r="R53" s="98">
        <f>'2 kiadás (kötelező, önként)'!R22</f>
        <v>15642987</v>
      </c>
      <c r="S53" s="285"/>
      <c r="T53" s="85"/>
      <c r="U53" s="85"/>
      <c r="V53" s="98">
        <f>'2 kiadás (kötelező, önként)'!V22</f>
        <v>-495242</v>
      </c>
      <c r="W53" s="144"/>
      <c r="X53" s="85"/>
      <c r="Y53" s="85"/>
      <c r="Z53" s="100">
        <f>'2 kiadás (kötelező, önként)'!Z22</f>
        <v>15147745</v>
      </c>
      <c r="AA53" s="31"/>
      <c r="AB53" s="85"/>
      <c r="AC53" s="85"/>
      <c r="AD53" s="102">
        <f>'2 kiadás (kötelező, önként)'!AD22</f>
        <v>67510808</v>
      </c>
      <c r="AE53" s="31"/>
      <c r="AF53" s="85"/>
      <c r="AG53" s="85"/>
      <c r="AH53" s="102">
        <f>'2 kiadás (kötelező, önként)'!AH22</f>
        <v>-2357983</v>
      </c>
      <c r="AI53" s="31"/>
      <c r="AJ53" s="85"/>
      <c r="AK53" s="85"/>
      <c r="AL53" s="102">
        <f>'2 kiadás (kötelező, önként)'!AL22</f>
        <v>65152825</v>
      </c>
    </row>
    <row r="54" spans="1:38" x14ac:dyDescent="0.25">
      <c r="A54" s="284"/>
      <c r="B54" s="284"/>
      <c r="C54" s="103"/>
      <c r="D54" s="104"/>
      <c r="E54" s="85"/>
      <c r="F54" s="105"/>
      <c r="G54" s="87"/>
      <c r="H54" s="85"/>
      <c r="I54" s="85"/>
      <c r="J54" s="87"/>
      <c r="K54" s="31"/>
      <c r="L54" s="85"/>
      <c r="M54" s="85"/>
      <c r="N54" s="98"/>
      <c r="O54" s="106"/>
      <c r="P54" s="104"/>
      <c r="Q54" s="104"/>
      <c r="R54" s="98"/>
      <c r="S54" s="285"/>
      <c r="T54" s="85"/>
      <c r="U54" s="85"/>
      <c r="V54" s="98"/>
      <c r="W54" s="144"/>
      <c r="X54" s="85"/>
      <c r="Y54" s="85"/>
      <c r="Z54" s="100"/>
      <c r="AA54" s="31"/>
      <c r="AB54" s="85"/>
      <c r="AC54" s="85"/>
      <c r="AD54" s="102"/>
      <c r="AE54" s="31"/>
      <c r="AF54" s="85"/>
      <c r="AG54" s="85"/>
      <c r="AH54" s="102"/>
      <c r="AI54" s="31"/>
      <c r="AJ54" s="85"/>
      <c r="AK54" s="85"/>
      <c r="AL54" s="102"/>
    </row>
    <row r="55" spans="1:38" x14ac:dyDescent="0.25">
      <c r="A55" s="286" t="s">
        <v>457</v>
      </c>
      <c r="B55" s="286"/>
      <c r="C55" s="244"/>
      <c r="D55" s="245"/>
      <c r="E55" s="245"/>
      <c r="F55" s="246">
        <f>SUM(F60-F61)</f>
        <v>11748519</v>
      </c>
      <c r="G55" s="84"/>
      <c r="H55" s="82"/>
      <c r="I55" s="82"/>
      <c r="J55" s="84">
        <f>SUM(J60-J61)</f>
        <v>3883652</v>
      </c>
      <c r="K55" s="69"/>
      <c r="L55" s="82"/>
      <c r="M55" s="82"/>
      <c r="N55" s="99">
        <f>SUM(N60-N61)</f>
        <v>15632171</v>
      </c>
      <c r="O55" s="247"/>
      <c r="P55" s="245"/>
      <c r="Q55" s="245"/>
      <c r="R55" s="99">
        <f>SUM(R60-R61)</f>
        <v>13232679</v>
      </c>
      <c r="S55" s="287"/>
      <c r="T55" s="82"/>
      <c r="U55" s="82"/>
      <c r="V55" s="99">
        <f>SUM(V60-V61)</f>
        <v>-762560</v>
      </c>
      <c r="W55" s="145"/>
      <c r="X55" s="82"/>
      <c r="Y55" s="82"/>
      <c r="Z55" s="149">
        <f>SUM(Z60-Z61)</f>
        <v>12470119</v>
      </c>
      <c r="AA55" s="69"/>
      <c r="AB55" s="82"/>
      <c r="AC55" s="82"/>
      <c r="AD55" s="99">
        <f>SUM(AD60-AD61)</f>
        <v>24981198</v>
      </c>
      <c r="AE55" s="69"/>
      <c r="AF55" s="82"/>
      <c r="AG55" s="82"/>
      <c r="AH55" s="99">
        <f>SUM(AH60-AH61)</f>
        <v>3121092</v>
      </c>
      <c r="AI55" s="69"/>
      <c r="AJ55" s="82"/>
      <c r="AK55" s="82"/>
      <c r="AL55" s="99">
        <f>SUM(AL60-AL61)</f>
        <v>28102290</v>
      </c>
    </row>
    <row r="56" spans="1:38" ht="31.5" x14ac:dyDescent="0.25">
      <c r="A56" s="32" t="s">
        <v>180</v>
      </c>
      <c r="B56" s="32"/>
      <c r="C56" s="86">
        <v>2239206</v>
      </c>
      <c r="D56" s="30">
        <v>6082918</v>
      </c>
      <c r="E56" s="30"/>
      <c r="F56" s="101">
        <f>SUM(C56:E56)</f>
        <v>8322124</v>
      </c>
      <c r="G56" s="83">
        <v>2482061</v>
      </c>
      <c r="H56" s="30"/>
      <c r="I56" s="30"/>
      <c r="J56" s="83">
        <f>SUM(G56:I56)</f>
        <v>2482061</v>
      </c>
      <c r="K56" s="86">
        <f t="shared" ref="K56:K57" si="195">SUM(G56+C56)</f>
        <v>4721267</v>
      </c>
      <c r="L56" s="30">
        <f t="shared" ref="L56:L57" si="196">SUM(H56+D56)</f>
        <v>6082918</v>
      </c>
      <c r="M56" s="30">
        <f t="shared" ref="M56:M57" si="197">SUM(I56+E56)</f>
        <v>0</v>
      </c>
      <c r="N56" s="101">
        <f t="shared" ref="N56:N57" si="198">SUM(K56:M56)</f>
        <v>10804185</v>
      </c>
      <c r="O56" s="86">
        <v>10190</v>
      </c>
      <c r="P56" s="30">
        <v>169265</v>
      </c>
      <c r="Q56" s="30"/>
      <c r="R56" s="101">
        <f>SUM(O56:Q56)</f>
        <v>179455</v>
      </c>
      <c r="S56" s="288">
        <f>540911+30195</f>
        <v>571106</v>
      </c>
      <c r="T56" s="30">
        <v>67925</v>
      </c>
      <c r="U56" s="30">
        <v>0</v>
      </c>
      <c r="V56" s="101">
        <f>SUM(S56:U56)</f>
        <v>639031</v>
      </c>
      <c r="W56" s="131">
        <f>SUM(S56+O56)</f>
        <v>581296</v>
      </c>
      <c r="X56" s="30">
        <f>SUM(T56+P56)</f>
        <v>237190</v>
      </c>
      <c r="Y56" s="30">
        <f>SUM(Q56+U56)</f>
        <v>0</v>
      </c>
      <c r="Z56" s="102">
        <f>SUM(W56:Y56)</f>
        <v>818486</v>
      </c>
      <c r="AA56" s="86">
        <f>SUM(O56+C56)</f>
        <v>2249396</v>
      </c>
      <c r="AB56" s="30">
        <f>SUM(P56+D56)</f>
        <v>6252183</v>
      </c>
      <c r="AC56" s="30"/>
      <c r="AD56" s="102">
        <f>SUM(AA56:AC56)</f>
        <v>8501579</v>
      </c>
      <c r="AE56" s="86">
        <f t="shared" ref="AE56:AF57" si="199">SUM(S56+G56)</f>
        <v>3053167</v>
      </c>
      <c r="AF56" s="30">
        <f t="shared" si="199"/>
        <v>67925</v>
      </c>
      <c r="AG56" s="30"/>
      <c r="AH56" s="102">
        <f t="shared" ref="AH56:AH57" si="200">SUM(AE56:AG56)</f>
        <v>3121092</v>
      </c>
      <c r="AI56" s="86">
        <f t="shared" ref="AI56:AJ57" si="201">SUM(W56+K56)</f>
        <v>5302563</v>
      </c>
      <c r="AJ56" s="30">
        <f t="shared" si="201"/>
        <v>6320108</v>
      </c>
      <c r="AK56" s="30"/>
      <c r="AL56" s="102">
        <f t="shared" ref="AL56:AL57" si="202">SUM(AI56:AK56)</f>
        <v>11622671</v>
      </c>
    </row>
    <row r="57" spans="1:38" ht="31.5" x14ac:dyDescent="0.25">
      <c r="A57" s="32" t="s">
        <v>172</v>
      </c>
      <c r="B57" s="32"/>
      <c r="C57" s="86">
        <v>4529586</v>
      </c>
      <c r="D57" s="30">
        <v>12084025</v>
      </c>
      <c r="E57" s="30"/>
      <c r="F57" s="101">
        <f>SUM(C57:E57)</f>
        <v>16613611</v>
      </c>
      <c r="G57" s="83"/>
      <c r="H57" s="30"/>
      <c r="I57" s="30"/>
      <c r="J57" s="83">
        <f>SUM(G57:I57)</f>
        <v>0</v>
      </c>
      <c r="K57" s="86">
        <f t="shared" si="195"/>
        <v>4529586</v>
      </c>
      <c r="L57" s="30">
        <f t="shared" si="196"/>
        <v>12084025</v>
      </c>
      <c r="M57" s="30">
        <f t="shared" si="197"/>
        <v>0</v>
      </c>
      <c r="N57" s="101">
        <f t="shared" si="198"/>
        <v>16613611</v>
      </c>
      <c r="O57" s="86">
        <v>9974</v>
      </c>
      <c r="P57" s="30">
        <v>20000</v>
      </c>
      <c r="Q57" s="30"/>
      <c r="R57" s="101">
        <f>SUM(O57:Q57)</f>
        <v>29974</v>
      </c>
      <c r="S57" s="288"/>
      <c r="T57" s="30"/>
      <c r="U57" s="30"/>
      <c r="V57" s="101">
        <f>SUM(S57:U57)</f>
        <v>0</v>
      </c>
      <c r="W57" s="131">
        <f>SUM(S57+O57)</f>
        <v>9974</v>
      </c>
      <c r="X57" s="30">
        <f>SUM(T57+P57)</f>
        <v>20000</v>
      </c>
      <c r="Y57" s="30">
        <f>SUM(Q57+U57)</f>
        <v>0</v>
      </c>
      <c r="Z57" s="102">
        <f>SUM(W57:Y57)</f>
        <v>29974</v>
      </c>
      <c r="AA57" s="86">
        <f>SUM(O57+C57)</f>
        <v>4539560</v>
      </c>
      <c r="AB57" s="30">
        <f>SUM(P57+D57)</f>
        <v>12104025</v>
      </c>
      <c r="AC57" s="30"/>
      <c r="AD57" s="102">
        <f>SUM(AA57:AC57)</f>
        <v>16643585</v>
      </c>
      <c r="AE57" s="86">
        <f t="shared" si="199"/>
        <v>0</v>
      </c>
      <c r="AF57" s="30">
        <f t="shared" si="199"/>
        <v>0</v>
      </c>
      <c r="AG57" s="30"/>
      <c r="AH57" s="102">
        <f t="shared" si="200"/>
        <v>0</v>
      </c>
      <c r="AI57" s="86">
        <f t="shared" si="201"/>
        <v>4539560</v>
      </c>
      <c r="AJ57" s="30">
        <f t="shared" si="201"/>
        <v>12104025</v>
      </c>
      <c r="AK57" s="30"/>
      <c r="AL57" s="102">
        <f t="shared" si="202"/>
        <v>16643585</v>
      </c>
    </row>
    <row r="58" spans="1:38" x14ac:dyDescent="0.25">
      <c r="A58" s="32" t="s">
        <v>173</v>
      </c>
      <c r="B58" s="32" t="s">
        <v>215</v>
      </c>
      <c r="C58" s="31">
        <f t="shared" ref="C58:F58" si="203">SUM(C56:C57)</f>
        <v>6768792</v>
      </c>
      <c r="D58" s="85">
        <f t="shared" si="203"/>
        <v>18166943</v>
      </c>
      <c r="E58" s="85">
        <f t="shared" si="203"/>
        <v>0</v>
      </c>
      <c r="F58" s="100">
        <f t="shared" si="203"/>
        <v>24935735</v>
      </c>
      <c r="G58" s="87">
        <f t="shared" ref="G58:AD58" si="204">SUM(G56:G57)</f>
        <v>2482061</v>
      </c>
      <c r="H58" s="85">
        <f t="shared" si="204"/>
        <v>0</v>
      </c>
      <c r="I58" s="85">
        <f t="shared" si="204"/>
        <v>0</v>
      </c>
      <c r="J58" s="100">
        <f t="shared" si="204"/>
        <v>2482061</v>
      </c>
      <c r="K58" s="87">
        <f t="shared" si="204"/>
        <v>9250853</v>
      </c>
      <c r="L58" s="85">
        <f t="shared" si="204"/>
        <v>18166943</v>
      </c>
      <c r="M58" s="85">
        <f t="shared" si="204"/>
        <v>0</v>
      </c>
      <c r="N58" s="100">
        <f t="shared" si="204"/>
        <v>27417796</v>
      </c>
      <c r="O58" s="87">
        <f t="shared" ref="O58:Q58" si="205">SUM(O56:O57)</f>
        <v>20164</v>
      </c>
      <c r="P58" s="85">
        <f t="shared" si="205"/>
        <v>189265</v>
      </c>
      <c r="Q58" s="85">
        <f t="shared" si="205"/>
        <v>0</v>
      </c>
      <c r="R58" s="98">
        <f t="shared" si="204"/>
        <v>209429</v>
      </c>
      <c r="S58" s="97">
        <f t="shared" si="204"/>
        <v>571106</v>
      </c>
      <c r="T58" s="85">
        <f t="shared" si="204"/>
        <v>67925</v>
      </c>
      <c r="U58" s="85">
        <f t="shared" si="204"/>
        <v>0</v>
      </c>
      <c r="V58" s="100">
        <f t="shared" si="204"/>
        <v>639031</v>
      </c>
      <c r="W58" s="97">
        <f t="shared" si="204"/>
        <v>591270</v>
      </c>
      <c r="X58" s="85">
        <f t="shared" si="204"/>
        <v>257190</v>
      </c>
      <c r="Y58" s="85">
        <f t="shared" si="204"/>
        <v>0</v>
      </c>
      <c r="Z58" s="100">
        <f t="shared" si="204"/>
        <v>848460</v>
      </c>
      <c r="AA58" s="31">
        <f t="shared" si="204"/>
        <v>6788956</v>
      </c>
      <c r="AB58" s="85">
        <f t="shared" si="204"/>
        <v>18356208</v>
      </c>
      <c r="AC58" s="85">
        <f t="shared" si="204"/>
        <v>0</v>
      </c>
      <c r="AD58" s="100">
        <f t="shared" si="204"/>
        <v>25145164</v>
      </c>
      <c r="AE58" s="31">
        <f t="shared" ref="AE58:AL58" si="206">SUM(AE56:AE57)</f>
        <v>3053167</v>
      </c>
      <c r="AF58" s="85">
        <f t="shared" si="206"/>
        <v>67925</v>
      </c>
      <c r="AG58" s="85">
        <f t="shared" si="206"/>
        <v>0</v>
      </c>
      <c r="AH58" s="100">
        <f t="shared" si="206"/>
        <v>3121092</v>
      </c>
      <c r="AI58" s="31">
        <f t="shared" si="206"/>
        <v>9842123</v>
      </c>
      <c r="AJ58" s="85">
        <f t="shared" si="206"/>
        <v>18424133</v>
      </c>
      <c r="AK58" s="85">
        <f t="shared" si="206"/>
        <v>0</v>
      </c>
      <c r="AL58" s="100">
        <f t="shared" si="206"/>
        <v>28266256</v>
      </c>
    </row>
    <row r="59" spans="1:38" x14ac:dyDescent="0.25">
      <c r="A59" s="289" t="s">
        <v>311</v>
      </c>
      <c r="B59" s="289" t="s">
        <v>312</v>
      </c>
      <c r="C59" s="103"/>
      <c r="D59" s="104"/>
      <c r="E59" s="104"/>
      <c r="F59" s="105">
        <f t="shared" ref="F59" si="207">SUM(C59:E59)</f>
        <v>0</v>
      </c>
      <c r="G59" s="106"/>
      <c r="H59" s="104"/>
      <c r="I59" s="104"/>
      <c r="J59" s="106">
        <f>SUM(G59:I59)</f>
        <v>0</v>
      </c>
      <c r="K59" s="142">
        <f t="shared" ref="K59" si="208">SUM(G59+C59)</f>
        <v>0</v>
      </c>
      <c r="L59" s="104">
        <f t="shared" ref="L59" si="209">SUM(H59+D59)</f>
        <v>0</v>
      </c>
      <c r="M59" s="104">
        <f t="shared" ref="M59" si="210">SUM(I59+E59)</f>
        <v>0</v>
      </c>
      <c r="N59" s="105">
        <f t="shared" ref="N59" si="211">SUM(K59:M59)</f>
        <v>0</v>
      </c>
      <c r="O59" s="106">
        <v>10082490</v>
      </c>
      <c r="P59" s="104">
        <v>1973443</v>
      </c>
      <c r="Q59" s="104">
        <v>967317</v>
      </c>
      <c r="R59" s="107">
        <f>SUM(O59:Q59)</f>
        <v>13023250</v>
      </c>
      <c r="S59" s="142">
        <v>-1396817</v>
      </c>
      <c r="T59" s="104">
        <f>72805-20000</f>
        <v>52805</v>
      </c>
      <c r="U59" s="104">
        <v>-57579</v>
      </c>
      <c r="V59" s="105">
        <f>SUM(S59:U59)</f>
        <v>-1401591</v>
      </c>
      <c r="W59" s="106">
        <f t="shared" ref="W59" si="212">SUM(S59+O59)</f>
        <v>8685673</v>
      </c>
      <c r="X59" s="104">
        <f t="shared" ref="X59" si="213">SUM(T59+P59)</f>
        <v>2026248</v>
      </c>
      <c r="Y59" s="104">
        <f t="shared" ref="Y59" si="214">SUM(Q59+U59)</f>
        <v>909738</v>
      </c>
      <c r="Z59" s="105">
        <f>SUM(W59:Y59)</f>
        <v>11621659</v>
      </c>
      <c r="AA59" s="103">
        <f>SUM(O59)</f>
        <v>10082490</v>
      </c>
      <c r="AB59" s="104">
        <f>SUM(P59+D59)</f>
        <v>1973443</v>
      </c>
      <c r="AC59" s="104">
        <f>SUM(Q59+E59)</f>
        <v>967317</v>
      </c>
      <c r="AD59" s="105">
        <f>SUM(AA59:AC59)</f>
        <v>13023250</v>
      </c>
      <c r="AE59" s="103">
        <f t="shared" ref="AE59" si="215">SUM(S59)</f>
        <v>-1396817</v>
      </c>
      <c r="AF59" s="104">
        <f t="shared" ref="AF59:AG59" si="216">SUM(T59+H59)</f>
        <v>52805</v>
      </c>
      <c r="AG59" s="104">
        <f t="shared" si="216"/>
        <v>-57579</v>
      </c>
      <c r="AH59" s="105">
        <f t="shared" ref="AH59" si="217">SUM(AE59:AG59)</f>
        <v>-1401591</v>
      </c>
      <c r="AI59" s="103">
        <f t="shared" ref="AI59" si="218">SUM(W59)</f>
        <v>8685673</v>
      </c>
      <c r="AJ59" s="104">
        <f t="shared" ref="AJ59:AK59" si="219">SUM(X59+L59)</f>
        <v>2026248</v>
      </c>
      <c r="AK59" s="104">
        <f t="shared" si="219"/>
        <v>909738</v>
      </c>
      <c r="AL59" s="105">
        <f t="shared" ref="AL59" si="220">SUM(AI59:AK59)</f>
        <v>11621659</v>
      </c>
    </row>
    <row r="60" spans="1:38" s="264" customFormat="1" ht="34.5" customHeight="1" x14ac:dyDescent="0.25">
      <c r="A60" s="290" t="s">
        <v>832</v>
      </c>
      <c r="B60" s="290" t="s">
        <v>174</v>
      </c>
      <c r="C60" s="108">
        <f t="shared" ref="C60:AL60" si="221">SUM(C58:C59)</f>
        <v>6768792</v>
      </c>
      <c r="D60" s="109">
        <f t="shared" si="221"/>
        <v>18166943</v>
      </c>
      <c r="E60" s="109">
        <f t="shared" si="221"/>
        <v>0</v>
      </c>
      <c r="F60" s="110">
        <f t="shared" si="221"/>
        <v>24935735</v>
      </c>
      <c r="G60" s="111">
        <f t="shared" si="221"/>
        <v>2482061</v>
      </c>
      <c r="H60" s="117">
        <f t="shared" si="221"/>
        <v>0</v>
      </c>
      <c r="I60" s="117">
        <f t="shared" si="221"/>
        <v>0</v>
      </c>
      <c r="J60" s="110">
        <f t="shared" si="221"/>
        <v>2482061</v>
      </c>
      <c r="K60" s="111">
        <f t="shared" si="221"/>
        <v>9250853</v>
      </c>
      <c r="L60" s="117">
        <f t="shared" si="221"/>
        <v>18166943</v>
      </c>
      <c r="M60" s="117">
        <f t="shared" si="221"/>
        <v>0</v>
      </c>
      <c r="N60" s="110">
        <f t="shared" si="221"/>
        <v>27417796</v>
      </c>
      <c r="O60" s="111">
        <f t="shared" si="221"/>
        <v>10102654</v>
      </c>
      <c r="P60" s="109">
        <f t="shared" si="221"/>
        <v>2162708</v>
      </c>
      <c r="Q60" s="109">
        <f t="shared" si="221"/>
        <v>967317</v>
      </c>
      <c r="R60" s="112">
        <f t="shared" si="221"/>
        <v>13232679</v>
      </c>
      <c r="S60" s="148">
        <f t="shared" si="221"/>
        <v>-825711</v>
      </c>
      <c r="T60" s="117">
        <f t="shared" si="221"/>
        <v>120730</v>
      </c>
      <c r="U60" s="117">
        <f t="shared" si="221"/>
        <v>-57579</v>
      </c>
      <c r="V60" s="110">
        <f t="shared" si="221"/>
        <v>-762560</v>
      </c>
      <c r="W60" s="148">
        <f t="shared" si="221"/>
        <v>9276943</v>
      </c>
      <c r="X60" s="117">
        <f t="shared" si="221"/>
        <v>2283438</v>
      </c>
      <c r="Y60" s="117">
        <f t="shared" si="221"/>
        <v>909738</v>
      </c>
      <c r="Z60" s="110">
        <f t="shared" si="221"/>
        <v>12470119</v>
      </c>
      <c r="AA60" s="108">
        <f t="shared" si="221"/>
        <v>16871446</v>
      </c>
      <c r="AB60" s="109">
        <f t="shared" si="221"/>
        <v>20329651</v>
      </c>
      <c r="AC60" s="109">
        <f t="shared" si="221"/>
        <v>967317</v>
      </c>
      <c r="AD60" s="110">
        <f t="shared" si="221"/>
        <v>38168414</v>
      </c>
      <c r="AE60" s="147">
        <f t="shared" si="221"/>
        <v>1656350</v>
      </c>
      <c r="AF60" s="117">
        <f t="shared" si="221"/>
        <v>120730</v>
      </c>
      <c r="AG60" s="117">
        <f t="shared" si="221"/>
        <v>-57579</v>
      </c>
      <c r="AH60" s="146">
        <f t="shared" si="221"/>
        <v>1719501</v>
      </c>
      <c r="AI60" s="147">
        <f t="shared" si="221"/>
        <v>18527796</v>
      </c>
      <c r="AJ60" s="117">
        <f t="shared" si="221"/>
        <v>20450381</v>
      </c>
      <c r="AK60" s="117">
        <f t="shared" si="221"/>
        <v>909738</v>
      </c>
      <c r="AL60" s="121">
        <f t="shared" si="221"/>
        <v>39887915</v>
      </c>
    </row>
    <row r="61" spans="1:38" s="264" customFormat="1" x14ac:dyDescent="0.25">
      <c r="A61" s="290" t="s">
        <v>833</v>
      </c>
      <c r="B61" s="290" t="s">
        <v>210</v>
      </c>
      <c r="C61" s="108">
        <f>'2 kiadás (kötelező, önként)'!C25</f>
        <v>10246456</v>
      </c>
      <c r="D61" s="109">
        <f>'2 kiadás (kötelező, önként)'!D25</f>
        <v>1973443</v>
      </c>
      <c r="E61" s="109">
        <f>'2 kiadás (kötelező, önként)'!E25</f>
        <v>967317</v>
      </c>
      <c r="F61" s="110">
        <f>SUM(C61:E61)</f>
        <v>13187216</v>
      </c>
      <c r="G61" s="111">
        <f>'2 kiadás (kötelező, önként)'!G25</f>
        <v>-1396817</v>
      </c>
      <c r="H61" s="117">
        <f>'2 kiadás (kötelező, önként)'!H25</f>
        <v>52805</v>
      </c>
      <c r="I61" s="117">
        <f>'2 kiadás (kötelező, önként)'!I25</f>
        <v>-57579</v>
      </c>
      <c r="J61" s="111">
        <f>SUM(G61:I61)</f>
        <v>-1401591</v>
      </c>
      <c r="K61" s="108">
        <f t="shared" ref="K61" si="222">SUM(G61+C61)</f>
        <v>8849639</v>
      </c>
      <c r="L61" s="109">
        <f t="shared" ref="L61" si="223">SUM(H61+D61)</f>
        <v>2026248</v>
      </c>
      <c r="M61" s="109">
        <f t="shared" ref="M61" si="224">SUM(I61+E61)</f>
        <v>909738</v>
      </c>
      <c r="N61" s="112">
        <f t="shared" ref="N61" si="225">SUM(K61:M61)</f>
        <v>11785625</v>
      </c>
      <c r="O61" s="111"/>
      <c r="P61" s="109"/>
      <c r="Q61" s="109"/>
      <c r="R61" s="112">
        <f>SUM(O61:Q61)</f>
        <v>0</v>
      </c>
      <c r="S61" s="147"/>
      <c r="T61" s="109"/>
      <c r="U61" s="109"/>
      <c r="V61" s="112">
        <f>SUM(S61:U61)</f>
        <v>0</v>
      </c>
      <c r="W61" s="146">
        <f>SUM(S61+O61)</f>
        <v>0</v>
      </c>
      <c r="X61" s="109">
        <f>SUM(T61+P61)</f>
        <v>0</v>
      </c>
      <c r="Y61" s="109">
        <f>SUM(Q61+U61)</f>
        <v>0</v>
      </c>
      <c r="Z61" s="110">
        <f>SUM(W61:Y61)</f>
        <v>0</v>
      </c>
      <c r="AA61" s="108">
        <f>SUM(O61+C61)</f>
        <v>10246456</v>
      </c>
      <c r="AB61" s="109">
        <f>SUM(P61+D61)</f>
        <v>1973443</v>
      </c>
      <c r="AC61" s="109">
        <f>SUM(Q61+E61)</f>
        <v>967317</v>
      </c>
      <c r="AD61" s="110">
        <f>SUM(AA61:AC61)</f>
        <v>13187216</v>
      </c>
      <c r="AE61" s="108">
        <f t="shared" ref="AE61:AG61" si="226">SUM(S61+G61)</f>
        <v>-1396817</v>
      </c>
      <c r="AF61" s="109">
        <f t="shared" si="226"/>
        <v>52805</v>
      </c>
      <c r="AG61" s="109">
        <f t="shared" si="226"/>
        <v>-57579</v>
      </c>
      <c r="AH61" s="110">
        <f t="shared" ref="AH61" si="227">SUM(AE61:AG61)</f>
        <v>-1401591</v>
      </c>
      <c r="AI61" s="108">
        <f t="shared" ref="AI61:AK61" si="228">SUM(W61+K61)</f>
        <v>8849639</v>
      </c>
      <c r="AJ61" s="109">
        <f t="shared" si="228"/>
        <v>2026248</v>
      </c>
      <c r="AK61" s="109">
        <f t="shared" si="228"/>
        <v>909738</v>
      </c>
      <c r="AL61" s="110">
        <f t="shared" ref="AL61" si="229">SUM(AI61:AK61)</f>
        <v>11785625</v>
      </c>
    </row>
    <row r="62" spans="1:38" s="299" customFormat="1" ht="16.5" thickBot="1" x14ac:dyDescent="0.3">
      <c r="A62" s="291" t="s">
        <v>458</v>
      </c>
      <c r="B62" s="291"/>
      <c r="C62" s="292"/>
      <c r="D62" s="293"/>
      <c r="E62" s="293"/>
      <c r="F62" s="294">
        <f>SUM(F51+F55)</f>
        <v>0</v>
      </c>
      <c r="G62" s="295"/>
      <c r="H62" s="293"/>
      <c r="I62" s="293"/>
      <c r="J62" s="295">
        <f>SUM(J51+J55)</f>
        <v>0</v>
      </c>
      <c r="K62" s="292"/>
      <c r="L62" s="293"/>
      <c r="M62" s="293"/>
      <c r="N62" s="296">
        <f>SUM(N51+N55)</f>
        <v>0</v>
      </c>
      <c r="O62" s="295"/>
      <c r="P62" s="293"/>
      <c r="Q62" s="293"/>
      <c r="R62" s="296">
        <f>SUM(R51+R55)</f>
        <v>0</v>
      </c>
      <c r="S62" s="297"/>
      <c r="T62" s="293"/>
      <c r="U62" s="293"/>
      <c r="V62" s="296">
        <f>SUM(V51+V55)</f>
        <v>0</v>
      </c>
      <c r="W62" s="298"/>
      <c r="X62" s="293"/>
      <c r="Y62" s="293"/>
      <c r="Z62" s="294">
        <f>SUM(Z51+Z55)</f>
        <v>0</v>
      </c>
      <c r="AA62" s="292"/>
      <c r="AB62" s="293"/>
      <c r="AC62" s="293"/>
      <c r="AD62" s="294">
        <f>SUM(AD51+AD55)</f>
        <v>0</v>
      </c>
      <c r="AE62" s="292"/>
      <c r="AF62" s="293"/>
      <c r="AG62" s="293"/>
      <c r="AH62" s="294">
        <f>SUM(AH51+AH55)</f>
        <v>0</v>
      </c>
      <c r="AI62" s="292"/>
      <c r="AJ62" s="293"/>
      <c r="AK62" s="293"/>
      <c r="AL62" s="294">
        <f>SUM(AL51+AL55)</f>
        <v>0</v>
      </c>
    </row>
    <row r="63" spans="1:38" s="299" customFormat="1" ht="29.25" customHeight="1" thickTop="1" x14ac:dyDescent="0.25">
      <c r="A63" s="300"/>
      <c r="B63" s="300"/>
      <c r="C63" s="300"/>
      <c r="D63" s="300"/>
      <c r="E63" s="300"/>
      <c r="F63" s="300"/>
      <c r="G63" s="300"/>
      <c r="H63" s="300"/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E63" s="300"/>
      <c r="AI63" s="300"/>
    </row>
    <row r="64" spans="1:38" s="299" customFormat="1" x14ac:dyDescent="0.25">
      <c r="A64" s="300"/>
      <c r="B64" s="300"/>
      <c r="C64" s="300"/>
      <c r="D64" s="300"/>
      <c r="E64" s="300"/>
      <c r="F64" s="300"/>
      <c r="G64" s="300"/>
      <c r="H64" s="300"/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  <c r="AJ64" s="300"/>
      <c r="AK64" s="300"/>
      <c r="AL64" s="300"/>
    </row>
    <row r="65" spans="1:38" s="299" customFormat="1" x14ac:dyDescent="0.25">
      <c r="A65" s="300"/>
    </row>
    <row r="66" spans="1:38" s="299" customFormat="1" x14ac:dyDescent="0.25">
      <c r="A66" s="300"/>
    </row>
    <row r="67" spans="1:38" s="299" customFormat="1" x14ac:dyDescent="0.25">
      <c r="A67" s="300"/>
    </row>
    <row r="68" spans="1:38" s="299" customFormat="1" x14ac:dyDescent="0.25"/>
    <row r="69" spans="1:38" s="299" customFormat="1" x14ac:dyDescent="0.25"/>
    <row r="70" spans="1:38" s="299" customFormat="1" x14ac:dyDescent="0.25">
      <c r="A70" s="301"/>
      <c r="B70" s="301"/>
    </row>
    <row r="71" spans="1:38" s="302" customFormat="1" x14ac:dyDescent="0.25">
      <c r="A71" s="29"/>
      <c r="B71" s="29"/>
      <c r="C71" s="299"/>
      <c r="D71" s="299"/>
      <c r="E71" s="299"/>
      <c r="F71" s="299"/>
      <c r="G71" s="299"/>
      <c r="H71" s="299"/>
      <c r="I71" s="299"/>
      <c r="J71" s="299"/>
      <c r="K71" s="299"/>
      <c r="L71" s="299"/>
      <c r="M71" s="299"/>
      <c r="N71" s="299"/>
      <c r="O71" s="299"/>
      <c r="P71" s="299"/>
      <c r="Q71" s="299"/>
      <c r="R71" s="299"/>
      <c r="S71" s="299"/>
      <c r="T71" s="299"/>
      <c r="U71" s="299"/>
      <c r="V71" s="299"/>
      <c r="W71" s="299"/>
      <c r="X71" s="299"/>
      <c r="Y71" s="299"/>
      <c r="Z71" s="299"/>
      <c r="AA71" s="299"/>
      <c r="AB71" s="299"/>
      <c r="AC71" s="299"/>
      <c r="AD71" s="299"/>
      <c r="AE71" s="299"/>
      <c r="AF71" s="299"/>
      <c r="AG71" s="299"/>
      <c r="AH71" s="299"/>
      <c r="AI71" s="299"/>
      <c r="AJ71" s="299"/>
      <c r="AK71" s="299"/>
      <c r="AL71" s="299"/>
    </row>
    <row r="72" spans="1:38" s="302" customFormat="1" x14ac:dyDescent="0.25">
      <c r="A72" s="303"/>
      <c r="B72" s="303"/>
      <c r="C72" s="299"/>
      <c r="D72" s="299"/>
      <c r="E72" s="299"/>
      <c r="F72" s="299"/>
      <c r="G72" s="299"/>
      <c r="H72" s="299"/>
      <c r="I72" s="299"/>
      <c r="J72" s="299"/>
      <c r="K72" s="299"/>
      <c r="L72" s="299"/>
      <c r="M72" s="299"/>
      <c r="N72" s="299"/>
      <c r="O72" s="299"/>
      <c r="P72" s="299"/>
      <c r="Q72" s="299"/>
      <c r="R72" s="299"/>
      <c r="S72" s="299"/>
      <c r="T72" s="299"/>
      <c r="U72" s="299"/>
      <c r="V72" s="299"/>
      <c r="W72" s="299"/>
      <c r="X72" s="299"/>
      <c r="Y72" s="299"/>
      <c r="Z72" s="299"/>
      <c r="AA72" s="299"/>
      <c r="AB72" s="299"/>
      <c r="AC72" s="299"/>
      <c r="AD72" s="299"/>
      <c r="AE72" s="299"/>
      <c r="AF72" s="299"/>
      <c r="AG72" s="299"/>
      <c r="AH72" s="299"/>
      <c r="AI72" s="299"/>
      <c r="AJ72" s="299"/>
      <c r="AK72" s="299"/>
      <c r="AL72" s="299"/>
    </row>
    <row r="73" spans="1:38" s="302" customFormat="1" x14ac:dyDescent="0.25">
      <c r="A73" s="304"/>
      <c r="B73" s="304"/>
    </row>
    <row r="74" spans="1:38" s="302" customFormat="1" x14ac:dyDescent="0.25">
      <c r="A74" s="305"/>
      <c r="B74" s="305"/>
    </row>
    <row r="75" spans="1:38" s="302" customFormat="1" x14ac:dyDescent="0.25">
      <c r="A75" s="306"/>
      <c r="B75" s="306"/>
    </row>
    <row r="76" spans="1:38" s="302" customFormat="1" x14ac:dyDescent="0.25">
      <c r="A76" s="304"/>
      <c r="B76" s="304"/>
    </row>
    <row r="77" spans="1:38" s="302" customFormat="1" x14ac:dyDescent="0.25">
      <c r="A77" s="305"/>
      <c r="B77" s="305"/>
    </row>
    <row r="78" spans="1:38" s="302" customFormat="1" x14ac:dyDescent="0.25">
      <c r="A78" s="305"/>
      <c r="B78" s="305"/>
    </row>
    <row r="79" spans="1:38" s="302" customFormat="1" x14ac:dyDescent="0.25">
      <c r="A79" s="304"/>
      <c r="B79" s="304"/>
    </row>
    <row r="80" spans="1:38" s="302" customFormat="1" x14ac:dyDescent="0.25">
      <c r="A80" s="305"/>
      <c r="B80" s="305"/>
    </row>
    <row r="81" spans="1:38" s="302" customFormat="1" x14ac:dyDescent="0.25">
      <c r="A81" s="305"/>
      <c r="B81" s="305"/>
    </row>
    <row r="82" spans="1:38" s="302" customFormat="1" x14ac:dyDescent="0.25">
      <c r="A82" s="305"/>
      <c r="B82" s="305"/>
    </row>
    <row r="83" spans="1:38" s="302" customFormat="1" x14ac:dyDescent="0.25">
      <c r="A83" s="305"/>
      <c r="B83" s="305"/>
    </row>
    <row r="84" spans="1:38" s="302" customFormat="1" x14ac:dyDescent="0.25">
      <c r="A84" s="304"/>
      <c r="B84" s="304"/>
    </row>
    <row r="85" spans="1:38" s="302" customFormat="1" x14ac:dyDescent="0.25">
      <c r="A85" s="305"/>
      <c r="B85" s="305"/>
    </row>
    <row r="86" spans="1:38" s="302" customFormat="1" x14ac:dyDescent="0.25">
      <c r="A86" s="305"/>
      <c r="B86" s="305"/>
    </row>
    <row r="87" spans="1:38" s="302" customFormat="1" x14ac:dyDescent="0.25">
      <c r="A87" s="305"/>
      <c r="B87" s="305"/>
    </row>
    <row r="88" spans="1:38" s="302" customFormat="1" x14ac:dyDescent="0.25">
      <c r="A88" s="305"/>
      <c r="B88" s="305"/>
    </row>
    <row r="89" spans="1:38" s="302" customFormat="1" x14ac:dyDescent="0.25">
      <c r="A89" s="305"/>
      <c r="B89" s="305"/>
    </row>
    <row r="90" spans="1:38" x14ac:dyDescent="0.25">
      <c r="A90" s="305"/>
      <c r="B90" s="305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</row>
    <row r="91" spans="1:38" x14ac:dyDescent="0.25">
      <c r="A91" s="305"/>
      <c r="B91" s="305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</row>
    <row r="92" spans="1:38" x14ac:dyDescent="0.25">
      <c r="A92" s="307"/>
      <c r="B92" s="307"/>
    </row>
    <row r="93" spans="1:38" x14ac:dyDescent="0.25">
      <c r="A93" s="307"/>
      <c r="B93" s="307"/>
    </row>
    <row r="94" spans="1:38" x14ac:dyDescent="0.25">
      <c r="A94" s="307"/>
      <c r="B94" s="307"/>
    </row>
    <row r="95" spans="1:38" x14ac:dyDescent="0.25">
      <c r="A95" s="307"/>
      <c r="B95" s="307"/>
    </row>
    <row r="96" spans="1:38" x14ac:dyDescent="0.25">
      <c r="A96" s="307"/>
      <c r="B96" s="307"/>
    </row>
    <row r="97" spans="1:2" x14ac:dyDescent="0.25">
      <c r="A97" s="307"/>
      <c r="B97" s="307"/>
    </row>
    <row r="98" spans="1:2" x14ac:dyDescent="0.25">
      <c r="A98" s="307"/>
      <c r="B98" s="307"/>
    </row>
    <row r="99" spans="1:2" x14ac:dyDescent="0.25">
      <c r="A99" s="307"/>
      <c r="B99" s="307"/>
    </row>
    <row r="100" spans="1:2" x14ac:dyDescent="0.25">
      <c r="A100" s="307"/>
      <c r="B100" s="307"/>
    </row>
    <row r="101" spans="1:2" x14ac:dyDescent="0.25">
      <c r="A101" s="307"/>
      <c r="B101" s="307"/>
    </row>
    <row r="102" spans="1:2" x14ac:dyDescent="0.25">
      <c r="A102" s="307"/>
      <c r="B102" s="307"/>
    </row>
    <row r="103" spans="1:2" x14ac:dyDescent="0.25">
      <c r="A103" s="307"/>
      <c r="B103" s="307"/>
    </row>
    <row r="104" spans="1:2" x14ac:dyDescent="0.25">
      <c r="A104" s="307"/>
      <c r="B104" s="307"/>
    </row>
    <row r="105" spans="1:2" x14ac:dyDescent="0.25">
      <c r="A105" s="307"/>
      <c r="B105" s="307"/>
    </row>
    <row r="106" spans="1:2" x14ac:dyDescent="0.25">
      <c r="A106" s="307"/>
      <c r="B106" s="307"/>
    </row>
    <row r="107" spans="1:2" x14ac:dyDescent="0.25">
      <c r="A107" s="307"/>
      <c r="B107" s="307"/>
    </row>
    <row r="108" spans="1:2" x14ac:dyDescent="0.25">
      <c r="A108" s="307"/>
      <c r="B108" s="307"/>
    </row>
    <row r="109" spans="1:2" x14ac:dyDescent="0.25">
      <c r="A109" s="307"/>
      <c r="B109" s="307"/>
    </row>
    <row r="110" spans="1:2" x14ac:dyDescent="0.25">
      <c r="A110" s="307"/>
      <c r="B110" s="307"/>
    </row>
    <row r="111" spans="1:2" x14ac:dyDescent="0.25">
      <c r="A111" s="307"/>
      <c r="B111" s="307"/>
    </row>
    <row r="112" spans="1:2" x14ac:dyDescent="0.25">
      <c r="A112" s="307"/>
      <c r="B112" s="307"/>
    </row>
    <row r="113" spans="1:2" x14ac:dyDescent="0.25">
      <c r="A113" s="307"/>
      <c r="B113" s="307"/>
    </row>
    <row r="114" spans="1:2" x14ac:dyDescent="0.25">
      <c r="A114" s="307"/>
      <c r="B114" s="307"/>
    </row>
    <row r="115" spans="1:2" x14ac:dyDescent="0.25">
      <c r="A115" s="307"/>
      <c r="B115" s="307"/>
    </row>
    <row r="116" spans="1:2" x14ac:dyDescent="0.25">
      <c r="A116" s="307"/>
      <c r="B116" s="307"/>
    </row>
    <row r="117" spans="1:2" x14ac:dyDescent="0.25">
      <c r="A117" s="307"/>
      <c r="B117" s="307"/>
    </row>
    <row r="118" spans="1:2" x14ac:dyDescent="0.25">
      <c r="A118" s="307"/>
      <c r="B118" s="307"/>
    </row>
    <row r="119" spans="1:2" x14ac:dyDescent="0.25">
      <c r="A119" s="307"/>
      <c r="B119" s="307"/>
    </row>
    <row r="120" spans="1:2" x14ac:dyDescent="0.25">
      <c r="A120" s="307"/>
      <c r="B120" s="307"/>
    </row>
    <row r="121" spans="1:2" x14ac:dyDescent="0.25">
      <c r="A121" s="307"/>
      <c r="B121" s="307"/>
    </row>
    <row r="122" spans="1:2" x14ac:dyDescent="0.25">
      <c r="A122" s="307"/>
      <c r="B122" s="307"/>
    </row>
    <row r="123" spans="1:2" x14ac:dyDescent="0.25">
      <c r="A123" s="307"/>
      <c r="B123" s="307"/>
    </row>
    <row r="124" spans="1:2" x14ac:dyDescent="0.25">
      <c r="A124" s="307"/>
      <c r="B124" s="307"/>
    </row>
    <row r="125" spans="1:2" x14ac:dyDescent="0.25">
      <c r="A125" s="307"/>
      <c r="B125" s="307"/>
    </row>
    <row r="126" spans="1:2" x14ac:dyDescent="0.25">
      <c r="A126" s="307"/>
      <c r="B126" s="307"/>
    </row>
    <row r="127" spans="1:2" x14ac:dyDescent="0.25">
      <c r="A127" s="307"/>
      <c r="B127" s="307"/>
    </row>
    <row r="128" spans="1:2" x14ac:dyDescent="0.25">
      <c r="A128" s="307"/>
      <c r="B128" s="307"/>
    </row>
    <row r="129" spans="1:2" x14ac:dyDescent="0.25">
      <c r="A129" s="307"/>
      <c r="B129" s="307"/>
    </row>
    <row r="130" spans="1:2" x14ac:dyDescent="0.25">
      <c r="A130" s="307"/>
      <c r="B130" s="307"/>
    </row>
    <row r="131" spans="1:2" x14ac:dyDescent="0.25">
      <c r="A131" s="307"/>
      <c r="B131" s="307"/>
    </row>
    <row r="132" spans="1:2" x14ac:dyDescent="0.25">
      <c r="A132" s="307"/>
      <c r="B132" s="307"/>
    </row>
    <row r="133" spans="1:2" x14ac:dyDescent="0.25">
      <c r="A133" s="307"/>
      <c r="B133" s="307"/>
    </row>
    <row r="134" spans="1:2" x14ac:dyDescent="0.25">
      <c r="A134" s="307"/>
      <c r="B134" s="307"/>
    </row>
    <row r="135" spans="1:2" x14ac:dyDescent="0.25">
      <c r="A135" s="307"/>
      <c r="B135" s="307"/>
    </row>
    <row r="136" spans="1:2" x14ac:dyDescent="0.25">
      <c r="A136" s="307"/>
      <c r="B136" s="307"/>
    </row>
    <row r="137" spans="1:2" x14ac:dyDescent="0.25">
      <c r="A137" s="307"/>
      <c r="B137" s="307"/>
    </row>
    <row r="138" spans="1:2" x14ac:dyDescent="0.25">
      <c r="A138" s="307"/>
      <c r="B138" s="307"/>
    </row>
    <row r="139" spans="1:2" x14ac:dyDescent="0.25">
      <c r="A139" s="307"/>
      <c r="B139" s="307"/>
    </row>
    <row r="140" spans="1:2" x14ac:dyDescent="0.25">
      <c r="A140" s="307"/>
      <c r="B140" s="307"/>
    </row>
    <row r="141" spans="1:2" x14ac:dyDescent="0.25">
      <c r="A141" s="307"/>
      <c r="B141" s="307"/>
    </row>
    <row r="142" spans="1:2" x14ac:dyDescent="0.25">
      <c r="A142" s="307"/>
      <c r="B142" s="307"/>
    </row>
    <row r="143" spans="1:2" x14ac:dyDescent="0.25">
      <c r="A143" s="307"/>
      <c r="B143" s="307"/>
    </row>
    <row r="144" spans="1:2" x14ac:dyDescent="0.25">
      <c r="A144" s="307"/>
      <c r="B144" s="307"/>
    </row>
    <row r="145" spans="1:2" x14ac:dyDescent="0.25">
      <c r="A145" s="307"/>
      <c r="B145" s="307"/>
    </row>
    <row r="146" spans="1:2" x14ac:dyDescent="0.25">
      <c r="A146" s="307"/>
      <c r="B146" s="307"/>
    </row>
    <row r="147" spans="1:2" x14ac:dyDescent="0.25">
      <c r="A147" s="307"/>
      <c r="B147" s="307"/>
    </row>
    <row r="148" spans="1:2" x14ac:dyDescent="0.25">
      <c r="A148" s="307"/>
      <c r="B148" s="307"/>
    </row>
    <row r="149" spans="1:2" x14ac:dyDescent="0.25">
      <c r="A149" s="307"/>
      <c r="B149" s="307"/>
    </row>
    <row r="150" spans="1:2" x14ac:dyDescent="0.25">
      <c r="A150" s="307"/>
      <c r="B150" s="307"/>
    </row>
    <row r="151" spans="1:2" x14ac:dyDescent="0.25">
      <c r="A151" s="307"/>
      <c r="B151" s="307"/>
    </row>
    <row r="152" spans="1:2" x14ac:dyDescent="0.25">
      <c r="A152" s="307"/>
      <c r="B152" s="307"/>
    </row>
    <row r="153" spans="1:2" x14ac:dyDescent="0.25">
      <c r="A153" s="307"/>
      <c r="B153" s="307"/>
    </row>
    <row r="154" spans="1:2" x14ac:dyDescent="0.25">
      <c r="A154" s="307"/>
      <c r="B154" s="307"/>
    </row>
    <row r="155" spans="1:2" x14ac:dyDescent="0.25">
      <c r="A155" s="307"/>
      <c r="B155" s="307"/>
    </row>
    <row r="156" spans="1:2" x14ac:dyDescent="0.25">
      <c r="A156" s="307"/>
      <c r="B156" s="307"/>
    </row>
    <row r="157" spans="1:2" x14ac:dyDescent="0.25">
      <c r="A157" s="307"/>
      <c r="B157" s="307"/>
    </row>
    <row r="158" spans="1:2" x14ac:dyDescent="0.25">
      <c r="A158" s="307"/>
      <c r="B158" s="307"/>
    </row>
    <row r="159" spans="1:2" x14ac:dyDescent="0.25">
      <c r="A159" s="307"/>
      <c r="B159" s="307"/>
    </row>
    <row r="160" spans="1:2" x14ac:dyDescent="0.25">
      <c r="A160" s="307"/>
      <c r="B160" s="307"/>
    </row>
    <row r="161" spans="1:2" x14ac:dyDescent="0.25">
      <c r="A161" s="307"/>
      <c r="B161" s="307"/>
    </row>
    <row r="162" spans="1:2" x14ac:dyDescent="0.25">
      <c r="A162" s="307"/>
      <c r="B162" s="307"/>
    </row>
    <row r="163" spans="1:2" x14ac:dyDescent="0.25">
      <c r="A163" s="307"/>
      <c r="B163" s="307"/>
    </row>
    <row r="164" spans="1:2" x14ac:dyDescent="0.25">
      <c r="A164" s="307"/>
      <c r="B164" s="307"/>
    </row>
    <row r="165" spans="1:2" x14ac:dyDescent="0.25">
      <c r="A165" s="307"/>
      <c r="B165" s="307"/>
    </row>
    <row r="166" spans="1:2" x14ac:dyDescent="0.25">
      <c r="A166" s="307"/>
      <c r="B166" s="307"/>
    </row>
    <row r="167" spans="1:2" x14ac:dyDescent="0.25">
      <c r="A167" s="307"/>
      <c r="B167" s="307"/>
    </row>
    <row r="168" spans="1:2" x14ac:dyDescent="0.25">
      <c r="A168" s="307"/>
      <c r="B168" s="307"/>
    </row>
    <row r="169" spans="1:2" x14ac:dyDescent="0.25">
      <c r="A169" s="307"/>
      <c r="B169" s="307"/>
    </row>
    <row r="170" spans="1:2" x14ac:dyDescent="0.25">
      <c r="A170" s="307"/>
      <c r="B170" s="307"/>
    </row>
    <row r="171" spans="1:2" x14ac:dyDescent="0.25">
      <c r="A171" s="307"/>
      <c r="B171" s="307"/>
    </row>
    <row r="172" spans="1:2" x14ac:dyDescent="0.25">
      <c r="A172" s="307"/>
      <c r="B172" s="307"/>
    </row>
    <row r="173" spans="1:2" x14ac:dyDescent="0.25">
      <c r="A173" s="307"/>
      <c r="B173" s="307"/>
    </row>
    <row r="174" spans="1:2" x14ac:dyDescent="0.25">
      <c r="A174" s="307"/>
      <c r="B174" s="307"/>
    </row>
    <row r="175" spans="1:2" x14ac:dyDescent="0.25">
      <c r="A175" s="307"/>
      <c r="B175" s="307"/>
    </row>
    <row r="176" spans="1:2" x14ac:dyDescent="0.25">
      <c r="A176" s="307"/>
      <c r="B176" s="307"/>
    </row>
    <row r="177" spans="1:2" x14ac:dyDescent="0.25">
      <c r="A177" s="307"/>
      <c r="B177" s="307"/>
    </row>
    <row r="178" spans="1:2" x14ac:dyDescent="0.25">
      <c r="A178" s="307"/>
      <c r="B178" s="307"/>
    </row>
    <row r="179" spans="1:2" x14ac:dyDescent="0.25">
      <c r="A179" s="307"/>
      <c r="B179" s="307"/>
    </row>
    <row r="180" spans="1:2" x14ac:dyDescent="0.25">
      <c r="A180" s="307"/>
      <c r="B180" s="307"/>
    </row>
    <row r="181" spans="1:2" x14ac:dyDescent="0.25">
      <c r="A181" s="307"/>
      <c r="B181" s="307"/>
    </row>
    <row r="182" spans="1:2" x14ac:dyDescent="0.25">
      <c r="A182" s="307"/>
      <c r="B182" s="307"/>
    </row>
    <row r="183" spans="1:2" x14ac:dyDescent="0.25">
      <c r="A183" s="307"/>
      <c r="B183" s="307"/>
    </row>
    <row r="184" spans="1:2" x14ac:dyDescent="0.25">
      <c r="A184" s="307"/>
      <c r="B184" s="307"/>
    </row>
    <row r="185" spans="1:2" x14ac:dyDescent="0.25">
      <c r="A185" s="307"/>
      <c r="B185" s="307"/>
    </row>
    <row r="186" spans="1:2" x14ac:dyDescent="0.25">
      <c r="A186" s="307"/>
      <c r="B186" s="307"/>
    </row>
    <row r="187" spans="1:2" x14ac:dyDescent="0.25">
      <c r="A187" s="307"/>
      <c r="B187" s="307"/>
    </row>
    <row r="188" spans="1:2" x14ac:dyDescent="0.25">
      <c r="A188" s="307"/>
      <c r="B188" s="307"/>
    </row>
    <row r="189" spans="1:2" x14ac:dyDescent="0.25">
      <c r="A189" s="307"/>
      <c r="B189" s="307"/>
    </row>
    <row r="190" spans="1:2" x14ac:dyDescent="0.25">
      <c r="A190" s="307"/>
      <c r="B190" s="307"/>
    </row>
    <row r="191" spans="1:2" x14ac:dyDescent="0.25">
      <c r="A191" s="307"/>
      <c r="B191" s="307"/>
    </row>
    <row r="192" spans="1:2" x14ac:dyDescent="0.25">
      <c r="A192" s="307"/>
      <c r="B192" s="307"/>
    </row>
    <row r="193" spans="1:2" x14ac:dyDescent="0.25">
      <c r="A193" s="307"/>
      <c r="B193" s="307"/>
    </row>
    <row r="194" spans="1:2" x14ac:dyDescent="0.25">
      <c r="A194" s="307"/>
      <c r="B194" s="307"/>
    </row>
    <row r="195" spans="1:2" x14ac:dyDescent="0.25">
      <c r="A195" s="307"/>
      <c r="B195" s="307"/>
    </row>
    <row r="196" spans="1:2" x14ac:dyDescent="0.25">
      <c r="A196" s="307"/>
      <c r="B196" s="307"/>
    </row>
    <row r="197" spans="1:2" x14ac:dyDescent="0.25">
      <c r="A197" s="307"/>
      <c r="B197" s="307"/>
    </row>
    <row r="198" spans="1:2" x14ac:dyDescent="0.25">
      <c r="A198" s="307"/>
      <c r="B198" s="307"/>
    </row>
    <row r="199" spans="1:2" x14ac:dyDescent="0.25">
      <c r="A199" s="307"/>
      <c r="B199" s="307"/>
    </row>
    <row r="200" spans="1:2" x14ac:dyDescent="0.25">
      <c r="A200" s="307"/>
      <c r="B200" s="307"/>
    </row>
    <row r="201" spans="1:2" x14ac:dyDescent="0.25">
      <c r="A201" s="307"/>
      <c r="B201" s="307"/>
    </row>
    <row r="202" spans="1:2" x14ac:dyDescent="0.25">
      <c r="A202" s="307"/>
      <c r="B202" s="307"/>
    </row>
    <row r="203" spans="1:2" x14ac:dyDescent="0.25">
      <c r="A203" s="307"/>
      <c r="B203" s="307"/>
    </row>
    <row r="204" spans="1:2" x14ac:dyDescent="0.25">
      <c r="A204" s="307"/>
      <c r="B204" s="307"/>
    </row>
    <row r="205" spans="1:2" x14ac:dyDescent="0.25">
      <c r="A205" s="307"/>
      <c r="B205" s="307"/>
    </row>
    <row r="206" spans="1:2" x14ac:dyDescent="0.25">
      <c r="A206" s="307"/>
      <c r="B206" s="307"/>
    </row>
    <row r="207" spans="1:2" x14ac:dyDescent="0.25">
      <c r="A207" s="307"/>
      <c r="B207" s="307"/>
    </row>
    <row r="208" spans="1:2" x14ac:dyDescent="0.25">
      <c r="A208" s="307"/>
      <c r="B208" s="307"/>
    </row>
    <row r="209" spans="1:2" x14ac:dyDescent="0.25">
      <c r="A209" s="307"/>
      <c r="B209" s="307"/>
    </row>
    <row r="210" spans="1:2" x14ac:dyDescent="0.25">
      <c r="A210" s="307"/>
      <c r="B210" s="307"/>
    </row>
    <row r="211" spans="1:2" x14ac:dyDescent="0.25">
      <c r="A211" s="307"/>
      <c r="B211" s="307"/>
    </row>
    <row r="212" spans="1:2" x14ac:dyDescent="0.25">
      <c r="A212" s="307"/>
      <c r="B212" s="307"/>
    </row>
    <row r="213" spans="1:2" x14ac:dyDescent="0.25">
      <c r="A213" s="307"/>
      <c r="B213" s="307"/>
    </row>
    <row r="214" spans="1:2" x14ac:dyDescent="0.25">
      <c r="A214" s="307"/>
      <c r="B214" s="307"/>
    </row>
    <row r="215" spans="1:2" x14ac:dyDescent="0.25">
      <c r="A215" s="307"/>
      <c r="B215" s="307"/>
    </row>
    <row r="216" spans="1:2" x14ac:dyDescent="0.25">
      <c r="A216" s="307"/>
      <c r="B216" s="307"/>
    </row>
    <row r="217" spans="1:2" x14ac:dyDescent="0.25">
      <c r="A217" s="307"/>
      <c r="B217" s="307"/>
    </row>
    <row r="218" spans="1:2" x14ac:dyDescent="0.25">
      <c r="A218" s="307"/>
      <c r="B218" s="307"/>
    </row>
    <row r="219" spans="1:2" x14ac:dyDescent="0.25">
      <c r="A219" s="307"/>
      <c r="B219" s="307"/>
    </row>
    <row r="220" spans="1:2" x14ac:dyDescent="0.25">
      <c r="A220" s="307"/>
      <c r="B220" s="307"/>
    </row>
    <row r="221" spans="1:2" x14ac:dyDescent="0.25">
      <c r="A221" s="307"/>
      <c r="B221" s="307"/>
    </row>
    <row r="222" spans="1:2" x14ac:dyDescent="0.25">
      <c r="A222" s="307"/>
      <c r="B222" s="307"/>
    </row>
    <row r="223" spans="1:2" x14ac:dyDescent="0.25">
      <c r="A223" s="307"/>
      <c r="B223" s="307"/>
    </row>
    <row r="224" spans="1:2" x14ac:dyDescent="0.25">
      <c r="A224" s="307"/>
      <c r="B224" s="307"/>
    </row>
    <row r="225" spans="1:2" x14ac:dyDescent="0.25">
      <c r="A225" s="307"/>
      <c r="B225" s="307"/>
    </row>
    <row r="226" spans="1:2" x14ac:dyDescent="0.25">
      <c r="A226" s="307"/>
      <c r="B226" s="307"/>
    </row>
    <row r="227" spans="1:2" x14ac:dyDescent="0.25">
      <c r="A227" s="307"/>
      <c r="B227" s="307"/>
    </row>
    <row r="228" spans="1:2" x14ac:dyDescent="0.25">
      <c r="A228" s="307"/>
      <c r="B228" s="307"/>
    </row>
    <row r="229" spans="1:2" x14ac:dyDescent="0.25">
      <c r="A229" s="307"/>
      <c r="B229" s="307"/>
    </row>
    <row r="230" spans="1:2" x14ac:dyDescent="0.25">
      <c r="A230" s="307"/>
      <c r="B230" s="307"/>
    </row>
    <row r="231" spans="1:2" x14ac:dyDescent="0.25">
      <c r="A231" s="307"/>
      <c r="B231" s="307"/>
    </row>
    <row r="232" spans="1:2" x14ac:dyDescent="0.25">
      <c r="A232" s="307"/>
      <c r="B232" s="307"/>
    </row>
    <row r="233" spans="1:2" x14ac:dyDescent="0.25">
      <c r="A233" s="307"/>
      <c r="B233" s="307"/>
    </row>
    <row r="234" spans="1:2" x14ac:dyDescent="0.25">
      <c r="A234" s="307"/>
      <c r="B234" s="307"/>
    </row>
    <row r="235" spans="1:2" x14ac:dyDescent="0.25">
      <c r="A235" s="307"/>
      <c r="B235" s="307"/>
    </row>
    <row r="236" spans="1:2" x14ac:dyDescent="0.25">
      <c r="A236" s="307"/>
      <c r="B236" s="307"/>
    </row>
    <row r="237" spans="1:2" x14ac:dyDescent="0.25">
      <c r="A237" s="307"/>
      <c r="B237" s="307"/>
    </row>
    <row r="238" spans="1:2" x14ac:dyDescent="0.25">
      <c r="A238" s="307"/>
      <c r="B238" s="307"/>
    </row>
    <row r="239" spans="1:2" x14ac:dyDescent="0.25">
      <c r="A239" s="307"/>
      <c r="B239" s="307"/>
    </row>
    <row r="240" spans="1:2" x14ac:dyDescent="0.25">
      <c r="A240" s="307"/>
      <c r="B240" s="307"/>
    </row>
    <row r="241" spans="1:2" x14ac:dyDescent="0.25">
      <c r="A241" s="307"/>
      <c r="B241" s="307"/>
    </row>
    <row r="242" spans="1:2" x14ac:dyDescent="0.25">
      <c r="A242" s="307"/>
      <c r="B242" s="307"/>
    </row>
    <row r="243" spans="1:2" x14ac:dyDescent="0.25">
      <c r="A243" s="307"/>
      <c r="B243" s="307"/>
    </row>
    <row r="244" spans="1:2" x14ac:dyDescent="0.25">
      <c r="A244" s="307"/>
      <c r="B244" s="307"/>
    </row>
    <row r="245" spans="1:2" x14ac:dyDescent="0.25">
      <c r="A245" s="307"/>
      <c r="B245" s="307"/>
    </row>
    <row r="246" spans="1:2" x14ac:dyDescent="0.25">
      <c r="A246" s="307"/>
      <c r="B246" s="307"/>
    </row>
    <row r="247" spans="1:2" x14ac:dyDescent="0.25">
      <c r="A247" s="307"/>
      <c r="B247" s="307"/>
    </row>
    <row r="248" spans="1:2" x14ac:dyDescent="0.25">
      <c r="A248" s="307"/>
      <c r="B248" s="307"/>
    </row>
    <row r="249" spans="1:2" x14ac:dyDescent="0.25">
      <c r="A249" s="307"/>
      <c r="B249" s="307"/>
    </row>
    <row r="250" spans="1:2" x14ac:dyDescent="0.25">
      <c r="A250" s="307"/>
      <c r="B250" s="307"/>
    </row>
    <row r="251" spans="1:2" x14ac:dyDescent="0.25">
      <c r="A251" s="307"/>
      <c r="B251" s="307"/>
    </row>
    <row r="252" spans="1:2" x14ac:dyDescent="0.25">
      <c r="A252" s="307"/>
      <c r="B252" s="307"/>
    </row>
    <row r="253" spans="1:2" x14ac:dyDescent="0.25">
      <c r="A253" s="307"/>
      <c r="B253" s="307"/>
    </row>
    <row r="254" spans="1:2" x14ac:dyDescent="0.25">
      <c r="A254" s="307"/>
      <c r="B254" s="307"/>
    </row>
    <row r="255" spans="1:2" x14ac:dyDescent="0.25">
      <c r="A255" s="307"/>
      <c r="B255" s="307"/>
    </row>
    <row r="256" spans="1:2" x14ac:dyDescent="0.25">
      <c r="A256" s="307"/>
      <c r="B256" s="307"/>
    </row>
    <row r="257" spans="1:2" x14ac:dyDescent="0.25">
      <c r="A257" s="307"/>
      <c r="B257" s="307"/>
    </row>
    <row r="258" spans="1:2" x14ac:dyDescent="0.25">
      <c r="A258" s="307"/>
      <c r="B258" s="307"/>
    </row>
    <row r="259" spans="1:2" x14ac:dyDescent="0.25">
      <c r="A259" s="307"/>
      <c r="B259" s="307"/>
    </row>
    <row r="260" spans="1:2" x14ac:dyDescent="0.25">
      <c r="A260" s="307"/>
      <c r="B260" s="307"/>
    </row>
    <row r="261" spans="1:2" x14ac:dyDescent="0.25">
      <c r="A261" s="307"/>
      <c r="B261" s="307"/>
    </row>
    <row r="262" spans="1:2" x14ac:dyDescent="0.25">
      <c r="A262" s="307"/>
      <c r="B262" s="307"/>
    </row>
    <row r="263" spans="1:2" x14ac:dyDescent="0.25">
      <c r="A263" s="307"/>
      <c r="B263" s="307"/>
    </row>
    <row r="264" spans="1:2" x14ac:dyDescent="0.25">
      <c r="A264" s="307"/>
      <c r="B264" s="307"/>
    </row>
    <row r="265" spans="1:2" x14ac:dyDescent="0.25">
      <c r="A265" s="307"/>
      <c r="B265" s="307"/>
    </row>
    <row r="266" spans="1:2" x14ac:dyDescent="0.25">
      <c r="A266" s="307"/>
      <c r="B266" s="307"/>
    </row>
    <row r="267" spans="1:2" x14ac:dyDescent="0.25">
      <c r="A267" s="307"/>
      <c r="B267" s="307"/>
    </row>
    <row r="268" spans="1:2" x14ac:dyDescent="0.25">
      <c r="A268" s="307"/>
      <c r="B268" s="307"/>
    </row>
    <row r="269" spans="1:2" x14ac:dyDescent="0.25">
      <c r="A269" s="307"/>
      <c r="B269" s="307"/>
    </row>
    <row r="270" spans="1:2" x14ac:dyDescent="0.25">
      <c r="A270" s="307"/>
      <c r="B270" s="307"/>
    </row>
    <row r="271" spans="1:2" x14ac:dyDescent="0.25">
      <c r="A271" s="307"/>
      <c r="B271" s="307"/>
    </row>
    <row r="272" spans="1:2" x14ac:dyDescent="0.25">
      <c r="A272" s="307"/>
      <c r="B272" s="307"/>
    </row>
    <row r="273" spans="1:2" x14ac:dyDescent="0.25">
      <c r="A273" s="307"/>
      <c r="B273" s="307"/>
    </row>
    <row r="274" spans="1:2" x14ac:dyDescent="0.25">
      <c r="A274" s="307"/>
      <c r="B274" s="307"/>
    </row>
    <row r="275" spans="1:2" x14ac:dyDescent="0.25">
      <c r="A275" s="307"/>
      <c r="B275" s="307"/>
    </row>
    <row r="276" spans="1:2" x14ac:dyDescent="0.25">
      <c r="A276" s="307"/>
      <c r="B276" s="307"/>
    </row>
    <row r="277" spans="1:2" x14ac:dyDescent="0.25">
      <c r="A277" s="307"/>
      <c r="B277" s="307"/>
    </row>
    <row r="278" spans="1:2" x14ac:dyDescent="0.25">
      <c r="A278" s="307"/>
      <c r="B278" s="307"/>
    </row>
    <row r="279" spans="1:2" x14ac:dyDescent="0.25">
      <c r="A279" s="307"/>
      <c r="B279" s="307"/>
    </row>
    <row r="280" spans="1:2" x14ac:dyDescent="0.25">
      <c r="A280" s="307"/>
      <c r="B280" s="307"/>
    </row>
    <row r="281" spans="1:2" x14ac:dyDescent="0.25">
      <c r="A281" s="307"/>
      <c r="B281" s="307"/>
    </row>
    <row r="282" spans="1:2" x14ac:dyDescent="0.25">
      <c r="A282" s="307"/>
      <c r="B282" s="307"/>
    </row>
    <row r="283" spans="1:2" x14ac:dyDescent="0.25">
      <c r="A283" s="307"/>
      <c r="B283" s="307"/>
    </row>
    <row r="284" spans="1:2" x14ac:dyDescent="0.25">
      <c r="A284" s="307"/>
      <c r="B284" s="307"/>
    </row>
    <row r="285" spans="1:2" x14ac:dyDescent="0.25">
      <c r="A285" s="307"/>
      <c r="B285" s="307"/>
    </row>
    <row r="286" spans="1:2" x14ac:dyDescent="0.25">
      <c r="A286" s="307"/>
      <c r="B286" s="307"/>
    </row>
    <row r="287" spans="1:2" x14ac:dyDescent="0.25">
      <c r="A287" s="307"/>
      <c r="B287" s="307"/>
    </row>
    <row r="288" spans="1:2" x14ac:dyDescent="0.25">
      <c r="A288" s="307"/>
      <c r="B288" s="307"/>
    </row>
    <row r="289" spans="1:2" x14ac:dyDescent="0.25">
      <c r="A289" s="307"/>
      <c r="B289" s="307"/>
    </row>
    <row r="290" spans="1:2" x14ac:dyDescent="0.25">
      <c r="A290" s="307"/>
      <c r="B290" s="307"/>
    </row>
    <row r="291" spans="1:2" x14ac:dyDescent="0.25">
      <c r="A291" s="307"/>
      <c r="B291" s="307"/>
    </row>
    <row r="292" spans="1:2" x14ac:dyDescent="0.25">
      <c r="A292" s="307"/>
      <c r="B292" s="307"/>
    </row>
    <row r="293" spans="1:2" x14ac:dyDescent="0.25">
      <c r="A293" s="307"/>
      <c r="B293" s="307"/>
    </row>
    <row r="294" spans="1:2" x14ac:dyDescent="0.25">
      <c r="A294" s="307"/>
      <c r="B294" s="307"/>
    </row>
    <row r="295" spans="1:2" x14ac:dyDescent="0.25">
      <c r="A295" s="307"/>
      <c r="B295" s="307"/>
    </row>
    <row r="296" spans="1:2" x14ac:dyDescent="0.25">
      <c r="A296" s="307"/>
      <c r="B296" s="307"/>
    </row>
    <row r="297" spans="1:2" x14ac:dyDescent="0.25">
      <c r="A297" s="307"/>
      <c r="B297" s="307"/>
    </row>
    <row r="298" spans="1:2" x14ac:dyDescent="0.25">
      <c r="A298" s="307"/>
      <c r="B298" s="307"/>
    </row>
    <row r="299" spans="1:2" x14ac:dyDescent="0.25">
      <c r="A299" s="307"/>
      <c r="B299" s="307"/>
    </row>
    <row r="300" spans="1:2" x14ac:dyDescent="0.25">
      <c r="A300" s="307"/>
      <c r="B300" s="307"/>
    </row>
    <row r="301" spans="1:2" x14ac:dyDescent="0.25">
      <c r="A301" s="307"/>
      <c r="B301" s="307"/>
    </row>
    <row r="302" spans="1:2" x14ac:dyDescent="0.25">
      <c r="A302" s="307"/>
      <c r="B302" s="307"/>
    </row>
    <row r="303" spans="1:2" x14ac:dyDescent="0.25">
      <c r="A303" s="307"/>
      <c r="B303" s="307"/>
    </row>
    <row r="304" spans="1:2" x14ac:dyDescent="0.25">
      <c r="A304" s="307"/>
      <c r="B304" s="307"/>
    </row>
    <row r="305" spans="1:2" x14ac:dyDescent="0.25">
      <c r="A305" s="307"/>
      <c r="B305" s="307"/>
    </row>
    <row r="306" spans="1:2" x14ac:dyDescent="0.25">
      <c r="A306" s="307"/>
      <c r="B306" s="307"/>
    </row>
    <row r="307" spans="1:2" x14ac:dyDescent="0.25">
      <c r="A307" s="307"/>
      <c r="B307" s="307"/>
    </row>
    <row r="308" spans="1:2" x14ac:dyDescent="0.25">
      <c r="A308" s="307"/>
      <c r="B308" s="307"/>
    </row>
    <row r="309" spans="1:2" x14ac:dyDescent="0.25">
      <c r="A309" s="307"/>
      <c r="B309" s="307"/>
    </row>
    <row r="310" spans="1:2" x14ac:dyDescent="0.25">
      <c r="A310" s="307"/>
      <c r="B310" s="307"/>
    </row>
    <row r="311" spans="1:2" x14ac:dyDescent="0.25">
      <c r="A311" s="307"/>
      <c r="B311" s="307"/>
    </row>
    <row r="312" spans="1:2" x14ac:dyDescent="0.25">
      <c r="A312" s="307"/>
      <c r="B312" s="307"/>
    </row>
    <row r="313" spans="1:2" x14ac:dyDescent="0.25">
      <c r="A313" s="307"/>
      <c r="B313" s="307"/>
    </row>
    <row r="314" spans="1:2" x14ac:dyDescent="0.25">
      <c r="A314" s="307"/>
      <c r="B314" s="307"/>
    </row>
    <row r="315" spans="1:2" x14ac:dyDescent="0.25">
      <c r="A315" s="307"/>
      <c r="B315" s="307"/>
    </row>
    <row r="316" spans="1:2" x14ac:dyDescent="0.25">
      <c r="A316" s="307"/>
      <c r="B316" s="307"/>
    </row>
    <row r="317" spans="1:2" x14ac:dyDescent="0.25">
      <c r="A317" s="307"/>
      <c r="B317" s="307"/>
    </row>
    <row r="318" spans="1:2" x14ac:dyDescent="0.25">
      <c r="A318" s="307"/>
      <c r="B318" s="307"/>
    </row>
    <row r="319" spans="1:2" x14ac:dyDescent="0.25">
      <c r="A319" s="307"/>
      <c r="B319" s="307"/>
    </row>
    <row r="320" spans="1:2" x14ac:dyDescent="0.25">
      <c r="A320" s="307"/>
      <c r="B320" s="307"/>
    </row>
    <row r="321" spans="1:2" x14ac:dyDescent="0.25">
      <c r="A321" s="307"/>
      <c r="B321" s="307"/>
    </row>
    <row r="322" spans="1:2" x14ac:dyDescent="0.25">
      <c r="A322" s="307"/>
      <c r="B322" s="307"/>
    </row>
    <row r="323" spans="1:2" x14ac:dyDescent="0.25">
      <c r="A323" s="307"/>
      <c r="B323" s="307"/>
    </row>
    <row r="324" spans="1:2" x14ac:dyDescent="0.25">
      <c r="A324" s="307"/>
      <c r="B324" s="307"/>
    </row>
    <row r="325" spans="1:2" x14ac:dyDescent="0.25">
      <c r="A325" s="307"/>
      <c r="B325" s="307"/>
    </row>
    <row r="326" spans="1:2" x14ac:dyDescent="0.25">
      <c r="A326" s="307"/>
      <c r="B326" s="307"/>
    </row>
    <row r="327" spans="1:2" x14ac:dyDescent="0.25">
      <c r="A327" s="307"/>
      <c r="B327" s="307"/>
    </row>
    <row r="328" spans="1:2" x14ac:dyDescent="0.25">
      <c r="A328" s="307"/>
      <c r="B328" s="307"/>
    </row>
    <row r="329" spans="1:2" x14ac:dyDescent="0.25">
      <c r="A329" s="307"/>
      <c r="B329" s="307"/>
    </row>
    <row r="330" spans="1:2" x14ac:dyDescent="0.25">
      <c r="A330" s="307"/>
      <c r="B330" s="307"/>
    </row>
    <row r="331" spans="1:2" x14ac:dyDescent="0.25">
      <c r="A331" s="307"/>
      <c r="B331" s="307"/>
    </row>
    <row r="332" spans="1:2" x14ac:dyDescent="0.25">
      <c r="A332" s="307"/>
      <c r="B332" s="307"/>
    </row>
    <row r="333" spans="1:2" x14ac:dyDescent="0.25">
      <c r="A333" s="307"/>
      <c r="B333" s="307"/>
    </row>
    <row r="334" spans="1:2" x14ac:dyDescent="0.25">
      <c r="A334" s="307"/>
      <c r="B334" s="307"/>
    </row>
    <row r="335" spans="1:2" x14ac:dyDescent="0.25">
      <c r="A335" s="307"/>
      <c r="B335" s="307"/>
    </row>
    <row r="336" spans="1:2" x14ac:dyDescent="0.25">
      <c r="A336" s="307"/>
      <c r="B336" s="307"/>
    </row>
    <row r="337" spans="1:2" x14ac:dyDescent="0.25">
      <c r="A337" s="307"/>
      <c r="B337" s="307"/>
    </row>
    <row r="338" spans="1:2" x14ac:dyDescent="0.25">
      <c r="A338" s="307"/>
      <c r="B338" s="307"/>
    </row>
    <row r="339" spans="1:2" x14ac:dyDescent="0.25">
      <c r="A339" s="307"/>
      <c r="B339" s="307"/>
    </row>
    <row r="340" spans="1:2" x14ac:dyDescent="0.25">
      <c r="A340" s="307"/>
      <c r="B340" s="307"/>
    </row>
    <row r="341" spans="1:2" x14ac:dyDescent="0.25">
      <c r="A341" s="307"/>
      <c r="B341" s="307"/>
    </row>
    <row r="342" spans="1:2" x14ac:dyDescent="0.25">
      <c r="A342" s="307"/>
      <c r="B342" s="307"/>
    </row>
    <row r="343" spans="1:2" x14ac:dyDescent="0.25">
      <c r="A343" s="307"/>
      <c r="B343" s="307"/>
    </row>
    <row r="344" spans="1:2" x14ac:dyDescent="0.25">
      <c r="A344" s="307"/>
      <c r="B344" s="307"/>
    </row>
    <row r="345" spans="1:2" x14ac:dyDescent="0.25">
      <c r="A345" s="307"/>
      <c r="B345" s="307"/>
    </row>
    <row r="346" spans="1:2" x14ac:dyDescent="0.25">
      <c r="A346" s="307"/>
      <c r="B346" s="307"/>
    </row>
    <row r="347" spans="1:2" x14ac:dyDescent="0.25">
      <c r="A347" s="307"/>
      <c r="B347" s="307"/>
    </row>
    <row r="348" spans="1:2" x14ac:dyDescent="0.25">
      <c r="A348" s="307"/>
      <c r="B348" s="307"/>
    </row>
    <row r="349" spans="1:2" x14ac:dyDescent="0.25">
      <c r="A349" s="307"/>
      <c r="B349" s="307"/>
    </row>
    <row r="350" spans="1:2" x14ac:dyDescent="0.25">
      <c r="A350" s="307"/>
      <c r="B350" s="307"/>
    </row>
    <row r="351" spans="1:2" x14ac:dyDescent="0.25">
      <c r="A351" s="307"/>
      <c r="B351" s="307"/>
    </row>
    <row r="352" spans="1:2" x14ac:dyDescent="0.25">
      <c r="A352" s="307"/>
      <c r="B352" s="307"/>
    </row>
    <row r="353" spans="1:2" x14ac:dyDescent="0.25">
      <c r="A353" s="307"/>
      <c r="B353" s="307"/>
    </row>
    <row r="354" spans="1:2" x14ac:dyDescent="0.25">
      <c r="A354" s="307"/>
      <c r="B354" s="307"/>
    </row>
    <row r="355" spans="1:2" x14ac:dyDescent="0.25">
      <c r="A355" s="307"/>
      <c r="B355" s="307"/>
    </row>
    <row r="356" spans="1:2" x14ac:dyDescent="0.25">
      <c r="A356" s="307"/>
      <c r="B356" s="307"/>
    </row>
    <row r="357" spans="1:2" x14ac:dyDescent="0.25">
      <c r="A357" s="307"/>
      <c r="B357" s="307"/>
    </row>
    <row r="358" spans="1:2" x14ac:dyDescent="0.25">
      <c r="A358" s="307"/>
      <c r="B358" s="307"/>
    </row>
    <row r="359" spans="1:2" x14ac:dyDescent="0.25">
      <c r="A359" s="307"/>
      <c r="B359" s="307"/>
    </row>
    <row r="360" spans="1:2" x14ac:dyDescent="0.25">
      <c r="A360" s="307"/>
      <c r="B360" s="307"/>
    </row>
    <row r="361" spans="1:2" x14ac:dyDescent="0.25">
      <c r="A361" s="307"/>
      <c r="B361" s="307"/>
    </row>
    <row r="362" spans="1:2" x14ac:dyDescent="0.25">
      <c r="A362" s="307"/>
      <c r="B362" s="307"/>
    </row>
    <row r="363" spans="1:2" x14ac:dyDescent="0.25">
      <c r="A363" s="307"/>
      <c r="B363" s="307"/>
    </row>
    <row r="364" spans="1:2" x14ac:dyDescent="0.25">
      <c r="A364" s="307"/>
      <c r="B364" s="307"/>
    </row>
    <row r="365" spans="1:2" x14ac:dyDescent="0.25">
      <c r="A365" s="307"/>
      <c r="B365" s="307"/>
    </row>
    <row r="366" spans="1:2" x14ac:dyDescent="0.25">
      <c r="A366" s="307"/>
      <c r="B366" s="307"/>
    </row>
    <row r="367" spans="1:2" x14ac:dyDescent="0.25">
      <c r="A367" s="307"/>
      <c r="B367" s="307"/>
    </row>
    <row r="368" spans="1:2" x14ac:dyDescent="0.25">
      <c r="A368" s="307"/>
      <c r="B368" s="307"/>
    </row>
    <row r="369" spans="1:2" x14ac:dyDescent="0.25">
      <c r="A369" s="307"/>
      <c r="B369" s="307"/>
    </row>
    <row r="370" spans="1:2" x14ac:dyDescent="0.25">
      <c r="A370" s="307"/>
      <c r="B370" s="307"/>
    </row>
    <row r="371" spans="1:2" x14ac:dyDescent="0.25">
      <c r="A371" s="307"/>
      <c r="B371" s="307"/>
    </row>
    <row r="372" spans="1:2" x14ac:dyDescent="0.25">
      <c r="A372" s="307"/>
      <c r="B372" s="307"/>
    </row>
    <row r="373" spans="1:2" x14ac:dyDescent="0.25">
      <c r="A373" s="307"/>
      <c r="B373" s="307"/>
    </row>
    <row r="374" spans="1:2" x14ac:dyDescent="0.25">
      <c r="A374" s="307"/>
      <c r="B374" s="307"/>
    </row>
    <row r="375" spans="1:2" x14ac:dyDescent="0.25">
      <c r="A375" s="307"/>
      <c r="B375" s="307"/>
    </row>
    <row r="376" spans="1:2" x14ac:dyDescent="0.25">
      <c r="A376" s="307"/>
      <c r="B376" s="307"/>
    </row>
    <row r="377" spans="1:2" x14ac:dyDescent="0.25">
      <c r="A377" s="307"/>
      <c r="B377" s="307"/>
    </row>
    <row r="378" spans="1:2" x14ac:dyDescent="0.25">
      <c r="A378" s="307"/>
      <c r="B378" s="307"/>
    </row>
    <row r="379" spans="1:2" x14ac:dyDescent="0.25">
      <c r="A379" s="307"/>
      <c r="B379" s="307"/>
    </row>
    <row r="380" spans="1:2" x14ac:dyDescent="0.25">
      <c r="A380" s="307"/>
      <c r="B380" s="307"/>
    </row>
    <row r="381" spans="1:2" x14ac:dyDescent="0.25">
      <c r="A381" s="307"/>
      <c r="B381" s="307"/>
    </row>
    <row r="382" spans="1:2" x14ac:dyDescent="0.25">
      <c r="A382" s="307"/>
      <c r="B382" s="307"/>
    </row>
    <row r="383" spans="1:2" x14ac:dyDescent="0.25">
      <c r="A383" s="307"/>
      <c r="B383" s="307"/>
    </row>
    <row r="384" spans="1:2" x14ac:dyDescent="0.25">
      <c r="A384" s="307"/>
      <c r="B384" s="307"/>
    </row>
    <row r="385" spans="1:2" x14ac:dyDescent="0.25">
      <c r="A385" s="307"/>
      <c r="B385" s="307"/>
    </row>
    <row r="386" spans="1:2" x14ac:dyDescent="0.25">
      <c r="A386" s="307"/>
      <c r="B386" s="307"/>
    </row>
    <row r="387" spans="1:2" x14ac:dyDescent="0.25">
      <c r="A387" s="307"/>
      <c r="B387" s="307"/>
    </row>
    <row r="388" spans="1:2" x14ac:dyDescent="0.25">
      <c r="A388" s="307"/>
      <c r="B388" s="307"/>
    </row>
    <row r="389" spans="1:2" x14ac:dyDescent="0.25">
      <c r="A389" s="307"/>
      <c r="B389" s="307"/>
    </row>
    <row r="390" spans="1:2" x14ac:dyDescent="0.25">
      <c r="A390" s="307"/>
      <c r="B390" s="307"/>
    </row>
    <row r="391" spans="1:2" x14ac:dyDescent="0.25">
      <c r="A391" s="307"/>
      <c r="B391" s="307"/>
    </row>
    <row r="392" spans="1:2" x14ac:dyDescent="0.25">
      <c r="A392" s="307"/>
      <c r="B392" s="307"/>
    </row>
    <row r="393" spans="1:2" x14ac:dyDescent="0.25">
      <c r="A393" s="307"/>
      <c r="B393" s="307"/>
    </row>
    <row r="394" spans="1:2" x14ac:dyDescent="0.25">
      <c r="A394" s="307"/>
      <c r="B394" s="307"/>
    </row>
    <row r="395" spans="1:2" x14ac:dyDescent="0.25">
      <c r="A395" s="307"/>
      <c r="B395" s="307"/>
    </row>
    <row r="396" spans="1:2" x14ac:dyDescent="0.25">
      <c r="A396" s="307"/>
      <c r="B396" s="307"/>
    </row>
    <row r="397" spans="1:2" x14ac:dyDescent="0.25">
      <c r="A397" s="307"/>
      <c r="B397" s="307"/>
    </row>
    <row r="398" spans="1:2" x14ac:dyDescent="0.25">
      <c r="A398" s="307"/>
      <c r="B398" s="307"/>
    </row>
    <row r="399" spans="1:2" x14ac:dyDescent="0.25">
      <c r="A399" s="307"/>
      <c r="B399" s="307"/>
    </row>
    <row r="400" spans="1:2" x14ac:dyDescent="0.25">
      <c r="A400" s="307"/>
      <c r="B400" s="307"/>
    </row>
    <row r="401" spans="1:2" x14ac:dyDescent="0.25">
      <c r="A401" s="307"/>
      <c r="B401" s="307"/>
    </row>
    <row r="402" spans="1:2" x14ac:dyDescent="0.25">
      <c r="A402" s="307"/>
      <c r="B402" s="307"/>
    </row>
    <row r="403" spans="1:2" x14ac:dyDescent="0.25">
      <c r="A403" s="307"/>
      <c r="B403" s="307"/>
    </row>
    <row r="404" spans="1:2" x14ac:dyDescent="0.25">
      <c r="A404" s="307"/>
      <c r="B404" s="307"/>
    </row>
    <row r="405" spans="1:2" x14ac:dyDescent="0.25">
      <c r="A405" s="307"/>
      <c r="B405" s="307"/>
    </row>
    <row r="406" spans="1:2" x14ac:dyDescent="0.25">
      <c r="A406" s="307"/>
      <c r="B406" s="307"/>
    </row>
    <row r="407" spans="1:2" x14ac:dyDescent="0.25">
      <c r="A407" s="307"/>
      <c r="B407" s="307"/>
    </row>
    <row r="408" spans="1:2" x14ac:dyDescent="0.25">
      <c r="A408" s="307"/>
      <c r="B408" s="307"/>
    </row>
    <row r="409" spans="1:2" x14ac:dyDescent="0.25">
      <c r="A409" s="307"/>
      <c r="B409" s="307"/>
    </row>
    <row r="410" spans="1:2" x14ac:dyDescent="0.25">
      <c r="A410" s="307"/>
      <c r="B410" s="307"/>
    </row>
    <row r="411" spans="1:2" x14ac:dyDescent="0.25">
      <c r="A411" s="307"/>
      <c r="B411" s="307"/>
    </row>
    <row r="412" spans="1:2" x14ac:dyDescent="0.25">
      <c r="A412" s="307"/>
      <c r="B412" s="307"/>
    </row>
    <row r="413" spans="1:2" x14ac:dyDescent="0.25">
      <c r="A413" s="307"/>
      <c r="B413" s="307"/>
    </row>
    <row r="414" spans="1:2" x14ac:dyDescent="0.25">
      <c r="A414" s="307"/>
      <c r="B414" s="307"/>
    </row>
    <row r="415" spans="1:2" x14ac:dyDescent="0.25">
      <c r="A415" s="307"/>
      <c r="B415" s="307"/>
    </row>
    <row r="416" spans="1:2" x14ac:dyDescent="0.25">
      <c r="A416" s="307"/>
      <c r="B416" s="307"/>
    </row>
    <row r="417" spans="1:2" x14ac:dyDescent="0.25">
      <c r="A417" s="307"/>
      <c r="B417" s="307"/>
    </row>
    <row r="418" spans="1:2" x14ac:dyDescent="0.25">
      <c r="A418" s="307"/>
      <c r="B418" s="307"/>
    </row>
    <row r="419" spans="1:2" x14ac:dyDescent="0.25">
      <c r="A419" s="307"/>
      <c r="B419" s="307"/>
    </row>
    <row r="420" spans="1:2" x14ac:dyDescent="0.25">
      <c r="A420" s="307"/>
      <c r="B420" s="307"/>
    </row>
    <row r="421" spans="1:2" x14ac:dyDescent="0.25">
      <c r="A421" s="307"/>
      <c r="B421" s="307"/>
    </row>
    <row r="422" spans="1:2" x14ac:dyDescent="0.25">
      <c r="A422" s="307"/>
      <c r="B422" s="307"/>
    </row>
    <row r="423" spans="1:2" x14ac:dyDescent="0.25">
      <c r="A423" s="307"/>
      <c r="B423" s="307"/>
    </row>
    <row r="424" spans="1:2" x14ac:dyDescent="0.25">
      <c r="A424" s="307"/>
      <c r="B424" s="307"/>
    </row>
    <row r="425" spans="1:2" x14ac:dyDescent="0.25">
      <c r="A425" s="307"/>
      <c r="B425" s="307"/>
    </row>
    <row r="426" spans="1:2" x14ac:dyDescent="0.25">
      <c r="A426" s="307"/>
      <c r="B426" s="307"/>
    </row>
    <row r="427" spans="1:2" x14ac:dyDescent="0.25">
      <c r="A427" s="307"/>
      <c r="B427" s="307"/>
    </row>
    <row r="428" spans="1:2" x14ac:dyDescent="0.25">
      <c r="A428" s="307"/>
      <c r="B428" s="307"/>
    </row>
    <row r="429" spans="1:2" x14ac:dyDescent="0.25">
      <c r="A429" s="307"/>
      <c r="B429" s="307"/>
    </row>
    <row r="430" spans="1:2" x14ac:dyDescent="0.25">
      <c r="A430" s="307"/>
      <c r="B430" s="307"/>
    </row>
    <row r="431" spans="1:2" x14ac:dyDescent="0.25">
      <c r="A431" s="307"/>
      <c r="B431" s="307"/>
    </row>
    <row r="432" spans="1:2" x14ac:dyDescent="0.25">
      <c r="A432" s="307"/>
      <c r="B432" s="307"/>
    </row>
    <row r="433" spans="1:2" x14ac:dyDescent="0.25">
      <c r="A433" s="307"/>
      <c r="B433" s="307"/>
    </row>
    <row r="434" spans="1:2" x14ac:dyDescent="0.25">
      <c r="A434" s="307"/>
      <c r="B434" s="307"/>
    </row>
    <row r="435" spans="1:2" x14ac:dyDescent="0.25">
      <c r="A435" s="307"/>
      <c r="B435" s="307"/>
    </row>
    <row r="436" spans="1:2" x14ac:dyDescent="0.25">
      <c r="A436" s="307"/>
      <c r="B436" s="307"/>
    </row>
    <row r="437" spans="1:2" x14ac:dyDescent="0.25">
      <c r="A437" s="307"/>
      <c r="B437" s="307"/>
    </row>
    <row r="438" spans="1:2" x14ac:dyDescent="0.25">
      <c r="A438" s="307"/>
      <c r="B438" s="307"/>
    </row>
    <row r="439" spans="1:2" x14ac:dyDescent="0.25">
      <c r="A439" s="307"/>
      <c r="B439" s="307"/>
    </row>
    <row r="440" spans="1:2" x14ac:dyDescent="0.25">
      <c r="A440" s="307"/>
      <c r="B440" s="307"/>
    </row>
    <row r="441" spans="1:2" x14ac:dyDescent="0.25">
      <c r="A441" s="307"/>
      <c r="B441" s="307"/>
    </row>
    <row r="442" spans="1:2" x14ac:dyDescent="0.25">
      <c r="A442" s="307"/>
      <c r="B442" s="307"/>
    </row>
    <row r="443" spans="1:2" x14ac:dyDescent="0.25">
      <c r="A443" s="307"/>
      <c r="B443" s="307"/>
    </row>
    <row r="444" spans="1:2" x14ac:dyDescent="0.25">
      <c r="A444" s="307"/>
      <c r="B444" s="307"/>
    </row>
    <row r="445" spans="1:2" x14ac:dyDescent="0.25">
      <c r="A445" s="307"/>
      <c r="B445" s="307"/>
    </row>
    <row r="446" spans="1:2" x14ac:dyDescent="0.25">
      <c r="A446" s="307"/>
      <c r="B446" s="307"/>
    </row>
    <row r="447" spans="1:2" x14ac:dyDescent="0.25">
      <c r="A447" s="307"/>
      <c r="B447" s="307"/>
    </row>
    <row r="448" spans="1:2" x14ac:dyDescent="0.25">
      <c r="A448" s="307"/>
      <c r="B448" s="307"/>
    </row>
    <row r="449" spans="1:2" x14ac:dyDescent="0.25">
      <c r="A449" s="307"/>
      <c r="B449" s="307"/>
    </row>
    <row r="450" spans="1:2" x14ac:dyDescent="0.25">
      <c r="A450" s="307"/>
      <c r="B450" s="307"/>
    </row>
    <row r="451" spans="1:2" x14ac:dyDescent="0.25">
      <c r="A451" s="307"/>
      <c r="B451" s="307"/>
    </row>
    <row r="452" spans="1:2" x14ac:dyDescent="0.25">
      <c r="A452" s="307"/>
      <c r="B452" s="307"/>
    </row>
    <row r="453" spans="1:2" x14ac:dyDescent="0.25">
      <c r="A453" s="307"/>
      <c r="B453" s="307"/>
    </row>
    <row r="454" spans="1:2" x14ac:dyDescent="0.25">
      <c r="A454" s="307"/>
      <c r="B454" s="307"/>
    </row>
    <row r="455" spans="1:2" x14ac:dyDescent="0.25">
      <c r="A455" s="307"/>
      <c r="B455" s="307"/>
    </row>
    <row r="456" spans="1:2" x14ac:dyDescent="0.25">
      <c r="A456" s="307"/>
      <c r="B456" s="307"/>
    </row>
    <row r="457" spans="1:2" x14ac:dyDescent="0.25">
      <c r="A457" s="307"/>
      <c r="B457" s="307"/>
    </row>
    <row r="458" spans="1:2" x14ac:dyDescent="0.25">
      <c r="A458" s="307"/>
      <c r="B458" s="307"/>
    </row>
    <row r="459" spans="1:2" x14ac:dyDescent="0.25">
      <c r="A459" s="307"/>
      <c r="B459" s="307"/>
    </row>
    <row r="460" spans="1:2" x14ac:dyDescent="0.25">
      <c r="A460" s="307"/>
      <c r="B460" s="307"/>
    </row>
    <row r="461" spans="1:2" x14ac:dyDescent="0.25">
      <c r="A461" s="307"/>
      <c r="B461" s="307"/>
    </row>
    <row r="462" spans="1:2" x14ac:dyDescent="0.25">
      <c r="A462" s="307"/>
      <c r="B462" s="307"/>
    </row>
    <row r="463" spans="1:2" x14ac:dyDescent="0.25">
      <c r="A463" s="307"/>
      <c r="B463" s="307"/>
    </row>
    <row r="464" spans="1:2" x14ac:dyDescent="0.25">
      <c r="A464" s="307"/>
      <c r="B464" s="307"/>
    </row>
    <row r="465" spans="1:2" x14ac:dyDescent="0.25">
      <c r="A465" s="307"/>
      <c r="B465" s="307"/>
    </row>
    <row r="466" spans="1:2" x14ac:dyDescent="0.25">
      <c r="A466" s="307"/>
      <c r="B466" s="307"/>
    </row>
    <row r="467" spans="1:2" x14ac:dyDescent="0.25">
      <c r="A467" s="307"/>
      <c r="B467" s="307"/>
    </row>
    <row r="468" spans="1:2" x14ac:dyDescent="0.25">
      <c r="A468" s="307"/>
      <c r="B468" s="307"/>
    </row>
    <row r="469" spans="1:2" x14ac:dyDescent="0.25">
      <c r="A469" s="307"/>
      <c r="B469" s="307"/>
    </row>
    <row r="470" spans="1:2" x14ac:dyDescent="0.25">
      <c r="A470" s="307"/>
      <c r="B470" s="307"/>
    </row>
    <row r="471" spans="1:2" x14ac:dyDescent="0.25">
      <c r="A471" s="307"/>
      <c r="B471" s="307"/>
    </row>
    <row r="472" spans="1:2" x14ac:dyDescent="0.25">
      <c r="A472" s="307"/>
      <c r="B472" s="307"/>
    </row>
    <row r="473" spans="1:2" x14ac:dyDescent="0.25">
      <c r="A473" s="307"/>
      <c r="B473" s="307"/>
    </row>
    <row r="474" spans="1:2" x14ac:dyDescent="0.25">
      <c r="A474" s="307"/>
      <c r="B474" s="307"/>
    </row>
    <row r="475" spans="1:2" x14ac:dyDescent="0.25">
      <c r="A475" s="307"/>
      <c r="B475" s="307"/>
    </row>
    <row r="476" spans="1:2" x14ac:dyDescent="0.25">
      <c r="A476" s="307"/>
      <c r="B476" s="307"/>
    </row>
    <row r="477" spans="1:2" x14ac:dyDescent="0.25">
      <c r="A477" s="307"/>
      <c r="B477" s="307"/>
    </row>
    <row r="478" spans="1:2" x14ac:dyDescent="0.25">
      <c r="A478" s="307"/>
      <c r="B478" s="307"/>
    </row>
    <row r="479" spans="1:2" x14ac:dyDescent="0.25">
      <c r="A479" s="307"/>
      <c r="B479" s="307"/>
    </row>
    <row r="480" spans="1:2" x14ac:dyDescent="0.25">
      <c r="A480" s="307"/>
      <c r="B480" s="307"/>
    </row>
    <row r="481" spans="1:2" x14ac:dyDescent="0.25">
      <c r="A481" s="307"/>
      <c r="B481" s="307"/>
    </row>
    <row r="482" spans="1:2" x14ac:dyDescent="0.25">
      <c r="A482" s="307"/>
      <c r="B482" s="307"/>
    </row>
    <row r="483" spans="1:2" x14ac:dyDescent="0.25">
      <c r="A483" s="307"/>
      <c r="B483" s="307"/>
    </row>
    <row r="484" spans="1:2" x14ac:dyDescent="0.25">
      <c r="A484" s="307"/>
      <c r="B484" s="307"/>
    </row>
    <row r="485" spans="1:2" x14ac:dyDescent="0.25">
      <c r="A485" s="307"/>
      <c r="B485" s="307"/>
    </row>
    <row r="486" spans="1:2" x14ac:dyDescent="0.25">
      <c r="A486" s="307"/>
      <c r="B486" s="307"/>
    </row>
    <row r="487" spans="1:2" x14ac:dyDescent="0.25">
      <c r="A487" s="307"/>
      <c r="B487" s="307"/>
    </row>
    <row r="488" spans="1:2" x14ac:dyDescent="0.25">
      <c r="A488" s="307"/>
      <c r="B488" s="307"/>
    </row>
    <row r="489" spans="1:2" x14ac:dyDescent="0.25">
      <c r="A489" s="307"/>
      <c r="B489" s="307"/>
    </row>
    <row r="490" spans="1:2" x14ac:dyDescent="0.25">
      <c r="A490" s="307"/>
      <c r="B490" s="307"/>
    </row>
    <row r="491" spans="1:2" x14ac:dyDescent="0.25">
      <c r="A491" s="307"/>
      <c r="B491" s="307"/>
    </row>
    <row r="492" spans="1:2" x14ac:dyDescent="0.25">
      <c r="A492" s="307"/>
      <c r="B492" s="307"/>
    </row>
    <row r="493" spans="1:2" x14ac:dyDescent="0.25">
      <c r="A493" s="307"/>
      <c r="B493" s="307"/>
    </row>
    <row r="494" spans="1:2" x14ac:dyDescent="0.25">
      <c r="A494" s="307"/>
      <c r="B494" s="307"/>
    </row>
    <row r="495" spans="1:2" x14ac:dyDescent="0.25">
      <c r="A495" s="307"/>
      <c r="B495" s="307"/>
    </row>
    <row r="496" spans="1:2" x14ac:dyDescent="0.25">
      <c r="A496" s="307"/>
      <c r="B496" s="307"/>
    </row>
    <row r="497" spans="1:2" x14ac:dyDescent="0.25">
      <c r="A497" s="307"/>
      <c r="B497" s="307"/>
    </row>
    <row r="498" spans="1:2" x14ac:dyDescent="0.25">
      <c r="A498" s="307"/>
      <c r="B498" s="307"/>
    </row>
    <row r="499" spans="1:2" x14ac:dyDescent="0.25">
      <c r="A499" s="307"/>
      <c r="B499" s="307"/>
    </row>
    <row r="500" spans="1:2" x14ac:dyDescent="0.25">
      <c r="A500" s="307"/>
      <c r="B500" s="307"/>
    </row>
    <row r="501" spans="1:2" x14ac:dyDescent="0.25">
      <c r="A501" s="307"/>
      <c r="B501" s="307"/>
    </row>
    <row r="502" spans="1:2" x14ac:dyDescent="0.25">
      <c r="A502" s="307"/>
      <c r="B502" s="307"/>
    </row>
    <row r="503" spans="1:2" x14ac:dyDescent="0.25">
      <c r="A503" s="307"/>
      <c r="B503" s="307"/>
    </row>
    <row r="504" spans="1:2" x14ac:dyDescent="0.25">
      <c r="A504" s="307"/>
      <c r="B504" s="307"/>
    </row>
    <row r="505" spans="1:2" x14ac:dyDescent="0.25">
      <c r="A505" s="307"/>
      <c r="B505" s="307"/>
    </row>
    <row r="506" spans="1:2" x14ac:dyDescent="0.25">
      <c r="A506" s="307"/>
      <c r="B506" s="307"/>
    </row>
    <row r="507" spans="1:2" x14ac:dyDescent="0.25">
      <c r="A507" s="307"/>
      <c r="B507" s="307"/>
    </row>
    <row r="508" spans="1:2" x14ac:dyDescent="0.25">
      <c r="A508" s="307"/>
      <c r="B508" s="307"/>
    </row>
    <row r="509" spans="1:2" x14ac:dyDescent="0.25">
      <c r="A509" s="307"/>
      <c r="B509" s="307"/>
    </row>
    <row r="510" spans="1:2" x14ac:dyDescent="0.25">
      <c r="A510" s="307"/>
      <c r="B510" s="307"/>
    </row>
    <row r="511" spans="1:2" x14ac:dyDescent="0.25">
      <c r="A511" s="307"/>
      <c r="B511" s="307"/>
    </row>
    <row r="512" spans="1:2" x14ac:dyDescent="0.25">
      <c r="A512" s="307"/>
      <c r="B512" s="307"/>
    </row>
    <row r="513" spans="1:2" x14ac:dyDescent="0.25">
      <c r="A513" s="307"/>
      <c r="B513" s="307"/>
    </row>
    <row r="514" spans="1:2" x14ac:dyDescent="0.25">
      <c r="A514" s="307"/>
      <c r="B514" s="307"/>
    </row>
    <row r="515" spans="1:2" x14ac:dyDescent="0.25">
      <c r="A515" s="307"/>
      <c r="B515" s="307"/>
    </row>
    <row r="516" spans="1:2" x14ac:dyDescent="0.25">
      <c r="A516" s="307"/>
      <c r="B516" s="307"/>
    </row>
    <row r="517" spans="1:2" x14ac:dyDescent="0.25">
      <c r="A517" s="307"/>
      <c r="B517" s="307"/>
    </row>
    <row r="518" spans="1:2" x14ac:dyDescent="0.25">
      <c r="A518" s="307"/>
      <c r="B518" s="307"/>
    </row>
    <row r="519" spans="1:2" x14ac:dyDescent="0.25">
      <c r="A519" s="307"/>
      <c r="B519" s="307"/>
    </row>
    <row r="520" spans="1:2" x14ac:dyDescent="0.25">
      <c r="A520" s="307"/>
      <c r="B520" s="307"/>
    </row>
    <row r="521" spans="1:2" x14ac:dyDescent="0.25">
      <c r="A521" s="307"/>
      <c r="B521" s="307"/>
    </row>
    <row r="522" spans="1:2" x14ac:dyDescent="0.25">
      <c r="A522" s="307"/>
      <c r="B522" s="307"/>
    </row>
    <row r="523" spans="1:2" x14ac:dyDescent="0.25">
      <c r="A523" s="307"/>
      <c r="B523" s="307"/>
    </row>
    <row r="524" spans="1:2" x14ac:dyDescent="0.25">
      <c r="A524" s="307"/>
      <c r="B524" s="307"/>
    </row>
    <row r="525" spans="1:2" x14ac:dyDescent="0.25">
      <c r="A525" s="307"/>
      <c r="B525" s="307"/>
    </row>
    <row r="526" spans="1:2" x14ac:dyDescent="0.25">
      <c r="A526" s="307"/>
      <c r="B526" s="307"/>
    </row>
    <row r="527" spans="1:2" x14ac:dyDescent="0.25">
      <c r="A527" s="307"/>
      <c r="B527" s="307"/>
    </row>
    <row r="528" spans="1:2" x14ac:dyDescent="0.25">
      <c r="A528" s="307"/>
      <c r="B528" s="307"/>
    </row>
    <row r="529" spans="1:2" x14ac:dyDescent="0.25">
      <c r="A529" s="307"/>
      <c r="B529" s="307"/>
    </row>
    <row r="530" spans="1:2" x14ac:dyDescent="0.25">
      <c r="A530" s="307"/>
      <c r="B530" s="307"/>
    </row>
    <row r="531" spans="1:2" x14ac:dyDescent="0.25">
      <c r="A531" s="307"/>
      <c r="B531" s="307"/>
    </row>
    <row r="532" spans="1:2" x14ac:dyDescent="0.25">
      <c r="A532" s="307"/>
      <c r="B532" s="307"/>
    </row>
    <row r="533" spans="1:2" x14ac:dyDescent="0.25">
      <c r="A533" s="307"/>
      <c r="B533" s="307"/>
    </row>
    <row r="534" spans="1:2" x14ac:dyDescent="0.25">
      <c r="A534" s="307"/>
      <c r="B534" s="307"/>
    </row>
    <row r="535" spans="1:2" x14ac:dyDescent="0.25">
      <c r="A535" s="307"/>
      <c r="B535" s="307"/>
    </row>
    <row r="536" spans="1:2" x14ac:dyDescent="0.25">
      <c r="A536" s="307"/>
      <c r="B536" s="307"/>
    </row>
    <row r="537" spans="1:2" x14ac:dyDescent="0.25">
      <c r="A537" s="307"/>
      <c r="B537" s="307"/>
    </row>
    <row r="538" spans="1:2" x14ac:dyDescent="0.25">
      <c r="A538" s="307"/>
      <c r="B538" s="307"/>
    </row>
    <row r="539" spans="1:2" x14ac:dyDescent="0.25">
      <c r="A539" s="307"/>
      <c r="B539" s="307"/>
    </row>
    <row r="540" spans="1:2" x14ac:dyDescent="0.25">
      <c r="A540" s="307"/>
      <c r="B540" s="307"/>
    </row>
    <row r="541" spans="1:2" x14ac:dyDescent="0.25">
      <c r="A541" s="307"/>
      <c r="B541" s="307"/>
    </row>
    <row r="542" spans="1:2" x14ac:dyDescent="0.25">
      <c r="A542" s="307"/>
      <c r="B542" s="307"/>
    </row>
    <row r="543" spans="1:2" x14ac:dyDescent="0.25">
      <c r="A543" s="307"/>
      <c r="B543" s="307"/>
    </row>
    <row r="544" spans="1:2" x14ac:dyDescent="0.25">
      <c r="A544" s="307"/>
      <c r="B544" s="307"/>
    </row>
    <row r="545" spans="1:2" x14ac:dyDescent="0.25">
      <c r="A545" s="307"/>
      <c r="B545" s="307"/>
    </row>
    <row r="546" spans="1:2" x14ac:dyDescent="0.25">
      <c r="A546" s="307"/>
      <c r="B546" s="307"/>
    </row>
    <row r="547" spans="1:2" x14ac:dyDescent="0.25">
      <c r="A547" s="307"/>
      <c r="B547" s="307"/>
    </row>
    <row r="548" spans="1:2" x14ac:dyDescent="0.25">
      <c r="A548" s="307"/>
      <c r="B548" s="307"/>
    </row>
    <row r="549" spans="1:2" x14ac:dyDescent="0.25">
      <c r="A549" s="307"/>
      <c r="B549" s="307"/>
    </row>
    <row r="550" spans="1:2" x14ac:dyDescent="0.25">
      <c r="A550" s="307"/>
      <c r="B550" s="307"/>
    </row>
    <row r="551" spans="1:2" x14ac:dyDescent="0.25">
      <c r="A551" s="307"/>
      <c r="B551" s="307"/>
    </row>
    <row r="552" spans="1:2" x14ac:dyDescent="0.25">
      <c r="A552" s="307"/>
      <c r="B552" s="307"/>
    </row>
    <row r="553" spans="1:2" x14ac:dyDescent="0.25">
      <c r="A553" s="307"/>
      <c r="B553" s="307"/>
    </row>
    <row r="554" spans="1:2" x14ac:dyDescent="0.25">
      <c r="A554" s="307"/>
      <c r="B554" s="307"/>
    </row>
    <row r="555" spans="1:2" x14ac:dyDescent="0.25">
      <c r="A555" s="307"/>
      <c r="B555" s="307"/>
    </row>
    <row r="556" spans="1:2" x14ac:dyDescent="0.25">
      <c r="A556" s="307"/>
      <c r="B556" s="307"/>
    </row>
    <row r="557" spans="1:2" x14ac:dyDescent="0.25">
      <c r="A557" s="307"/>
      <c r="B557" s="307"/>
    </row>
    <row r="558" spans="1:2" x14ac:dyDescent="0.25">
      <c r="A558" s="307"/>
      <c r="B558" s="307"/>
    </row>
    <row r="559" spans="1:2" x14ac:dyDescent="0.25">
      <c r="A559" s="307"/>
      <c r="B559" s="307"/>
    </row>
    <row r="560" spans="1:2" x14ac:dyDescent="0.25">
      <c r="A560" s="307"/>
      <c r="B560" s="307"/>
    </row>
    <row r="561" spans="1:2" x14ac:dyDescent="0.25">
      <c r="A561" s="307"/>
      <c r="B561" s="307"/>
    </row>
    <row r="562" spans="1:2" x14ac:dyDescent="0.25">
      <c r="A562" s="307"/>
      <c r="B562" s="307"/>
    </row>
    <row r="563" spans="1:2" x14ac:dyDescent="0.25">
      <c r="A563" s="307"/>
      <c r="B563" s="307"/>
    </row>
    <row r="564" spans="1:2" x14ac:dyDescent="0.25">
      <c r="A564" s="307"/>
      <c r="B564" s="307"/>
    </row>
    <row r="565" spans="1:2" x14ac:dyDescent="0.25">
      <c r="A565" s="307"/>
      <c r="B565" s="307"/>
    </row>
    <row r="566" spans="1:2" x14ac:dyDescent="0.25">
      <c r="A566" s="307"/>
      <c r="B566" s="307"/>
    </row>
    <row r="567" spans="1:2" x14ac:dyDescent="0.25">
      <c r="A567" s="307"/>
      <c r="B567" s="307"/>
    </row>
    <row r="568" spans="1:2" x14ac:dyDescent="0.25">
      <c r="A568" s="307"/>
      <c r="B568" s="307"/>
    </row>
    <row r="569" spans="1:2" x14ac:dyDescent="0.25">
      <c r="A569" s="307"/>
      <c r="B569" s="307"/>
    </row>
    <row r="570" spans="1:2" x14ac:dyDescent="0.25">
      <c r="A570" s="307"/>
      <c r="B570" s="307"/>
    </row>
    <row r="571" spans="1:2" x14ac:dyDescent="0.25">
      <c r="A571" s="307"/>
      <c r="B571" s="307"/>
    </row>
    <row r="572" spans="1:2" x14ac:dyDescent="0.25">
      <c r="A572" s="307"/>
      <c r="B572" s="307"/>
    </row>
    <row r="573" spans="1:2" x14ac:dyDescent="0.25">
      <c r="A573" s="307"/>
      <c r="B573" s="307"/>
    </row>
    <row r="574" spans="1:2" x14ac:dyDescent="0.25">
      <c r="A574" s="307"/>
      <c r="B574" s="307"/>
    </row>
    <row r="575" spans="1:2" x14ac:dyDescent="0.25">
      <c r="A575" s="307"/>
      <c r="B575" s="307"/>
    </row>
    <row r="576" spans="1:2" x14ac:dyDescent="0.25">
      <c r="A576" s="307"/>
      <c r="B576" s="307"/>
    </row>
    <row r="577" spans="1:2" x14ac:dyDescent="0.25">
      <c r="A577" s="307"/>
      <c r="B577" s="307"/>
    </row>
    <row r="578" spans="1:2" x14ac:dyDescent="0.25">
      <c r="A578" s="307"/>
      <c r="B578" s="307"/>
    </row>
    <row r="579" spans="1:2" x14ac:dyDescent="0.25">
      <c r="A579" s="307"/>
      <c r="B579" s="307"/>
    </row>
    <row r="580" spans="1:2" x14ac:dyDescent="0.25">
      <c r="A580" s="307"/>
      <c r="B580" s="307"/>
    </row>
    <row r="581" spans="1:2" x14ac:dyDescent="0.25">
      <c r="A581" s="307"/>
      <c r="B581" s="307"/>
    </row>
    <row r="582" spans="1:2" x14ac:dyDescent="0.25">
      <c r="A582" s="307"/>
      <c r="B582" s="307"/>
    </row>
    <row r="583" spans="1:2" x14ac:dyDescent="0.25">
      <c r="A583" s="307"/>
      <c r="B583" s="307"/>
    </row>
    <row r="584" spans="1:2" x14ac:dyDescent="0.25">
      <c r="A584" s="307"/>
      <c r="B584" s="307"/>
    </row>
    <row r="585" spans="1:2" x14ac:dyDescent="0.25">
      <c r="A585" s="307"/>
      <c r="B585" s="307"/>
    </row>
    <row r="586" spans="1:2" x14ac:dyDescent="0.25">
      <c r="A586" s="307"/>
      <c r="B586" s="307"/>
    </row>
    <row r="587" spans="1:2" x14ac:dyDescent="0.25">
      <c r="A587" s="307"/>
      <c r="B587" s="307"/>
    </row>
    <row r="588" spans="1:2" x14ac:dyDescent="0.25">
      <c r="A588" s="307"/>
      <c r="B588" s="307"/>
    </row>
    <row r="589" spans="1:2" x14ac:dyDescent="0.25">
      <c r="A589" s="307"/>
      <c r="B589" s="307"/>
    </row>
    <row r="590" spans="1:2" x14ac:dyDescent="0.25">
      <c r="A590" s="307"/>
      <c r="B590" s="307"/>
    </row>
    <row r="591" spans="1:2" x14ac:dyDescent="0.25">
      <c r="A591" s="307"/>
      <c r="B591" s="307"/>
    </row>
    <row r="592" spans="1:2" x14ac:dyDescent="0.25">
      <c r="A592" s="307"/>
      <c r="B592" s="307"/>
    </row>
    <row r="593" spans="1:2" x14ac:dyDescent="0.25">
      <c r="A593" s="307"/>
      <c r="B593" s="307"/>
    </row>
    <row r="594" spans="1:2" x14ac:dyDescent="0.25">
      <c r="A594" s="307"/>
      <c r="B594" s="307"/>
    </row>
    <row r="595" spans="1:2" x14ac:dyDescent="0.25">
      <c r="A595" s="307"/>
      <c r="B595" s="307"/>
    </row>
    <row r="596" spans="1:2" x14ac:dyDescent="0.25">
      <c r="A596" s="307"/>
      <c r="B596" s="307"/>
    </row>
    <row r="597" spans="1:2" x14ac:dyDescent="0.25">
      <c r="A597" s="307"/>
      <c r="B597" s="307"/>
    </row>
    <row r="598" spans="1:2" x14ac:dyDescent="0.25">
      <c r="A598" s="307"/>
      <c r="B598" s="307"/>
    </row>
    <row r="599" spans="1:2" x14ac:dyDescent="0.25">
      <c r="A599" s="307"/>
      <c r="B599" s="307"/>
    </row>
    <row r="600" spans="1:2" x14ac:dyDescent="0.25">
      <c r="A600" s="307"/>
      <c r="B600" s="307"/>
    </row>
    <row r="601" spans="1:2" x14ac:dyDescent="0.25">
      <c r="A601" s="307"/>
      <c r="B601" s="307"/>
    </row>
    <row r="602" spans="1:2" x14ac:dyDescent="0.25">
      <c r="A602" s="307"/>
      <c r="B602" s="307"/>
    </row>
    <row r="603" spans="1:2" x14ac:dyDescent="0.25">
      <c r="A603" s="307"/>
      <c r="B603" s="307"/>
    </row>
    <row r="604" spans="1:2" x14ac:dyDescent="0.25">
      <c r="A604" s="307"/>
      <c r="B604" s="307"/>
    </row>
    <row r="605" spans="1:2" x14ac:dyDescent="0.25">
      <c r="A605" s="307"/>
      <c r="B605" s="307"/>
    </row>
    <row r="606" spans="1:2" x14ac:dyDescent="0.25">
      <c r="A606" s="307"/>
      <c r="B606" s="307"/>
    </row>
    <row r="607" spans="1:2" x14ac:dyDescent="0.25">
      <c r="A607" s="307"/>
      <c r="B607" s="307"/>
    </row>
    <row r="608" spans="1:2" x14ac:dyDescent="0.25">
      <c r="A608" s="307"/>
      <c r="B608" s="307"/>
    </row>
    <row r="609" spans="1:2" x14ac:dyDescent="0.25">
      <c r="A609" s="307"/>
      <c r="B609" s="307"/>
    </row>
    <row r="610" spans="1:2" x14ac:dyDescent="0.25">
      <c r="A610" s="307"/>
      <c r="B610" s="307"/>
    </row>
    <row r="611" spans="1:2" x14ac:dyDescent="0.25">
      <c r="A611" s="307"/>
      <c r="B611" s="307"/>
    </row>
    <row r="612" spans="1:2" x14ac:dyDescent="0.25">
      <c r="A612" s="307"/>
      <c r="B612" s="307"/>
    </row>
    <row r="613" spans="1:2" x14ac:dyDescent="0.25">
      <c r="A613" s="307"/>
      <c r="B613" s="307"/>
    </row>
    <row r="614" spans="1:2" x14ac:dyDescent="0.25">
      <c r="A614" s="307"/>
      <c r="B614" s="307"/>
    </row>
    <row r="615" spans="1:2" x14ac:dyDescent="0.25">
      <c r="A615" s="307"/>
      <c r="B615" s="307"/>
    </row>
    <row r="616" spans="1:2" x14ac:dyDescent="0.25">
      <c r="A616" s="307"/>
      <c r="B616" s="307"/>
    </row>
    <row r="617" spans="1:2" x14ac:dyDescent="0.25">
      <c r="A617" s="307"/>
      <c r="B617" s="307"/>
    </row>
    <row r="618" spans="1:2" x14ac:dyDescent="0.25">
      <c r="A618" s="307"/>
      <c r="B618" s="307"/>
    </row>
    <row r="619" spans="1:2" x14ac:dyDescent="0.25">
      <c r="A619" s="307"/>
      <c r="B619" s="307"/>
    </row>
    <row r="620" spans="1:2" x14ac:dyDescent="0.25">
      <c r="A620" s="307"/>
      <c r="B620" s="307"/>
    </row>
    <row r="621" spans="1:2" x14ac:dyDescent="0.25">
      <c r="A621" s="307"/>
      <c r="B621" s="307"/>
    </row>
    <row r="622" spans="1:2" x14ac:dyDescent="0.25">
      <c r="A622" s="307"/>
      <c r="B622" s="307"/>
    </row>
    <row r="623" spans="1:2" x14ac:dyDescent="0.25">
      <c r="A623" s="307"/>
      <c r="B623" s="307"/>
    </row>
    <row r="624" spans="1:2" x14ac:dyDescent="0.25">
      <c r="A624" s="307"/>
      <c r="B624" s="307"/>
    </row>
    <row r="625" spans="1:2" x14ac:dyDescent="0.25">
      <c r="A625" s="307"/>
      <c r="B625" s="307"/>
    </row>
    <row r="626" spans="1:2" x14ac:dyDescent="0.25">
      <c r="A626" s="307"/>
      <c r="B626" s="307"/>
    </row>
    <row r="627" spans="1:2" x14ac:dyDescent="0.25">
      <c r="A627" s="307"/>
      <c r="B627" s="307"/>
    </row>
    <row r="628" spans="1:2" x14ac:dyDescent="0.25">
      <c r="A628" s="307"/>
      <c r="B628" s="307"/>
    </row>
    <row r="629" spans="1:2" x14ac:dyDescent="0.25">
      <c r="A629" s="307"/>
      <c r="B629" s="307"/>
    </row>
    <row r="630" spans="1:2" x14ac:dyDescent="0.25">
      <c r="A630" s="307"/>
      <c r="B630" s="307"/>
    </row>
    <row r="631" spans="1:2" x14ac:dyDescent="0.25">
      <c r="A631" s="307"/>
      <c r="B631" s="307"/>
    </row>
    <row r="632" spans="1:2" x14ac:dyDescent="0.25">
      <c r="A632" s="307"/>
      <c r="B632" s="307"/>
    </row>
    <row r="633" spans="1:2" x14ac:dyDescent="0.25">
      <c r="A633" s="307"/>
      <c r="B633" s="307"/>
    </row>
    <row r="634" spans="1:2" x14ac:dyDescent="0.25">
      <c r="A634" s="307"/>
      <c r="B634" s="307"/>
    </row>
    <row r="635" spans="1:2" x14ac:dyDescent="0.25">
      <c r="A635" s="307"/>
      <c r="B635" s="307"/>
    </row>
    <row r="636" spans="1:2" x14ac:dyDescent="0.25">
      <c r="A636" s="307"/>
      <c r="B636" s="307"/>
    </row>
    <row r="637" spans="1:2" x14ac:dyDescent="0.25">
      <c r="A637" s="307"/>
      <c r="B637" s="307"/>
    </row>
    <row r="638" spans="1:2" x14ac:dyDescent="0.25">
      <c r="A638" s="307"/>
      <c r="B638" s="307"/>
    </row>
    <row r="639" spans="1:2" x14ac:dyDescent="0.25">
      <c r="A639" s="307"/>
      <c r="B639" s="307"/>
    </row>
    <row r="640" spans="1:2" x14ac:dyDescent="0.25">
      <c r="A640" s="307"/>
      <c r="B640" s="307"/>
    </row>
    <row r="641" spans="1:2" x14ac:dyDescent="0.25">
      <c r="A641" s="307"/>
      <c r="B641" s="307"/>
    </row>
    <row r="642" spans="1:2" x14ac:dyDescent="0.25">
      <c r="A642" s="307"/>
      <c r="B642" s="307"/>
    </row>
    <row r="643" spans="1:2" x14ac:dyDescent="0.25">
      <c r="A643" s="307"/>
      <c r="B643" s="307"/>
    </row>
    <row r="644" spans="1:2" x14ac:dyDescent="0.25">
      <c r="A644" s="307"/>
      <c r="B644" s="307"/>
    </row>
    <row r="645" spans="1:2" x14ac:dyDescent="0.25">
      <c r="A645" s="307"/>
      <c r="B645" s="307"/>
    </row>
    <row r="646" spans="1:2" x14ac:dyDescent="0.25">
      <c r="A646" s="307"/>
      <c r="B646" s="307"/>
    </row>
    <row r="647" spans="1:2" x14ac:dyDescent="0.25">
      <c r="A647" s="307"/>
      <c r="B647" s="307"/>
    </row>
    <row r="648" spans="1:2" x14ac:dyDescent="0.25">
      <c r="A648" s="307"/>
      <c r="B648" s="307"/>
    </row>
    <row r="649" spans="1:2" x14ac:dyDescent="0.25">
      <c r="A649" s="307"/>
      <c r="B649" s="307"/>
    </row>
    <row r="650" spans="1:2" x14ac:dyDescent="0.25">
      <c r="A650" s="307"/>
      <c r="B650" s="307"/>
    </row>
    <row r="651" spans="1:2" x14ac:dyDescent="0.25">
      <c r="A651" s="307"/>
      <c r="B651" s="307"/>
    </row>
    <row r="652" spans="1:2" x14ac:dyDescent="0.25">
      <c r="A652" s="307"/>
      <c r="B652" s="307"/>
    </row>
    <row r="653" spans="1:2" x14ac:dyDescent="0.25">
      <c r="A653" s="307"/>
      <c r="B653" s="307"/>
    </row>
    <row r="654" spans="1:2" x14ac:dyDescent="0.25">
      <c r="A654" s="307"/>
      <c r="B654" s="307"/>
    </row>
    <row r="655" spans="1:2" x14ac:dyDescent="0.25">
      <c r="A655" s="307"/>
      <c r="B655" s="307"/>
    </row>
    <row r="656" spans="1:2" x14ac:dyDescent="0.25">
      <c r="A656" s="307"/>
      <c r="B656" s="307"/>
    </row>
    <row r="657" spans="1:2" x14ac:dyDescent="0.25">
      <c r="A657" s="307"/>
      <c r="B657" s="307"/>
    </row>
    <row r="658" spans="1:2" x14ac:dyDescent="0.25">
      <c r="A658" s="307"/>
      <c r="B658" s="307"/>
    </row>
    <row r="659" spans="1:2" x14ac:dyDescent="0.25">
      <c r="A659" s="307"/>
      <c r="B659" s="307"/>
    </row>
    <row r="660" spans="1:2" x14ac:dyDescent="0.25">
      <c r="A660" s="307"/>
      <c r="B660" s="307"/>
    </row>
    <row r="661" spans="1:2" x14ac:dyDescent="0.25">
      <c r="A661" s="307"/>
      <c r="B661" s="307"/>
    </row>
    <row r="662" spans="1:2" x14ac:dyDescent="0.25">
      <c r="A662" s="307"/>
      <c r="B662" s="307"/>
    </row>
    <row r="663" spans="1:2" x14ac:dyDescent="0.25">
      <c r="A663" s="307"/>
      <c r="B663" s="307"/>
    </row>
    <row r="664" spans="1:2" x14ac:dyDescent="0.25">
      <c r="A664" s="307"/>
      <c r="B664" s="307"/>
    </row>
    <row r="665" spans="1:2" x14ac:dyDescent="0.25">
      <c r="A665" s="307"/>
      <c r="B665" s="307"/>
    </row>
    <row r="666" spans="1:2" x14ac:dyDescent="0.25">
      <c r="A666" s="307"/>
      <c r="B666" s="307"/>
    </row>
    <row r="667" spans="1:2" x14ac:dyDescent="0.25">
      <c r="A667" s="307"/>
      <c r="B667" s="307"/>
    </row>
    <row r="668" spans="1:2" x14ac:dyDescent="0.25">
      <c r="A668" s="307"/>
      <c r="B668" s="307"/>
    </row>
    <row r="669" spans="1:2" x14ac:dyDescent="0.25">
      <c r="A669" s="307"/>
      <c r="B669" s="307"/>
    </row>
    <row r="670" spans="1:2" x14ac:dyDescent="0.25">
      <c r="A670" s="307"/>
      <c r="B670" s="307"/>
    </row>
    <row r="671" spans="1:2" x14ac:dyDescent="0.25">
      <c r="A671" s="307"/>
      <c r="B671" s="307"/>
    </row>
    <row r="672" spans="1:2" x14ac:dyDescent="0.25">
      <c r="A672" s="307"/>
      <c r="B672" s="307"/>
    </row>
    <row r="673" spans="1:2" x14ac:dyDescent="0.25">
      <c r="A673" s="307"/>
      <c r="B673" s="307"/>
    </row>
    <row r="674" spans="1:2" x14ac:dyDescent="0.25">
      <c r="A674" s="307"/>
      <c r="B674" s="307"/>
    </row>
    <row r="675" spans="1:2" x14ac:dyDescent="0.25">
      <c r="A675" s="307"/>
      <c r="B675" s="307"/>
    </row>
    <row r="676" spans="1:2" x14ac:dyDescent="0.25">
      <c r="A676" s="307"/>
      <c r="B676" s="307"/>
    </row>
    <row r="677" spans="1:2" x14ac:dyDescent="0.25">
      <c r="A677" s="307"/>
      <c r="B677" s="307"/>
    </row>
    <row r="678" spans="1:2" x14ac:dyDescent="0.25">
      <c r="A678" s="307"/>
      <c r="B678" s="307"/>
    </row>
    <row r="679" spans="1:2" x14ac:dyDescent="0.25">
      <c r="A679" s="307"/>
      <c r="B679" s="307"/>
    </row>
    <row r="680" spans="1:2" x14ac:dyDescent="0.25">
      <c r="A680" s="307"/>
      <c r="B680" s="307"/>
    </row>
    <row r="681" spans="1:2" x14ac:dyDescent="0.25">
      <c r="A681" s="307"/>
      <c r="B681" s="307"/>
    </row>
    <row r="682" spans="1:2" x14ac:dyDescent="0.25">
      <c r="A682" s="307"/>
      <c r="B682" s="307"/>
    </row>
    <row r="683" spans="1:2" x14ac:dyDescent="0.25">
      <c r="A683" s="307"/>
      <c r="B683" s="307"/>
    </row>
    <row r="684" spans="1:2" x14ac:dyDescent="0.25">
      <c r="A684" s="307"/>
      <c r="B684" s="307"/>
    </row>
    <row r="685" spans="1:2" x14ac:dyDescent="0.25">
      <c r="A685" s="307"/>
      <c r="B685" s="307"/>
    </row>
    <row r="686" spans="1:2" x14ac:dyDescent="0.25">
      <c r="A686" s="307"/>
      <c r="B686" s="307"/>
    </row>
    <row r="687" spans="1:2" x14ac:dyDescent="0.25">
      <c r="A687" s="307"/>
      <c r="B687" s="307"/>
    </row>
    <row r="688" spans="1:2" x14ac:dyDescent="0.25">
      <c r="A688" s="307"/>
      <c r="B688" s="307"/>
    </row>
    <row r="689" spans="1:2" x14ac:dyDescent="0.25">
      <c r="A689" s="307"/>
      <c r="B689" s="307"/>
    </row>
    <row r="690" spans="1:2" x14ac:dyDescent="0.25">
      <c r="A690" s="307"/>
      <c r="B690" s="307"/>
    </row>
    <row r="691" spans="1:2" x14ac:dyDescent="0.25">
      <c r="A691" s="307"/>
      <c r="B691" s="307"/>
    </row>
    <row r="692" spans="1:2" x14ac:dyDescent="0.25">
      <c r="A692" s="307"/>
      <c r="B692" s="307"/>
    </row>
    <row r="693" spans="1:2" x14ac:dyDescent="0.25">
      <c r="A693" s="307"/>
      <c r="B693" s="307"/>
    </row>
    <row r="694" spans="1:2" x14ac:dyDescent="0.25">
      <c r="A694" s="307"/>
      <c r="B694" s="307"/>
    </row>
    <row r="695" spans="1:2" x14ac:dyDescent="0.25">
      <c r="A695" s="307"/>
      <c r="B695" s="307"/>
    </row>
    <row r="696" spans="1:2" x14ac:dyDescent="0.25">
      <c r="A696" s="307"/>
      <c r="B696" s="307"/>
    </row>
    <row r="697" spans="1:2" x14ac:dyDescent="0.25">
      <c r="A697" s="307"/>
      <c r="B697" s="307"/>
    </row>
    <row r="698" spans="1:2" x14ac:dyDescent="0.25">
      <c r="A698" s="307"/>
      <c r="B698" s="307"/>
    </row>
    <row r="699" spans="1:2" x14ac:dyDescent="0.25">
      <c r="A699" s="307"/>
      <c r="B699" s="307"/>
    </row>
    <row r="700" spans="1:2" x14ac:dyDescent="0.25">
      <c r="A700" s="307"/>
      <c r="B700" s="307"/>
    </row>
    <row r="701" spans="1:2" x14ac:dyDescent="0.25">
      <c r="A701" s="307"/>
      <c r="B701" s="307"/>
    </row>
    <row r="702" spans="1:2" x14ac:dyDescent="0.25">
      <c r="A702" s="307"/>
      <c r="B702" s="307"/>
    </row>
    <row r="703" spans="1:2" x14ac:dyDescent="0.25">
      <c r="A703" s="307"/>
      <c r="B703" s="307"/>
    </row>
    <row r="704" spans="1:2" x14ac:dyDescent="0.25">
      <c r="A704" s="307"/>
      <c r="B704" s="307"/>
    </row>
    <row r="705" spans="1:2" x14ac:dyDescent="0.25">
      <c r="A705" s="307"/>
      <c r="B705" s="307"/>
    </row>
    <row r="706" spans="1:2" x14ac:dyDescent="0.25">
      <c r="A706" s="307"/>
      <c r="B706" s="307"/>
    </row>
    <row r="707" spans="1:2" x14ac:dyDescent="0.25">
      <c r="A707" s="307"/>
      <c r="B707" s="307"/>
    </row>
    <row r="708" spans="1:2" x14ac:dyDescent="0.25">
      <c r="A708" s="307"/>
      <c r="B708" s="307"/>
    </row>
    <row r="709" spans="1:2" x14ac:dyDescent="0.25">
      <c r="A709" s="307"/>
      <c r="B709" s="307"/>
    </row>
    <row r="710" spans="1:2" x14ac:dyDescent="0.25">
      <c r="A710" s="307"/>
      <c r="B710" s="307"/>
    </row>
    <row r="711" spans="1:2" x14ac:dyDescent="0.25">
      <c r="A711" s="307"/>
      <c r="B711" s="307"/>
    </row>
    <row r="712" spans="1:2" x14ac:dyDescent="0.25">
      <c r="A712" s="307"/>
      <c r="B712" s="307"/>
    </row>
    <row r="713" spans="1:2" x14ac:dyDescent="0.25">
      <c r="A713" s="307"/>
      <c r="B713" s="307"/>
    </row>
    <row r="714" spans="1:2" x14ac:dyDescent="0.25">
      <c r="A714" s="307"/>
      <c r="B714" s="307"/>
    </row>
    <row r="715" spans="1:2" x14ac:dyDescent="0.25">
      <c r="A715" s="307"/>
      <c r="B715" s="307"/>
    </row>
    <row r="716" spans="1:2" x14ac:dyDescent="0.25">
      <c r="A716" s="307"/>
      <c r="B716" s="307"/>
    </row>
    <row r="717" spans="1:2" x14ac:dyDescent="0.25">
      <c r="A717" s="307"/>
      <c r="B717" s="307"/>
    </row>
    <row r="718" spans="1:2" x14ac:dyDescent="0.25">
      <c r="A718" s="307"/>
      <c r="B718" s="307"/>
    </row>
    <row r="719" spans="1:2" x14ac:dyDescent="0.25">
      <c r="A719" s="307"/>
      <c r="B719" s="307"/>
    </row>
    <row r="720" spans="1:2" x14ac:dyDescent="0.25">
      <c r="A720" s="307"/>
      <c r="B720" s="307"/>
    </row>
    <row r="721" spans="1:2" x14ac:dyDescent="0.25">
      <c r="A721" s="307"/>
      <c r="B721" s="307"/>
    </row>
    <row r="722" spans="1:2" x14ac:dyDescent="0.25">
      <c r="A722" s="307"/>
      <c r="B722" s="307"/>
    </row>
    <row r="723" spans="1:2" x14ac:dyDescent="0.25">
      <c r="A723" s="307"/>
      <c r="B723" s="307"/>
    </row>
    <row r="724" spans="1:2" x14ac:dyDescent="0.25">
      <c r="A724" s="307"/>
      <c r="B724" s="307"/>
    </row>
    <row r="725" spans="1:2" x14ac:dyDescent="0.25">
      <c r="A725" s="307"/>
      <c r="B725" s="307"/>
    </row>
    <row r="726" spans="1:2" x14ac:dyDescent="0.25">
      <c r="A726" s="307"/>
      <c r="B726" s="307"/>
    </row>
    <row r="727" spans="1:2" x14ac:dyDescent="0.25">
      <c r="A727" s="307"/>
      <c r="B727" s="307"/>
    </row>
    <row r="728" spans="1:2" x14ac:dyDescent="0.25">
      <c r="A728" s="307"/>
      <c r="B728" s="307"/>
    </row>
    <row r="729" spans="1:2" x14ac:dyDescent="0.25">
      <c r="A729" s="307"/>
      <c r="B729" s="307"/>
    </row>
    <row r="730" spans="1:2" x14ac:dyDescent="0.25">
      <c r="A730" s="307"/>
      <c r="B730" s="307"/>
    </row>
    <row r="731" spans="1:2" x14ac:dyDescent="0.25">
      <c r="A731" s="307"/>
      <c r="B731" s="307"/>
    </row>
    <row r="732" spans="1:2" x14ac:dyDescent="0.25">
      <c r="A732" s="307"/>
      <c r="B732" s="307"/>
    </row>
    <row r="733" spans="1:2" x14ac:dyDescent="0.25">
      <c r="A733" s="307"/>
      <c r="B733" s="307"/>
    </row>
    <row r="734" spans="1:2" x14ac:dyDescent="0.25">
      <c r="A734" s="307"/>
      <c r="B734" s="307"/>
    </row>
    <row r="735" spans="1:2" x14ac:dyDescent="0.25">
      <c r="A735" s="307"/>
      <c r="B735" s="307"/>
    </row>
    <row r="736" spans="1:2" x14ac:dyDescent="0.25">
      <c r="A736" s="307"/>
      <c r="B736" s="307"/>
    </row>
    <row r="737" spans="1:2" x14ac:dyDescent="0.25">
      <c r="A737" s="307"/>
      <c r="B737" s="307"/>
    </row>
    <row r="738" spans="1:2" x14ac:dyDescent="0.25">
      <c r="A738" s="307"/>
      <c r="B738" s="307"/>
    </row>
    <row r="739" spans="1:2" x14ac:dyDescent="0.25">
      <c r="A739" s="307"/>
      <c r="B739" s="307"/>
    </row>
    <row r="740" spans="1:2" x14ac:dyDescent="0.25">
      <c r="A740" s="307"/>
      <c r="B740" s="307"/>
    </row>
    <row r="741" spans="1:2" x14ac:dyDescent="0.25">
      <c r="A741" s="307"/>
      <c r="B741" s="307"/>
    </row>
    <row r="742" spans="1:2" x14ac:dyDescent="0.25">
      <c r="A742" s="307"/>
      <c r="B742" s="307"/>
    </row>
    <row r="743" spans="1:2" x14ac:dyDescent="0.25">
      <c r="A743" s="307"/>
      <c r="B743" s="307"/>
    </row>
    <row r="744" spans="1:2" x14ac:dyDescent="0.25">
      <c r="A744" s="307"/>
      <c r="B744" s="307"/>
    </row>
    <row r="745" spans="1:2" x14ac:dyDescent="0.25">
      <c r="A745" s="307"/>
      <c r="B745" s="307"/>
    </row>
    <row r="746" spans="1:2" x14ac:dyDescent="0.25">
      <c r="A746" s="307"/>
      <c r="B746" s="307"/>
    </row>
    <row r="747" spans="1:2" x14ac:dyDescent="0.25">
      <c r="A747" s="307"/>
      <c r="B747" s="307"/>
    </row>
    <row r="748" spans="1:2" x14ac:dyDescent="0.25">
      <c r="A748" s="307"/>
      <c r="B748" s="307"/>
    </row>
    <row r="749" spans="1:2" x14ac:dyDescent="0.25">
      <c r="A749" s="307"/>
      <c r="B749" s="307"/>
    </row>
    <row r="750" spans="1:2" x14ac:dyDescent="0.25">
      <c r="A750" s="307"/>
      <c r="B750" s="307"/>
    </row>
    <row r="751" spans="1:2" x14ac:dyDescent="0.25">
      <c r="A751" s="307"/>
      <c r="B751" s="307"/>
    </row>
    <row r="752" spans="1:2" x14ac:dyDescent="0.25">
      <c r="A752" s="307"/>
      <c r="B752" s="307"/>
    </row>
    <row r="753" spans="1:2" x14ac:dyDescent="0.25">
      <c r="A753" s="307"/>
      <c r="B753" s="307"/>
    </row>
    <row r="754" spans="1:2" x14ac:dyDescent="0.25">
      <c r="A754" s="307"/>
      <c r="B754" s="307"/>
    </row>
    <row r="755" spans="1:2" x14ac:dyDescent="0.25">
      <c r="A755" s="307"/>
      <c r="B755" s="307"/>
    </row>
    <row r="756" spans="1:2" x14ac:dyDescent="0.25">
      <c r="A756" s="307"/>
      <c r="B756" s="307"/>
    </row>
    <row r="757" spans="1:2" x14ac:dyDescent="0.25">
      <c r="A757" s="307"/>
      <c r="B757" s="307"/>
    </row>
    <row r="758" spans="1:2" x14ac:dyDescent="0.25">
      <c r="A758" s="307"/>
      <c r="B758" s="307"/>
    </row>
    <row r="759" spans="1:2" x14ac:dyDescent="0.25">
      <c r="A759" s="307"/>
      <c r="B759" s="307"/>
    </row>
    <row r="760" spans="1:2" x14ac:dyDescent="0.25">
      <c r="A760" s="307"/>
      <c r="B760" s="307"/>
    </row>
    <row r="761" spans="1:2" x14ac:dyDescent="0.25">
      <c r="A761" s="307"/>
      <c r="B761" s="307"/>
    </row>
    <row r="762" spans="1:2" x14ac:dyDescent="0.25">
      <c r="A762" s="307"/>
      <c r="B762" s="307"/>
    </row>
    <row r="763" spans="1:2" x14ac:dyDescent="0.25">
      <c r="A763" s="307"/>
      <c r="B763" s="307"/>
    </row>
    <row r="764" spans="1:2" x14ac:dyDescent="0.25">
      <c r="A764" s="307"/>
      <c r="B764" s="307"/>
    </row>
    <row r="765" spans="1:2" x14ac:dyDescent="0.25">
      <c r="A765" s="307"/>
      <c r="B765" s="307"/>
    </row>
    <row r="766" spans="1:2" x14ac:dyDescent="0.25">
      <c r="A766" s="307"/>
      <c r="B766" s="307"/>
    </row>
    <row r="767" spans="1:2" x14ac:dyDescent="0.25">
      <c r="A767" s="307"/>
      <c r="B767" s="307"/>
    </row>
    <row r="768" spans="1:2" x14ac:dyDescent="0.25">
      <c r="A768" s="307"/>
      <c r="B768" s="307"/>
    </row>
    <row r="769" spans="1:2" x14ac:dyDescent="0.25">
      <c r="A769" s="307"/>
      <c r="B769" s="307"/>
    </row>
    <row r="770" spans="1:2" x14ac:dyDescent="0.25">
      <c r="A770" s="307"/>
      <c r="B770" s="307"/>
    </row>
    <row r="771" spans="1:2" x14ac:dyDescent="0.25">
      <c r="A771" s="307"/>
      <c r="B771" s="307"/>
    </row>
    <row r="772" spans="1:2" x14ac:dyDescent="0.25">
      <c r="A772" s="307"/>
      <c r="B772" s="307"/>
    </row>
    <row r="773" spans="1:2" x14ac:dyDescent="0.25">
      <c r="A773" s="307"/>
      <c r="B773" s="307"/>
    </row>
    <row r="774" spans="1:2" x14ac:dyDescent="0.25">
      <c r="A774" s="307"/>
      <c r="B774" s="307"/>
    </row>
    <row r="775" spans="1:2" x14ac:dyDescent="0.25">
      <c r="A775" s="307"/>
      <c r="B775" s="307"/>
    </row>
    <row r="776" spans="1:2" x14ac:dyDescent="0.25">
      <c r="A776" s="307"/>
      <c r="B776" s="307"/>
    </row>
    <row r="777" spans="1:2" x14ac:dyDescent="0.25">
      <c r="A777" s="307"/>
      <c r="B777" s="307"/>
    </row>
    <row r="778" spans="1:2" x14ac:dyDescent="0.25">
      <c r="A778" s="307"/>
      <c r="B778" s="307"/>
    </row>
    <row r="779" spans="1:2" x14ac:dyDescent="0.25">
      <c r="A779" s="307"/>
      <c r="B779" s="307"/>
    </row>
    <row r="780" spans="1:2" x14ac:dyDescent="0.25">
      <c r="A780" s="307"/>
      <c r="B780" s="307"/>
    </row>
    <row r="781" spans="1:2" x14ac:dyDescent="0.25">
      <c r="A781" s="307"/>
      <c r="B781" s="307"/>
    </row>
    <row r="782" spans="1:2" x14ac:dyDescent="0.25">
      <c r="A782" s="307"/>
      <c r="B782" s="307"/>
    </row>
    <row r="783" spans="1:2" x14ac:dyDescent="0.25">
      <c r="A783" s="307"/>
      <c r="B783" s="307"/>
    </row>
    <row r="784" spans="1:2" x14ac:dyDescent="0.25">
      <c r="A784" s="307"/>
      <c r="B784" s="307"/>
    </row>
    <row r="785" spans="1:2" x14ac:dyDescent="0.25">
      <c r="A785" s="307"/>
      <c r="B785" s="307"/>
    </row>
    <row r="786" spans="1:2" x14ac:dyDescent="0.25">
      <c r="A786" s="307"/>
      <c r="B786" s="307"/>
    </row>
    <row r="787" spans="1:2" x14ac:dyDescent="0.25">
      <c r="A787" s="307"/>
      <c r="B787" s="307"/>
    </row>
    <row r="788" spans="1:2" x14ac:dyDescent="0.25">
      <c r="A788" s="307"/>
      <c r="B788" s="307"/>
    </row>
    <row r="789" spans="1:2" x14ac:dyDescent="0.25">
      <c r="A789" s="307"/>
      <c r="B789" s="307"/>
    </row>
    <row r="790" spans="1:2" x14ac:dyDescent="0.25">
      <c r="A790" s="307"/>
      <c r="B790" s="307"/>
    </row>
    <row r="791" spans="1:2" x14ac:dyDescent="0.25">
      <c r="A791" s="307"/>
      <c r="B791" s="307"/>
    </row>
    <row r="792" spans="1:2" x14ac:dyDescent="0.25">
      <c r="A792" s="307"/>
      <c r="B792" s="307"/>
    </row>
    <row r="793" spans="1:2" x14ac:dyDescent="0.25">
      <c r="A793" s="307"/>
      <c r="B793" s="307"/>
    </row>
    <row r="794" spans="1:2" x14ac:dyDescent="0.25">
      <c r="A794" s="307"/>
      <c r="B794" s="307"/>
    </row>
    <row r="795" spans="1:2" x14ac:dyDescent="0.25">
      <c r="A795" s="307"/>
      <c r="B795" s="307"/>
    </row>
    <row r="796" spans="1:2" x14ac:dyDescent="0.25">
      <c r="A796" s="307"/>
      <c r="B796" s="307"/>
    </row>
    <row r="797" spans="1:2" x14ac:dyDescent="0.25">
      <c r="A797" s="307"/>
      <c r="B797" s="307"/>
    </row>
    <row r="798" spans="1:2" x14ac:dyDescent="0.25">
      <c r="A798" s="307"/>
      <c r="B798" s="307"/>
    </row>
    <row r="799" spans="1:2" x14ac:dyDescent="0.25">
      <c r="A799" s="307"/>
      <c r="B799" s="307"/>
    </row>
    <row r="800" spans="1:2" x14ac:dyDescent="0.25">
      <c r="A800" s="307"/>
      <c r="B800" s="307"/>
    </row>
    <row r="801" spans="1:2" x14ac:dyDescent="0.25">
      <c r="A801" s="307"/>
      <c r="B801" s="307"/>
    </row>
    <row r="802" spans="1:2" x14ac:dyDescent="0.25">
      <c r="A802" s="307"/>
      <c r="B802" s="307"/>
    </row>
    <row r="803" spans="1:2" x14ac:dyDescent="0.25">
      <c r="A803" s="307"/>
      <c r="B803" s="307"/>
    </row>
    <row r="804" spans="1:2" x14ac:dyDescent="0.25">
      <c r="A804" s="307"/>
      <c r="B804" s="307"/>
    </row>
    <row r="805" spans="1:2" x14ac:dyDescent="0.25">
      <c r="A805" s="307"/>
      <c r="B805" s="307"/>
    </row>
    <row r="806" spans="1:2" x14ac:dyDescent="0.25">
      <c r="A806" s="307"/>
      <c r="B806" s="307"/>
    </row>
    <row r="807" spans="1:2" x14ac:dyDescent="0.25">
      <c r="A807" s="307"/>
      <c r="B807" s="307"/>
    </row>
    <row r="808" spans="1:2" x14ac:dyDescent="0.25">
      <c r="A808" s="307"/>
      <c r="B808" s="307"/>
    </row>
    <row r="809" spans="1:2" x14ac:dyDescent="0.25">
      <c r="A809" s="307"/>
      <c r="B809" s="307"/>
    </row>
    <row r="810" spans="1:2" x14ac:dyDescent="0.25">
      <c r="A810" s="307"/>
      <c r="B810" s="307"/>
    </row>
    <row r="811" spans="1:2" x14ac:dyDescent="0.25">
      <c r="A811" s="307"/>
      <c r="B811" s="307"/>
    </row>
    <row r="812" spans="1:2" x14ac:dyDescent="0.25">
      <c r="A812" s="307"/>
      <c r="B812" s="307"/>
    </row>
    <row r="813" spans="1:2" x14ac:dyDescent="0.25">
      <c r="A813" s="307"/>
      <c r="B813" s="307"/>
    </row>
    <row r="814" spans="1:2" x14ac:dyDescent="0.25">
      <c r="A814" s="307"/>
      <c r="B814" s="307"/>
    </row>
    <row r="815" spans="1:2" x14ac:dyDescent="0.25">
      <c r="A815" s="307"/>
      <c r="B815" s="307"/>
    </row>
    <row r="816" spans="1:2" x14ac:dyDescent="0.25">
      <c r="A816" s="307"/>
      <c r="B816" s="307"/>
    </row>
    <row r="817" spans="1:2" x14ac:dyDescent="0.25">
      <c r="A817" s="307"/>
      <c r="B817" s="307"/>
    </row>
    <row r="818" spans="1:2" x14ac:dyDescent="0.25">
      <c r="A818" s="307"/>
      <c r="B818" s="307"/>
    </row>
    <row r="819" spans="1:2" x14ac:dyDescent="0.25">
      <c r="A819" s="307"/>
      <c r="B819" s="307"/>
    </row>
    <row r="820" spans="1:2" x14ac:dyDescent="0.25">
      <c r="A820" s="307"/>
      <c r="B820" s="307"/>
    </row>
    <row r="821" spans="1:2" x14ac:dyDescent="0.25">
      <c r="A821" s="307"/>
      <c r="B821" s="307"/>
    </row>
    <row r="822" spans="1:2" x14ac:dyDescent="0.25">
      <c r="A822" s="307"/>
      <c r="B822" s="307"/>
    </row>
    <row r="823" spans="1:2" x14ac:dyDescent="0.25">
      <c r="A823" s="307"/>
      <c r="B823" s="307"/>
    </row>
    <row r="824" spans="1:2" x14ac:dyDescent="0.25">
      <c r="A824" s="307"/>
      <c r="B824" s="307"/>
    </row>
    <row r="825" spans="1:2" x14ac:dyDescent="0.25">
      <c r="A825" s="307"/>
      <c r="B825" s="307"/>
    </row>
    <row r="826" spans="1:2" x14ac:dyDescent="0.25">
      <c r="A826" s="307"/>
      <c r="B826" s="307"/>
    </row>
    <row r="827" spans="1:2" x14ac:dyDescent="0.25">
      <c r="A827" s="307"/>
      <c r="B827" s="307"/>
    </row>
    <row r="828" spans="1:2" x14ac:dyDescent="0.25">
      <c r="A828" s="307"/>
      <c r="B828" s="307"/>
    </row>
    <row r="829" spans="1:2" x14ac:dyDescent="0.25">
      <c r="A829" s="307"/>
      <c r="B829" s="307"/>
    </row>
    <row r="830" spans="1:2" x14ac:dyDescent="0.25">
      <c r="A830" s="307"/>
      <c r="B830" s="307"/>
    </row>
    <row r="831" spans="1:2" x14ac:dyDescent="0.25">
      <c r="A831" s="307"/>
      <c r="B831" s="307"/>
    </row>
    <row r="832" spans="1:2" x14ac:dyDescent="0.25">
      <c r="A832" s="307"/>
      <c r="B832" s="307"/>
    </row>
    <row r="833" spans="1:2" x14ac:dyDescent="0.25">
      <c r="A833" s="307"/>
      <c r="B833" s="307"/>
    </row>
    <row r="834" spans="1:2" x14ac:dyDescent="0.25">
      <c r="A834" s="307"/>
      <c r="B834" s="307"/>
    </row>
    <row r="835" spans="1:2" x14ac:dyDescent="0.25">
      <c r="A835" s="307"/>
      <c r="B835" s="307"/>
    </row>
    <row r="836" spans="1:2" x14ac:dyDescent="0.25">
      <c r="A836" s="307"/>
      <c r="B836" s="307"/>
    </row>
    <row r="837" spans="1:2" x14ac:dyDescent="0.25">
      <c r="A837" s="307"/>
      <c r="B837" s="307"/>
    </row>
    <row r="838" spans="1:2" x14ac:dyDescent="0.25">
      <c r="A838" s="307"/>
      <c r="B838" s="307"/>
    </row>
    <row r="839" spans="1:2" x14ac:dyDescent="0.25">
      <c r="A839" s="307"/>
      <c r="B839" s="307"/>
    </row>
    <row r="840" spans="1:2" x14ac:dyDescent="0.25">
      <c r="A840" s="307"/>
      <c r="B840" s="307"/>
    </row>
    <row r="841" spans="1:2" x14ac:dyDescent="0.25">
      <c r="A841" s="307"/>
      <c r="B841" s="307"/>
    </row>
    <row r="842" spans="1:2" x14ac:dyDescent="0.25">
      <c r="A842" s="307"/>
      <c r="B842" s="307"/>
    </row>
    <row r="843" spans="1:2" x14ac:dyDescent="0.25">
      <c r="A843" s="307"/>
      <c r="B843" s="307"/>
    </row>
    <row r="844" spans="1:2" x14ac:dyDescent="0.25">
      <c r="A844" s="307"/>
      <c r="B844" s="307"/>
    </row>
    <row r="845" spans="1:2" x14ac:dyDescent="0.25">
      <c r="A845" s="307"/>
      <c r="B845" s="307"/>
    </row>
    <row r="846" spans="1:2" x14ac:dyDescent="0.25">
      <c r="A846" s="307"/>
      <c r="B846" s="307"/>
    </row>
    <row r="847" spans="1:2" x14ac:dyDescent="0.25">
      <c r="A847" s="307"/>
      <c r="B847" s="307"/>
    </row>
    <row r="848" spans="1:2" x14ac:dyDescent="0.25">
      <c r="A848" s="307"/>
      <c r="B848" s="307"/>
    </row>
    <row r="849" spans="1:2" x14ac:dyDescent="0.25">
      <c r="A849" s="307"/>
      <c r="B849" s="307"/>
    </row>
    <row r="850" spans="1:2" x14ac:dyDescent="0.25">
      <c r="A850" s="307"/>
      <c r="B850" s="307"/>
    </row>
    <row r="851" spans="1:2" x14ac:dyDescent="0.25">
      <c r="A851" s="307"/>
      <c r="B851" s="307"/>
    </row>
    <row r="852" spans="1:2" x14ac:dyDescent="0.25">
      <c r="A852" s="307"/>
      <c r="B852" s="307"/>
    </row>
    <row r="853" spans="1:2" x14ac:dyDescent="0.25">
      <c r="A853" s="307"/>
      <c r="B853" s="307"/>
    </row>
    <row r="854" spans="1:2" x14ac:dyDescent="0.25">
      <c r="A854" s="307"/>
      <c r="B854" s="307"/>
    </row>
    <row r="855" spans="1:2" x14ac:dyDescent="0.25">
      <c r="A855" s="307"/>
      <c r="B855" s="307"/>
    </row>
    <row r="856" spans="1:2" x14ac:dyDescent="0.25">
      <c r="A856" s="307"/>
      <c r="B856" s="307"/>
    </row>
    <row r="857" spans="1:2" x14ac:dyDescent="0.25">
      <c r="A857" s="307"/>
      <c r="B857" s="307"/>
    </row>
    <row r="858" spans="1:2" x14ac:dyDescent="0.25">
      <c r="A858" s="307"/>
      <c r="B858" s="307"/>
    </row>
    <row r="859" spans="1:2" x14ac:dyDescent="0.25">
      <c r="A859" s="307"/>
      <c r="B859" s="307"/>
    </row>
    <row r="860" spans="1:2" x14ac:dyDescent="0.25">
      <c r="A860" s="307"/>
      <c r="B860" s="307"/>
    </row>
    <row r="861" spans="1:2" x14ac:dyDescent="0.25">
      <c r="A861" s="307"/>
      <c r="B861" s="307"/>
    </row>
    <row r="862" spans="1:2" x14ac:dyDescent="0.25">
      <c r="A862" s="307"/>
      <c r="B862" s="307"/>
    </row>
    <row r="863" spans="1:2" x14ac:dyDescent="0.25">
      <c r="A863" s="307"/>
      <c r="B863" s="307"/>
    </row>
    <row r="864" spans="1:2" x14ac:dyDescent="0.25">
      <c r="A864" s="307"/>
      <c r="B864" s="307"/>
    </row>
    <row r="865" spans="1:2" x14ac:dyDescent="0.25">
      <c r="A865" s="307"/>
      <c r="B865" s="307"/>
    </row>
    <row r="866" spans="1:2" x14ac:dyDescent="0.25">
      <c r="A866" s="307"/>
      <c r="B866" s="307"/>
    </row>
    <row r="867" spans="1:2" x14ac:dyDescent="0.25">
      <c r="A867" s="307"/>
      <c r="B867" s="307"/>
    </row>
    <row r="868" spans="1:2" x14ac:dyDescent="0.25">
      <c r="A868" s="307"/>
      <c r="B868" s="307"/>
    </row>
    <row r="869" spans="1:2" x14ac:dyDescent="0.25">
      <c r="A869" s="307"/>
      <c r="B869" s="307"/>
    </row>
    <row r="870" spans="1:2" x14ac:dyDescent="0.25">
      <c r="A870" s="307"/>
      <c r="B870" s="307"/>
    </row>
    <row r="871" spans="1:2" x14ac:dyDescent="0.25">
      <c r="A871" s="307"/>
      <c r="B871" s="307"/>
    </row>
    <row r="872" spans="1:2" x14ac:dyDescent="0.25">
      <c r="A872" s="307"/>
      <c r="B872" s="307"/>
    </row>
    <row r="873" spans="1:2" x14ac:dyDescent="0.25">
      <c r="A873" s="307"/>
      <c r="B873" s="307"/>
    </row>
    <row r="874" spans="1:2" x14ac:dyDescent="0.25">
      <c r="A874" s="307"/>
      <c r="B874" s="307"/>
    </row>
    <row r="875" spans="1:2" x14ac:dyDescent="0.25">
      <c r="A875" s="307"/>
      <c r="B875" s="307"/>
    </row>
    <row r="876" spans="1:2" x14ac:dyDescent="0.25">
      <c r="A876" s="307"/>
      <c r="B876" s="307"/>
    </row>
    <row r="877" spans="1:2" x14ac:dyDescent="0.25">
      <c r="A877" s="307"/>
      <c r="B877" s="307"/>
    </row>
    <row r="878" spans="1:2" x14ac:dyDescent="0.25">
      <c r="A878" s="307"/>
      <c r="B878" s="307"/>
    </row>
    <row r="879" spans="1:2" x14ac:dyDescent="0.25">
      <c r="A879" s="307"/>
      <c r="B879" s="307"/>
    </row>
    <row r="880" spans="1:2" x14ac:dyDescent="0.25">
      <c r="A880" s="307"/>
      <c r="B880" s="307"/>
    </row>
    <row r="881" spans="1:2" x14ac:dyDescent="0.25">
      <c r="A881" s="307"/>
      <c r="B881" s="307"/>
    </row>
    <row r="882" spans="1:2" x14ac:dyDescent="0.25">
      <c r="A882" s="307"/>
      <c r="B882" s="307"/>
    </row>
    <row r="883" spans="1:2" x14ac:dyDescent="0.25">
      <c r="A883" s="307"/>
      <c r="B883" s="307"/>
    </row>
    <row r="884" spans="1:2" x14ac:dyDescent="0.25">
      <c r="A884" s="307"/>
      <c r="B884" s="307"/>
    </row>
    <row r="885" spans="1:2" x14ac:dyDescent="0.25">
      <c r="A885" s="307"/>
      <c r="B885" s="307"/>
    </row>
    <row r="886" spans="1:2" x14ac:dyDescent="0.25">
      <c r="A886" s="307"/>
      <c r="B886" s="307"/>
    </row>
    <row r="887" spans="1:2" x14ac:dyDescent="0.25">
      <c r="A887" s="307"/>
      <c r="B887" s="307"/>
    </row>
    <row r="888" spans="1:2" x14ac:dyDescent="0.25">
      <c r="A888" s="307"/>
      <c r="B888" s="307"/>
    </row>
    <row r="889" spans="1:2" x14ac:dyDescent="0.25">
      <c r="A889" s="307"/>
      <c r="B889" s="307"/>
    </row>
    <row r="890" spans="1:2" x14ac:dyDescent="0.25">
      <c r="A890" s="307"/>
      <c r="B890" s="307"/>
    </row>
    <row r="891" spans="1:2" x14ac:dyDescent="0.25">
      <c r="A891" s="307"/>
      <c r="B891" s="307"/>
    </row>
    <row r="892" spans="1:2" x14ac:dyDescent="0.25">
      <c r="A892" s="307"/>
      <c r="B892" s="307"/>
    </row>
    <row r="893" spans="1:2" x14ac:dyDescent="0.25">
      <c r="A893" s="307"/>
      <c r="B893" s="307"/>
    </row>
    <row r="894" spans="1:2" x14ac:dyDescent="0.25">
      <c r="A894" s="307"/>
      <c r="B894" s="307"/>
    </row>
    <row r="895" spans="1:2" x14ac:dyDescent="0.25">
      <c r="A895" s="307"/>
      <c r="B895" s="307"/>
    </row>
    <row r="896" spans="1:2" x14ac:dyDescent="0.25">
      <c r="A896" s="307"/>
      <c r="B896" s="307"/>
    </row>
    <row r="897" spans="1:2" x14ac:dyDescent="0.25">
      <c r="A897" s="307"/>
      <c r="B897" s="307"/>
    </row>
    <row r="898" spans="1:2" x14ac:dyDescent="0.25">
      <c r="A898" s="307"/>
      <c r="B898" s="307"/>
    </row>
    <row r="899" spans="1:2" x14ac:dyDescent="0.25">
      <c r="A899" s="307"/>
      <c r="B899" s="307"/>
    </row>
    <row r="900" spans="1:2" x14ac:dyDescent="0.25">
      <c r="A900" s="307"/>
      <c r="B900" s="307"/>
    </row>
    <row r="901" spans="1:2" x14ac:dyDescent="0.25">
      <c r="A901" s="307"/>
      <c r="B901" s="307"/>
    </row>
    <row r="902" spans="1:2" x14ac:dyDescent="0.25">
      <c r="A902" s="307"/>
      <c r="B902" s="307"/>
    </row>
    <row r="903" spans="1:2" x14ac:dyDescent="0.25">
      <c r="A903" s="307"/>
      <c r="B903" s="307"/>
    </row>
    <row r="904" spans="1:2" x14ac:dyDescent="0.25">
      <c r="A904" s="307"/>
      <c r="B904" s="307"/>
    </row>
    <row r="905" spans="1:2" x14ac:dyDescent="0.25">
      <c r="A905" s="307"/>
      <c r="B905" s="307"/>
    </row>
    <row r="906" spans="1:2" x14ac:dyDescent="0.25">
      <c r="A906" s="307"/>
      <c r="B906" s="307"/>
    </row>
    <row r="907" spans="1:2" x14ac:dyDescent="0.25">
      <c r="A907" s="307"/>
      <c r="B907" s="307"/>
    </row>
    <row r="908" spans="1:2" x14ac:dyDescent="0.25">
      <c r="A908" s="307"/>
      <c r="B908" s="307"/>
    </row>
    <row r="909" spans="1:2" x14ac:dyDescent="0.25">
      <c r="A909" s="307"/>
      <c r="B909" s="307"/>
    </row>
    <row r="910" spans="1:2" x14ac:dyDescent="0.25">
      <c r="A910" s="307"/>
      <c r="B910" s="307"/>
    </row>
    <row r="911" spans="1:2" x14ac:dyDescent="0.25">
      <c r="A911" s="307"/>
      <c r="B911" s="307"/>
    </row>
    <row r="912" spans="1:2" x14ac:dyDescent="0.25">
      <c r="A912" s="307"/>
      <c r="B912" s="307"/>
    </row>
    <row r="913" spans="1:2" x14ac:dyDescent="0.25">
      <c r="A913" s="307"/>
      <c r="B913" s="307"/>
    </row>
    <row r="914" spans="1:2" x14ac:dyDescent="0.25">
      <c r="A914" s="307"/>
      <c r="B914" s="307"/>
    </row>
    <row r="915" spans="1:2" x14ac:dyDescent="0.25">
      <c r="A915" s="307"/>
      <c r="B915" s="307"/>
    </row>
    <row r="916" spans="1:2" x14ac:dyDescent="0.25">
      <c r="A916" s="307"/>
      <c r="B916" s="307"/>
    </row>
    <row r="917" spans="1:2" x14ac:dyDescent="0.25">
      <c r="A917" s="307"/>
      <c r="B917" s="307"/>
    </row>
    <row r="918" spans="1:2" x14ac:dyDescent="0.25">
      <c r="A918" s="307"/>
      <c r="B918" s="307"/>
    </row>
    <row r="919" spans="1:2" x14ac:dyDescent="0.25">
      <c r="A919" s="307"/>
      <c r="B919" s="307"/>
    </row>
    <row r="920" spans="1:2" x14ac:dyDescent="0.25">
      <c r="A920" s="307"/>
      <c r="B920" s="307"/>
    </row>
    <row r="921" spans="1:2" x14ac:dyDescent="0.25">
      <c r="A921" s="307"/>
      <c r="B921" s="307"/>
    </row>
    <row r="922" spans="1:2" x14ac:dyDescent="0.25">
      <c r="A922" s="307"/>
      <c r="B922" s="307"/>
    </row>
    <row r="923" spans="1:2" x14ac:dyDescent="0.25">
      <c r="A923" s="307"/>
      <c r="B923" s="307"/>
    </row>
    <row r="924" spans="1:2" x14ac:dyDescent="0.25">
      <c r="A924" s="307"/>
      <c r="B924" s="307"/>
    </row>
    <row r="925" spans="1:2" x14ac:dyDescent="0.25">
      <c r="A925" s="307"/>
      <c r="B925" s="307"/>
    </row>
    <row r="926" spans="1:2" x14ac:dyDescent="0.25">
      <c r="A926" s="307"/>
      <c r="B926" s="307"/>
    </row>
    <row r="927" spans="1:2" x14ac:dyDescent="0.25">
      <c r="A927" s="307"/>
      <c r="B927" s="307"/>
    </row>
    <row r="928" spans="1:2" x14ac:dyDescent="0.25">
      <c r="A928" s="307"/>
      <c r="B928" s="307"/>
    </row>
    <row r="929" spans="1:2" x14ac:dyDescent="0.25">
      <c r="A929" s="307"/>
      <c r="B929" s="307"/>
    </row>
    <row r="930" spans="1:2" x14ac:dyDescent="0.25">
      <c r="A930" s="307"/>
      <c r="B930" s="307"/>
    </row>
    <row r="931" spans="1:2" x14ac:dyDescent="0.25">
      <c r="A931" s="307"/>
      <c r="B931" s="307"/>
    </row>
    <row r="932" spans="1:2" x14ac:dyDescent="0.25">
      <c r="A932" s="307"/>
      <c r="B932" s="307"/>
    </row>
    <row r="933" spans="1:2" x14ac:dyDescent="0.25">
      <c r="A933" s="307"/>
      <c r="B933" s="307"/>
    </row>
    <row r="934" spans="1:2" x14ac:dyDescent="0.25">
      <c r="A934" s="307"/>
      <c r="B934" s="307"/>
    </row>
    <row r="935" spans="1:2" x14ac:dyDescent="0.25">
      <c r="A935" s="307"/>
      <c r="B935" s="307"/>
    </row>
    <row r="936" spans="1:2" x14ac:dyDescent="0.25">
      <c r="A936" s="307"/>
      <c r="B936" s="307"/>
    </row>
    <row r="937" spans="1:2" x14ac:dyDescent="0.25">
      <c r="A937" s="307"/>
      <c r="B937" s="307"/>
    </row>
    <row r="938" spans="1:2" x14ac:dyDescent="0.25">
      <c r="A938" s="307"/>
      <c r="B938" s="307"/>
    </row>
    <row r="939" spans="1:2" x14ac:dyDescent="0.25">
      <c r="A939" s="307"/>
      <c r="B939" s="307"/>
    </row>
    <row r="940" spans="1:2" x14ac:dyDescent="0.25">
      <c r="A940" s="307"/>
      <c r="B940" s="307"/>
    </row>
    <row r="941" spans="1:2" x14ac:dyDescent="0.25">
      <c r="A941" s="307"/>
      <c r="B941" s="307"/>
    </row>
    <row r="942" spans="1:2" x14ac:dyDescent="0.25">
      <c r="A942" s="307"/>
      <c r="B942" s="307"/>
    </row>
    <row r="943" spans="1:2" x14ac:dyDescent="0.25">
      <c r="A943" s="307"/>
      <c r="B943" s="307"/>
    </row>
    <row r="944" spans="1:2" x14ac:dyDescent="0.25">
      <c r="A944" s="307"/>
      <c r="B944" s="307"/>
    </row>
    <row r="945" spans="1:2" x14ac:dyDescent="0.25">
      <c r="A945" s="307"/>
      <c r="B945" s="307"/>
    </row>
    <row r="946" spans="1:2" x14ac:dyDescent="0.25">
      <c r="A946" s="307"/>
      <c r="B946" s="307"/>
    </row>
    <row r="947" spans="1:2" x14ac:dyDescent="0.25">
      <c r="A947" s="307"/>
      <c r="B947" s="307"/>
    </row>
    <row r="948" spans="1:2" x14ac:dyDescent="0.25">
      <c r="A948" s="307"/>
      <c r="B948" s="307"/>
    </row>
    <row r="949" spans="1:2" x14ac:dyDescent="0.25">
      <c r="A949" s="307"/>
      <c r="B949" s="307"/>
    </row>
    <row r="950" spans="1:2" x14ac:dyDescent="0.25">
      <c r="A950" s="307"/>
      <c r="B950" s="307"/>
    </row>
    <row r="951" spans="1:2" x14ac:dyDescent="0.25">
      <c r="A951" s="307"/>
      <c r="B951" s="307"/>
    </row>
    <row r="952" spans="1:2" x14ac:dyDescent="0.25">
      <c r="A952" s="307"/>
      <c r="B952" s="307"/>
    </row>
    <row r="953" spans="1:2" x14ac:dyDescent="0.25">
      <c r="A953" s="307"/>
      <c r="B953" s="307"/>
    </row>
    <row r="954" spans="1:2" x14ac:dyDescent="0.25">
      <c r="A954" s="307"/>
      <c r="B954" s="307"/>
    </row>
    <row r="955" spans="1:2" x14ac:dyDescent="0.25">
      <c r="A955" s="307"/>
      <c r="B955" s="307"/>
    </row>
    <row r="956" spans="1:2" x14ac:dyDescent="0.25">
      <c r="A956" s="307"/>
      <c r="B956" s="307"/>
    </row>
    <row r="957" spans="1:2" x14ac:dyDescent="0.25">
      <c r="A957" s="307"/>
      <c r="B957" s="307"/>
    </row>
    <row r="958" spans="1:2" x14ac:dyDescent="0.25">
      <c r="A958" s="307"/>
      <c r="B958" s="307"/>
    </row>
    <row r="959" spans="1:2" x14ac:dyDescent="0.25">
      <c r="A959" s="307"/>
      <c r="B959" s="307"/>
    </row>
    <row r="960" spans="1:2" x14ac:dyDescent="0.25">
      <c r="A960" s="307"/>
      <c r="B960" s="307"/>
    </row>
    <row r="961" spans="1:2" x14ac:dyDescent="0.25">
      <c r="A961" s="307"/>
      <c r="B961" s="307"/>
    </row>
    <row r="962" spans="1:2" x14ac:dyDescent="0.25">
      <c r="A962" s="307"/>
      <c r="B962" s="307"/>
    </row>
    <row r="963" spans="1:2" x14ac:dyDescent="0.25">
      <c r="A963" s="307"/>
      <c r="B963" s="307"/>
    </row>
    <row r="964" spans="1:2" x14ac:dyDescent="0.25">
      <c r="A964" s="307"/>
      <c r="B964" s="307"/>
    </row>
    <row r="965" spans="1:2" x14ac:dyDescent="0.25">
      <c r="A965" s="307"/>
      <c r="B965" s="307"/>
    </row>
    <row r="966" spans="1:2" x14ac:dyDescent="0.25">
      <c r="A966" s="307"/>
      <c r="B966" s="307"/>
    </row>
    <row r="967" spans="1:2" x14ac:dyDescent="0.25">
      <c r="A967" s="307"/>
      <c r="B967" s="307"/>
    </row>
    <row r="968" spans="1:2" x14ac:dyDescent="0.25">
      <c r="A968" s="307"/>
      <c r="B968" s="307"/>
    </row>
    <row r="969" spans="1:2" x14ac:dyDescent="0.25">
      <c r="A969" s="307"/>
      <c r="B969" s="307"/>
    </row>
    <row r="970" spans="1:2" x14ac:dyDescent="0.25">
      <c r="A970" s="307"/>
      <c r="B970" s="307"/>
    </row>
    <row r="971" spans="1:2" x14ac:dyDescent="0.25">
      <c r="A971" s="307"/>
      <c r="B971" s="307"/>
    </row>
    <row r="972" spans="1:2" x14ac:dyDescent="0.25">
      <c r="A972" s="307"/>
      <c r="B972" s="307"/>
    </row>
    <row r="973" spans="1:2" x14ac:dyDescent="0.25">
      <c r="A973" s="307"/>
      <c r="B973" s="307"/>
    </row>
    <row r="974" spans="1:2" x14ac:dyDescent="0.25">
      <c r="A974" s="307"/>
      <c r="B974" s="307"/>
    </row>
    <row r="975" spans="1:2" x14ac:dyDescent="0.25">
      <c r="A975" s="307"/>
      <c r="B975" s="307"/>
    </row>
    <row r="976" spans="1:2" x14ac:dyDescent="0.25">
      <c r="A976" s="307"/>
      <c r="B976" s="307"/>
    </row>
    <row r="977" spans="1:2" x14ac:dyDescent="0.25">
      <c r="A977" s="307"/>
      <c r="B977" s="307"/>
    </row>
    <row r="978" spans="1:2" x14ac:dyDescent="0.25">
      <c r="A978" s="307"/>
      <c r="B978" s="307"/>
    </row>
    <row r="979" spans="1:2" x14ac:dyDescent="0.25">
      <c r="A979" s="307"/>
      <c r="B979" s="307"/>
    </row>
    <row r="980" spans="1:2" x14ac:dyDescent="0.25">
      <c r="A980" s="307"/>
      <c r="B980" s="307"/>
    </row>
    <row r="981" spans="1:2" x14ac:dyDescent="0.25">
      <c r="A981" s="307"/>
      <c r="B981" s="307"/>
    </row>
    <row r="982" spans="1:2" x14ac:dyDescent="0.25">
      <c r="A982" s="307"/>
      <c r="B982" s="307"/>
    </row>
    <row r="983" spans="1:2" x14ac:dyDescent="0.25">
      <c r="A983" s="307"/>
      <c r="B983" s="307"/>
    </row>
    <row r="984" spans="1:2" x14ac:dyDescent="0.25">
      <c r="A984" s="307"/>
      <c r="B984" s="307"/>
    </row>
    <row r="985" spans="1:2" x14ac:dyDescent="0.25">
      <c r="A985" s="307"/>
      <c r="B985" s="307"/>
    </row>
    <row r="986" spans="1:2" x14ac:dyDescent="0.25">
      <c r="A986" s="307"/>
      <c r="B986" s="307"/>
    </row>
    <row r="987" spans="1:2" x14ac:dyDescent="0.25">
      <c r="A987" s="307"/>
      <c r="B987" s="307"/>
    </row>
    <row r="988" spans="1:2" x14ac:dyDescent="0.25">
      <c r="A988" s="307"/>
      <c r="B988" s="307"/>
    </row>
    <row r="989" spans="1:2" x14ac:dyDescent="0.25">
      <c r="A989" s="307"/>
      <c r="B989" s="307"/>
    </row>
    <row r="990" spans="1:2" x14ac:dyDescent="0.25">
      <c r="A990" s="307"/>
      <c r="B990" s="307"/>
    </row>
    <row r="991" spans="1:2" x14ac:dyDescent="0.25">
      <c r="A991" s="307"/>
      <c r="B991" s="307"/>
    </row>
    <row r="992" spans="1:2" x14ac:dyDescent="0.25">
      <c r="A992" s="307"/>
      <c r="B992" s="307"/>
    </row>
    <row r="993" spans="1:2" x14ac:dyDescent="0.25">
      <c r="A993" s="307"/>
      <c r="B993" s="307"/>
    </row>
    <row r="994" spans="1:2" x14ac:dyDescent="0.25">
      <c r="A994" s="307"/>
      <c r="B994" s="307"/>
    </row>
    <row r="995" spans="1:2" x14ac:dyDescent="0.25">
      <c r="A995" s="307"/>
      <c r="B995" s="307"/>
    </row>
    <row r="996" spans="1:2" x14ac:dyDescent="0.25">
      <c r="A996" s="307"/>
      <c r="B996" s="307"/>
    </row>
    <row r="997" spans="1:2" x14ac:dyDescent="0.25">
      <c r="A997" s="307"/>
      <c r="B997" s="307"/>
    </row>
    <row r="998" spans="1:2" x14ac:dyDescent="0.25">
      <c r="A998" s="307"/>
      <c r="B998" s="307"/>
    </row>
    <row r="999" spans="1:2" x14ac:dyDescent="0.25">
      <c r="A999" s="307"/>
      <c r="B999" s="307"/>
    </row>
    <row r="1000" spans="1:2" x14ac:dyDescent="0.25">
      <c r="A1000" s="307"/>
      <c r="B1000" s="307"/>
    </row>
    <row r="1001" spans="1:2" x14ac:dyDescent="0.25">
      <c r="A1001" s="307"/>
      <c r="B1001" s="307"/>
    </row>
    <row r="1002" spans="1:2" x14ac:dyDescent="0.25">
      <c r="A1002" s="307"/>
      <c r="B1002" s="307"/>
    </row>
    <row r="1003" spans="1:2" x14ac:dyDescent="0.25">
      <c r="A1003" s="307"/>
      <c r="B1003" s="307"/>
    </row>
    <row r="1004" spans="1:2" x14ac:dyDescent="0.25">
      <c r="A1004" s="307"/>
      <c r="B1004" s="307"/>
    </row>
    <row r="1005" spans="1:2" x14ac:dyDescent="0.25">
      <c r="A1005" s="307"/>
      <c r="B1005" s="307"/>
    </row>
    <row r="1006" spans="1:2" x14ac:dyDescent="0.25">
      <c r="A1006" s="307"/>
      <c r="B1006" s="307"/>
    </row>
    <row r="1007" spans="1:2" x14ac:dyDescent="0.25">
      <c r="A1007" s="307"/>
      <c r="B1007" s="307"/>
    </row>
    <row r="1008" spans="1:2" x14ac:dyDescent="0.25">
      <c r="A1008" s="307"/>
      <c r="B1008" s="307"/>
    </row>
    <row r="1009" spans="1:2" x14ac:dyDescent="0.25">
      <c r="A1009" s="307"/>
      <c r="B1009" s="307"/>
    </row>
    <row r="1010" spans="1:2" x14ac:dyDescent="0.25">
      <c r="A1010" s="307"/>
      <c r="B1010" s="307"/>
    </row>
    <row r="1011" spans="1:2" x14ac:dyDescent="0.25">
      <c r="A1011" s="307"/>
      <c r="B1011" s="307"/>
    </row>
    <row r="1012" spans="1:2" x14ac:dyDescent="0.25">
      <c r="A1012" s="307"/>
      <c r="B1012" s="307"/>
    </row>
    <row r="1013" spans="1:2" x14ac:dyDescent="0.25">
      <c r="A1013" s="307"/>
      <c r="B1013" s="307"/>
    </row>
    <row r="1014" spans="1:2" x14ac:dyDescent="0.25">
      <c r="A1014" s="307"/>
      <c r="B1014" s="307"/>
    </row>
    <row r="1015" spans="1:2" x14ac:dyDescent="0.25">
      <c r="A1015" s="307"/>
      <c r="B1015" s="307"/>
    </row>
    <row r="1016" spans="1:2" x14ac:dyDescent="0.25">
      <c r="A1016" s="307"/>
      <c r="B1016" s="307"/>
    </row>
    <row r="1017" spans="1:2" x14ac:dyDescent="0.25">
      <c r="A1017" s="307"/>
      <c r="B1017" s="307"/>
    </row>
    <row r="1018" spans="1:2" x14ac:dyDescent="0.25">
      <c r="A1018" s="307"/>
      <c r="B1018" s="307"/>
    </row>
    <row r="1019" spans="1:2" x14ac:dyDescent="0.25">
      <c r="A1019" s="307"/>
      <c r="B1019" s="307"/>
    </row>
    <row r="1020" spans="1:2" x14ac:dyDescent="0.25">
      <c r="A1020" s="307"/>
      <c r="B1020" s="307"/>
    </row>
    <row r="1021" spans="1:2" x14ac:dyDescent="0.25">
      <c r="A1021" s="307"/>
      <c r="B1021" s="307"/>
    </row>
    <row r="1022" spans="1:2" x14ac:dyDescent="0.25">
      <c r="A1022" s="307"/>
      <c r="B1022" s="307"/>
    </row>
    <row r="1023" spans="1:2" x14ac:dyDescent="0.25">
      <c r="A1023" s="307"/>
      <c r="B1023" s="307"/>
    </row>
    <row r="1024" spans="1:2" x14ac:dyDescent="0.25">
      <c r="A1024" s="307"/>
      <c r="B1024" s="307"/>
    </row>
    <row r="1025" spans="1:2" x14ac:dyDescent="0.25">
      <c r="A1025" s="307"/>
      <c r="B1025" s="307"/>
    </row>
    <row r="1026" spans="1:2" x14ac:dyDescent="0.25">
      <c r="A1026" s="307"/>
      <c r="B1026" s="307"/>
    </row>
    <row r="1027" spans="1:2" x14ac:dyDescent="0.25">
      <c r="A1027" s="307"/>
      <c r="B1027" s="307"/>
    </row>
    <row r="1028" spans="1:2" x14ac:dyDescent="0.25">
      <c r="A1028" s="307"/>
      <c r="B1028" s="307"/>
    </row>
    <row r="1029" spans="1:2" x14ac:dyDescent="0.25">
      <c r="A1029" s="307"/>
      <c r="B1029" s="307"/>
    </row>
    <row r="1030" spans="1:2" x14ac:dyDescent="0.25">
      <c r="A1030" s="307"/>
      <c r="B1030" s="307"/>
    </row>
    <row r="1031" spans="1:2" x14ac:dyDescent="0.25">
      <c r="A1031" s="307"/>
      <c r="B1031" s="307"/>
    </row>
    <row r="1032" spans="1:2" x14ac:dyDescent="0.25">
      <c r="A1032" s="307"/>
      <c r="B1032" s="307"/>
    </row>
    <row r="1033" spans="1:2" x14ac:dyDescent="0.25">
      <c r="A1033" s="307"/>
      <c r="B1033" s="307"/>
    </row>
    <row r="1034" spans="1:2" x14ac:dyDescent="0.25">
      <c r="A1034" s="307"/>
      <c r="B1034" s="307"/>
    </row>
    <row r="1035" spans="1:2" x14ac:dyDescent="0.25">
      <c r="A1035" s="307"/>
      <c r="B1035" s="307"/>
    </row>
    <row r="1036" spans="1:2" x14ac:dyDescent="0.25">
      <c r="A1036" s="307"/>
      <c r="B1036" s="307"/>
    </row>
    <row r="1037" spans="1:2" x14ac:dyDescent="0.25">
      <c r="A1037" s="307"/>
      <c r="B1037" s="307"/>
    </row>
    <row r="1038" spans="1:2" x14ac:dyDescent="0.25">
      <c r="A1038" s="307"/>
      <c r="B1038" s="307"/>
    </row>
    <row r="1039" spans="1:2" x14ac:dyDescent="0.25">
      <c r="A1039" s="307"/>
      <c r="B1039" s="307"/>
    </row>
    <row r="1040" spans="1:2" x14ac:dyDescent="0.25">
      <c r="A1040" s="307"/>
      <c r="B1040" s="307"/>
    </row>
    <row r="1041" spans="1:2" x14ac:dyDescent="0.25">
      <c r="A1041" s="307"/>
      <c r="B1041" s="307"/>
    </row>
    <row r="1042" spans="1:2" x14ac:dyDescent="0.25">
      <c r="A1042" s="307"/>
      <c r="B1042" s="307"/>
    </row>
    <row r="1043" spans="1:2" x14ac:dyDescent="0.25">
      <c r="A1043" s="307"/>
      <c r="B1043" s="307"/>
    </row>
    <row r="1044" spans="1:2" x14ac:dyDescent="0.25">
      <c r="A1044" s="307"/>
      <c r="B1044" s="307"/>
    </row>
    <row r="1045" spans="1:2" x14ac:dyDescent="0.25">
      <c r="A1045" s="307"/>
      <c r="B1045" s="307"/>
    </row>
    <row r="1046" spans="1:2" x14ac:dyDescent="0.25">
      <c r="A1046" s="307"/>
      <c r="B1046" s="307"/>
    </row>
    <row r="1047" spans="1:2" x14ac:dyDescent="0.25">
      <c r="A1047" s="307"/>
      <c r="B1047" s="307"/>
    </row>
    <row r="1048" spans="1:2" x14ac:dyDescent="0.25">
      <c r="A1048" s="307"/>
      <c r="B1048" s="307"/>
    </row>
    <row r="1049" spans="1:2" x14ac:dyDescent="0.25">
      <c r="A1049" s="307"/>
      <c r="B1049" s="307"/>
    </row>
    <row r="1050" spans="1:2" x14ac:dyDescent="0.25">
      <c r="A1050" s="307"/>
      <c r="B1050" s="307"/>
    </row>
    <row r="1051" spans="1:2" x14ac:dyDescent="0.25">
      <c r="A1051" s="307"/>
      <c r="B1051" s="307"/>
    </row>
    <row r="1052" spans="1:2" x14ac:dyDescent="0.25">
      <c r="A1052" s="307"/>
      <c r="B1052" s="307"/>
    </row>
    <row r="1053" spans="1:2" x14ac:dyDescent="0.25">
      <c r="A1053" s="307"/>
      <c r="B1053" s="307"/>
    </row>
    <row r="1054" spans="1:2" x14ac:dyDescent="0.25">
      <c r="A1054" s="307"/>
      <c r="B1054" s="307"/>
    </row>
    <row r="1055" spans="1:2" x14ac:dyDescent="0.25">
      <c r="A1055" s="307"/>
      <c r="B1055" s="307"/>
    </row>
    <row r="1056" spans="1:2" x14ac:dyDescent="0.25">
      <c r="A1056" s="307"/>
      <c r="B1056" s="307"/>
    </row>
    <row r="1057" spans="1:2" x14ac:dyDescent="0.25">
      <c r="A1057" s="307"/>
      <c r="B1057" s="307"/>
    </row>
    <row r="1058" spans="1:2" x14ac:dyDescent="0.25">
      <c r="A1058" s="307"/>
      <c r="B1058" s="307"/>
    </row>
    <row r="1059" spans="1:2" x14ac:dyDescent="0.25">
      <c r="A1059" s="307"/>
      <c r="B1059" s="307"/>
    </row>
    <row r="1060" spans="1:2" x14ac:dyDescent="0.25">
      <c r="A1060" s="307"/>
      <c r="B1060" s="307"/>
    </row>
    <row r="1061" spans="1:2" x14ac:dyDescent="0.25">
      <c r="A1061" s="307"/>
      <c r="B1061" s="307"/>
    </row>
    <row r="1062" spans="1:2" x14ac:dyDescent="0.25">
      <c r="A1062" s="307"/>
      <c r="B1062" s="307"/>
    </row>
    <row r="1063" spans="1:2" x14ac:dyDescent="0.25">
      <c r="A1063" s="307"/>
      <c r="B1063" s="307"/>
    </row>
    <row r="1064" spans="1:2" x14ac:dyDescent="0.25">
      <c r="A1064" s="307"/>
      <c r="B1064" s="307"/>
    </row>
    <row r="1065" spans="1:2" x14ac:dyDescent="0.25">
      <c r="A1065" s="307"/>
      <c r="B1065" s="307"/>
    </row>
    <row r="1066" spans="1:2" x14ac:dyDescent="0.25">
      <c r="A1066" s="307"/>
      <c r="B1066" s="307"/>
    </row>
    <row r="1067" spans="1:2" x14ac:dyDescent="0.25">
      <c r="A1067" s="307"/>
      <c r="B1067" s="307"/>
    </row>
    <row r="1068" spans="1:2" x14ac:dyDescent="0.25">
      <c r="A1068" s="307"/>
      <c r="B1068" s="307"/>
    </row>
    <row r="1069" spans="1:2" x14ac:dyDescent="0.25">
      <c r="A1069" s="307"/>
      <c r="B1069" s="307"/>
    </row>
    <row r="1070" spans="1:2" x14ac:dyDescent="0.25">
      <c r="A1070" s="307"/>
      <c r="B1070" s="307"/>
    </row>
    <row r="1071" spans="1:2" x14ac:dyDescent="0.25">
      <c r="A1071" s="307"/>
      <c r="B1071" s="307"/>
    </row>
    <row r="1072" spans="1:2" x14ac:dyDescent="0.25">
      <c r="A1072" s="307"/>
      <c r="B1072" s="307"/>
    </row>
    <row r="1073" spans="1:2" x14ac:dyDescent="0.25">
      <c r="A1073" s="307"/>
      <c r="B1073" s="307"/>
    </row>
    <row r="1074" spans="1:2" x14ac:dyDescent="0.25">
      <c r="A1074" s="307"/>
      <c r="B1074" s="307"/>
    </row>
    <row r="1075" spans="1:2" x14ac:dyDescent="0.25">
      <c r="A1075" s="307"/>
      <c r="B1075" s="307"/>
    </row>
    <row r="1076" spans="1:2" x14ac:dyDescent="0.25">
      <c r="A1076" s="307"/>
      <c r="B1076" s="307"/>
    </row>
    <row r="1077" spans="1:2" x14ac:dyDescent="0.25">
      <c r="A1077" s="307"/>
      <c r="B1077" s="307"/>
    </row>
    <row r="1078" spans="1:2" x14ac:dyDescent="0.25">
      <c r="A1078" s="307"/>
      <c r="B1078" s="307"/>
    </row>
    <row r="1079" spans="1:2" x14ac:dyDescent="0.25">
      <c r="A1079" s="307"/>
      <c r="B1079" s="307"/>
    </row>
    <row r="1080" spans="1:2" x14ac:dyDescent="0.25">
      <c r="A1080" s="307"/>
      <c r="B1080" s="307"/>
    </row>
    <row r="1081" spans="1:2" x14ac:dyDescent="0.25">
      <c r="A1081" s="307"/>
      <c r="B1081" s="307"/>
    </row>
    <row r="1082" spans="1:2" x14ac:dyDescent="0.25">
      <c r="A1082" s="307"/>
      <c r="B1082" s="307"/>
    </row>
    <row r="1083" spans="1:2" x14ac:dyDescent="0.25">
      <c r="A1083" s="307"/>
      <c r="B1083" s="307"/>
    </row>
    <row r="1084" spans="1:2" x14ac:dyDescent="0.25">
      <c r="A1084" s="307"/>
      <c r="B1084" s="307"/>
    </row>
    <row r="1085" spans="1:2" x14ac:dyDescent="0.25">
      <c r="A1085" s="307"/>
      <c r="B1085" s="307"/>
    </row>
    <row r="1086" spans="1:2" x14ac:dyDescent="0.25">
      <c r="A1086" s="307"/>
      <c r="B1086" s="307"/>
    </row>
    <row r="1087" spans="1:2" x14ac:dyDescent="0.25">
      <c r="A1087" s="307"/>
      <c r="B1087" s="307"/>
    </row>
    <row r="1088" spans="1:2" x14ac:dyDescent="0.25">
      <c r="A1088" s="307"/>
      <c r="B1088" s="307"/>
    </row>
    <row r="1089" spans="1:2" x14ac:dyDescent="0.25">
      <c r="A1089" s="307"/>
      <c r="B1089" s="307"/>
    </row>
    <row r="1090" spans="1:2" x14ac:dyDescent="0.25">
      <c r="A1090" s="307"/>
      <c r="B1090" s="307"/>
    </row>
    <row r="1091" spans="1:2" x14ac:dyDescent="0.25">
      <c r="A1091" s="307"/>
      <c r="B1091" s="307"/>
    </row>
    <row r="1092" spans="1:2" x14ac:dyDescent="0.25">
      <c r="A1092" s="307"/>
      <c r="B1092" s="307"/>
    </row>
    <row r="1093" spans="1:2" x14ac:dyDescent="0.25">
      <c r="A1093" s="307"/>
      <c r="B1093" s="307"/>
    </row>
    <row r="1094" spans="1:2" x14ac:dyDescent="0.25">
      <c r="A1094" s="307"/>
      <c r="B1094" s="307"/>
    </row>
    <row r="1095" spans="1:2" x14ac:dyDescent="0.25">
      <c r="A1095" s="307"/>
      <c r="B1095" s="307"/>
    </row>
    <row r="1096" spans="1:2" x14ac:dyDescent="0.25">
      <c r="A1096" s="307"/>
      <c r="B1096" s="307"/>
    </row>
    <row r="1097" spans="1:2" x14ac:dyDescent="0.25">
      <c r="A1097" s="307"/>
      <c r="B1097" s="307"/>
    </row>
    <row r="1098" spans="1:2" x14ac:dyDescent="0.25">
      <c r="A1098" s="307"/>
      <c r="B1098" s="307"/>
    </row>
    <row r="1099" spans="1:2" x14ac:dyDescent="0.25">
      <c r="A1099" s="307"/>
      <c r="B1099" s="307"/>
    </row>
    <row r="1100" spans="1:2" x14ac:dyDescent="0.25">
      <c r="A1100" s="307"/>
      <c r="B1100" s="307"/>
    </row>
    <row r="1101" spans="1:2" x14ac:dyDescent="0.25">
      <c r="A1101" s="307"/>
      <c r="B1101" s="307"/>
    </row>
    <row r="1102" spans="1:2" x14ac:dyDescent="0.25">
      <c r="A1102" s="307"/>
      <c r="B1102" s="307"/>
    </row>
    <row r="1103" spans="1:2" x14ac:dyDescent="0.25">
      <c r="A1103" s="307"/>
      <c r="B1103" s="307"/>
    </row>
    <row r="1104" spans="1:2" x14ac:dyDescent="0.25">
      <c r="A1104" s="307"/>
      <c r="B1104" s="307"/>
    </row>
    <row r="1105" spans="1:2" x14ac:dyDescent="0.25">
      <c r="A1105" s="307"/>
      <c r="B1105" s="307"/>
    </row>
    <row r="1106" spans="1:2" x14ac:dyDescent="0.25">
      <c r="A1106" s="307"/>
      <c r="B1106" s="307"/>
    </row>
    <row r="1107" spans="1:2" x14ac:dyDescent="0.25">
      <c r="A1107" s="307"/>
      <c r="B1107" s="307"/>
    </row>
    <row r="1108" spans="1:2" x14ac:dyDescent="0.25">
      <c r="A1108" s="307"/>
      <c r="B1108" s="307"/>
    </row>
    <row r="1109" spans="1:2" x14ac:dyDescent="0.25">
      <c r="A1109" s="307"/>
      <c r="B1109" s="307"/>
    </row>
    <row r="1110" spans="1:2" x14ac:dyDescent="0.25">
      <c r="A1110" s="307"/>
      <c r="B1110" s="307"/>
    </row>
    <row r="1111" spans="1:2" x14ac:dyDescent="0.25">
      <c r="A1111" s="307"/>
      <c r="B1111" s="307"/>
    </row>
    <row r="1112" spans="1:2" x14ac:dyDescent="0.25">
      <c r="A1112" s="307"/>
      <c r="B1112" s="307"/>
    </row>
    <row r="1113" spans="1:2" x14ac:dyDescent="0.25">
      <c r="A1113" s="307"/>
      <c r="B1113" s="307"/>
    </row>
    <row r="1114" spans="1:2" x14ac:dyDescent="0.25">
      <c r="A1114" s="307"/>
      <c r="B1114" s="307"/>
    </row>
    <row r="1115" spans="1:2" x14ac:dyDescent="0.25">
      <c r="A1115" s="307"/>
      <c r="B1115" s="307"/>
    </row>
    <row r="1116" spans="1:2" x14ac:dyDescent="0.25">
      <c r="A1116" s="307"/>
      <c r="B1116" s="307"/>
    </row>
    <row r="1117" spans="1:2" x14ac:dyDescent="0.25">
      <c r="A1117" s="307"/>
      <c r="B1117" s="307"/>
    </row>
    <row r="1118" spans="1:2" x14ac:dyDescent="0.25">
      <c r="A1118" s="307"/>
      <c r="B1118" s="307"/>
    </row>
    <row r="1119" spans="1:2" x14ac:dyDescent="0.25">
      <c r="A1119" s="307"/>
      <c r="B1119" s="307"/>
    </row>
    <row r="1120" spans="1:2" x14ac:dyDescent="0.25">
      <c r="A1120" s="307"/>
      <c r="B1120" s="307"/>
    </row>
    <row r="1121" spans="1:2" x14ac:dyDescent="0.25">
      <c r="A1121" s="307"/>
      <c r="B1121" s="307"/>
    </row>
    <row r="1122" spans="1:2" x14ac:dyDescent="0.25">
      <c r="A1122" s="307"/>
      <c r="B1122" s="307"/>
    </row>
    <row r="1123" spans="1:2" x14ac:dyDescent="0.25">
      <c r="A1123" s="307"/>
      <c r="B1123" s="307"/>
    </row>
    <row r="1124" spans="1:2" x14ac:dyDescent="0.25">
      <c r="A1124" s="307"/>
      <c r="B1124" s="307"/>
    </row>
    <row r="1125" spans="1:2" x14ac:dyDescent="0.25">
      <c r="A1125" s="307"/>
      <c r="B1125" s="307"/>
    </row>
    <row r="1126" spans="1:2" x14ac:dyDescent="0.25">
      <c r="A1126" s="307"/>
      <c r="B1126" s="307"/>
    </row>
    <row r="1127" spans="1:2" x14ac:dyDescent="0.25">
      <c r="A1127" s="307"/>
      <c r="B1127" s="307"/>
    </row>
    <row r="1128" spans="1:2" x14ac:dyDescent="0.25">
      <c r="A1128" s="307"/>
      <c r="B1128" s="307"/>
    </row>
    <row r="1129" spans="1:2" x14ac:dyDescent="0.25">
      <c r="A1129" s="307"/>
      <c r="B1129" s="307"/>
    </row>
    <row r="1130" spans="1:2" x14ac:dyDescent="0.25">
      <c r="A1130" s="307"/>
      <c r="B1130" s="307"/>
    </row>
    <row r="1131" spans="1:2" x14ac:dyDescent="0.25">
      <c r="A1131" s="307"/>
      <c r="B1131" s="307"/>
    </row>
    <row r="1132" spans="1:2" x14ac:dyDescent="0.25">
      <c r="A1132" s="307"/>
      <c r="B1132" s="307"/>
    </row>
    <row r="1133" spans="1:2" x14ac:dyDescent="0.25">
      <c r="A1133" s="307"/>
      <c r="B1133" s="307"/>
    </row>
    <row r="1134" spans="1:2" x14ac:dyDescent="0.25">
      <c r="A1134" s="307"/>
      <c r="B1134" s="307"/>
    </row>
    <row r="1135" spans="1:2" x14ac:dyDescent="0.25">
      <c r="A1135" s="307"/>
      <c r="B1135" s="307"/>
    </row>
    <row r="1136" spans="1:2" x14ac:dyDescent="0.25">
      <c r="A1136" s="307"/>
      <c r="B1136" s="307"/>
    </row>
    <row r="1137" spans="1:2" x14ac:dyDescent="0.25">
      <c r="A1137" s="307"/>
      <c r="B1137" s="307"/>
    </row>
    <row r="1138" spans="1:2" x14ac:dyDescent="0.25">
      <c r="A1138" s="307"/>
      <c r="B1138" s="307"/>
    </row>
    <row r="1139" spans="1:2" x14ac:dyDescent="0.25">
      <c r="A1139" s="307"/>
      <c r="B1139" s="307"/>
    </row>
    <row r="1140" spans="1:2" x14ac:dyDescent="0.25">
      <c r="A1140" s="307"/>
      <c r="B1140" s="307"/>
    </row>
    <row r="1141" spans="1:2" x14ac:dyDescent="0.25">
      <c r="A1141" s="307"/>
      <c r="B1141" s="307"/>
    </row>
    <row r="1142" spans="1:2" x14ac:dyDescent="0.25">
      <c r="A1142" s="307"/>
      <c r="B1142" s="307"/>
    </row>
    <row r="1143" spans="1:2" x14ac:dyDescent="0.25">
      <c r="A1143" s="307"/>
      <c r="B1143" s="307"/>
    </row>
    <row r="1144" spans="1:2" x14ac:dyDescent="0.25">
      <c r="A1144" s="307"/>
      <c r="B1144" s="307"/>
    </row>
    <row r="1145" spans="1:2" x14ac:dyDescent="0.25">
      <c r="A1145" s="307"/>
      <c r="B1145" s="307"/>
    </row>
    <row r="1146" spans="1:2" x14ac:dyDescent="0.25">
      <c r="A1146" s="307"/>
      <c r="B1146" s="307"/>
    </row>
    <row r="1147" spans="1:2" x14ac:dyDescent="0.25">
      <c r="A1147" s="307"/>
      <c r="B1147" s="307"/>
    </row>
    <row r="1148" spans="1:2" x14ac:dyDescent="0.25">
      <c r="A1148" s="307"/>
      <c r="B1148" s="307"/>
    </row>
    <row r="1149" spans="1:2" x14ac:dyDescent="0.25">
      <c r="A1149" s="307"/>
      <c r="B1149" s="307"/>
    </row>
    <row r="1150" spans="1:2" x14ac:dyDescent="0.25">
      <c r="A1150" s="307"/>
      <c r="B1150" s="307"/>
    </row>
    <row r="1151" spans="1:2" x14ac:dyDescent="0.25">
      <c r="A1151" s="307"/>
      <c r="B1151" s="307"/>
    </row>
    <row r="1152" spans="1:2" x14ac:dyDescent="0.25">
      <c r="A1152" s="307"/>
      <c r="B1152" s="307"/>
    </row>
    <row r="1153" spans="1:2" x14ac:dyDescent="0.25">
      <c r="A1153" s="307"/>
      <c r="B1153" s="307"/>
    </row>
    <row r="1154" spans="1:2" x14ac:dyDescent="0.25">
      <c r="A1154" s="307"/>
      <c r="B1154" s="307"/>
    </row>
    <row r="1155" spans="1:2" x14ac:dyDescent="0.25">
      <c r="A1155" s="307"/>
      <c r="B1155" s="307"/>
    </row>
    <row r="1156" spans="1:2" x14ac:dyDescent="0.25">
      <c r="A1156" s="307"/>
      <c r="B1156" s="307"/>
    </row>
    <row r="1157" spans="1:2" x14ac:dyDescent="0.25">
      <c r="A1157" s="307"/>
      <c r="B1157" s="307"/>
    </row>
    <row r="1158" spans="1:2" x14ac:dyDescent="0.25">
      <c r="A1158" s="307"/>
      <c r="B1158" s="307"/>
    </row>
    <row r="1159" spans="1:2" x14ac:dyDescent="0.25">
      <c r="A1159" s="307"/>
      <c r="B1159" s="307"/>
    </row>
    <row r="1160" spans="1:2" x14ac:dyDescent="0.25">
      <c r="A1160" s="307"/>
      <c r="B1160" s="307"/>
    </row>
    <row r="1161" spans="1:2" x14ac:dyDescent="0.25">
      <c r="A1161" s="307"/>
      <c r="B1161" s="307"/>
    </row>
    <row r="1162" spans="1:2" x14ac:dyDescent="0.25">
      <c r="A1162" s="307"/>
      <c r="B1162" s="307"/>
    </row>
    <row r="1163" spans="1:2" x14ac:dyDescent="0.25">
      <c r="A1163" s="307"/>
      <c r="B1163" s="307"/>
    </row>
    <row r="1164" spans="1:2" x14ac:dyDescent="0.25">
      <c r="A1164" s="307"/>
      <c r="B1164" s="307"/>
    </row>
    <row r="1165" spans="1:2" x14ac:dyDescent="0.25">
      <c r="A1165" s="307"/>
      <c r="B1165" s="307"/>
    </row>
    <row r="1166" spans="1:2" x14ac:dyDescent="0.25">
      <c r="A1166" s="307"/>
      <c r="B1166" s="307"/>
    </row>
    <row r="1167" spans="1:2" x14ac:dyDescent="0.25">
      <c r="A1167" s="307"/>
      <c r="B1167" s="307"/>
    </row>
    <row r="1168" spans="1:2" x14ac:dyDescent="0.25">
      <c r="A1168" s="307"/>
      <c r="B1168" s="307"/>
    </row>
    <row r="1169" spans="1:2" x14ac:dyDescent="0.25">
      <c r="A1169" s="307"/>
      <c r="B1169" s="307"/>
    </row>
    <row r="1170" spans="1:2" x14ac:dyDescent="0.25">
      <c r="A1170" s="307"/>
      <c r="B1170" s="307"/>
    </row>
    <row r="1171" spans="1:2" x14ac:dyDescent="0.25">
      <c r="A1171" s="307"/>
      <c r="B1171" s="307"/>
    </row>
    <row r="1172" spans="1:2" x14ac:dyDescent="0.25">
      <c r="A1172" s="307"/>
      <c r="B1172" s="307"/>
    </row>
    <row r="1173" spans="1:2" x14ac:dyDescent="0.25">
      <c r="A1173" s="307"/>
      <c r="B1173" s="307"/>
    </row>
    <row r="1174" spans="1:2" x14ac:dyDescent="0.25">
      <c r="A1174" s="307"/>
      <c r="B1174" s="307"/>
    </row>
    <row r="1175" spans="1:2" x14ac:dyDescent="0.25">
      <c r="A1175" s="307"/>
      <c r="B1175" s="307"/>
    </row>
    <row r="1176" spans="1:2" x14ac:dyDescent="0.25">
      <c r="A1176" s="307"/>
      <c r="B1176" s="307"/>
    </row>
    <row r="1177" spans="1:2" x14ac:dyDescent="0.25">
      <c r="A1177" s="307"/>
      <c r="B1177" s="307"/>
    </row>
    <row r="1178" spans="1:2" x14ac:dyDescent="0.25">
      <c r="A1178" s="307"/>
      <c r="B1178" s="307"/>
    </row>
    <row r="1179" spans="1:2" x14ac:dyDescent="0.25">
      <c r="A1179" s="307"/>
      <c r="B1179" s="307"/>
    </row>
    <row r="1180" spans="1:2" x14ac:dyDescent="0.25">
      <c r="A1180" s="307"/>
      <c r="B1180" s="307"/>
    </row>
    <row r="1181" spans="1:2" x14ac:dyDescent="0.25">
      <c r="A1181" s="307"/>
      <c r="B1181" s="307"/>
    </row>
    <row r="1182" spans="1:2" x14ac:dyDescent="0.25">
      <c r="A1182" s="307"/>
      <c r="B1182" s="307"/>
    </row>
    <row r="1183" spans="1:2" x14ac:dyDescent="0.25">
      <c r="A1183" s="307"/>
      <c r="B1183" s="307"/>
    </row>
    <row r="1184" spans="1:2" x14ac:dyDescent="0.25">
      <c r="A1184" s="307"/>
      <c r="B1184" s="307"/>
    </row>
    <row r="1185" spans="1:2" x14ac:dyDescent="0.25">
      <c r="A1185" s="307"/>
      <c r="B1185" s="307"/>
    </row>
    <row r="1186" spans="1:2" x14ac:dyDescent="0.25">
      <c r="A1186" s="307"/>
      <c r="B1186" s="307"/>
    </row>
    <row r="1187" spans="1:2" x14ac:dyDescent="0.25">
      <c r="A1187" s="307"/>
      <c r="B1187" s="307"/>
    </row>
    <row r="1188" spans="1:2" x14ac:dyDescent="0.25">
      <c r="A1188" s="307"/>
      <c r="B1188" s="307"/>
    </row>
    <row r="1189" spans="1:2" x14ac:dyDescent="0.25">
      <c r="A1189" s="307"/>
      <c r="B1189" s="307"/>
    </row>
    <row r="1190" spans="1:2" x14ac:dyDescent="0.25">
      <c r="A1190" s="307"/>
      <c r="B1190" s="307"/>
    </row>
    <row r="1191" spans="1:2" x14ac:dyDescent="0.25">
      <c r="A1191" s="307"/>
      <c r="B1191" s="307"/>
    </row>
    <row r="1192" spans="1:2" x14ac:dyDescent="0.25">
      <c r="A1192" s="307"/>
      <c r="B1192" s="307"/>
    </row>
    <row r="1193" spans="1:2" x14ac:dyDescent="0.25">
      <c r="A1193" s="307"/>
      <c r="B1193" s="307"/>
    </row>
    <row r="1194" spans="1:2" x14ac:dyDescent="0.25">
      <c r="A1194" s="307"/>
      <c r="B1194" s="307"/>
    </row>
    <row r="1195" spans="1:2" x14ac:dyDescent="0.25">
      <c r="A1195" s="307"/>
      <c r="B1195" s="307"/>
    </row>
    <row r="1196" spans="1:2" x14ac:dyDescent="0.25">
      <c r="A1196" s="307"/>
      <c r="B1196" s="307"/>
    </row>
    <row r="1197" spans="1:2" x14ac:dyDescent="0.25">
      <c r="A1197" s="307"/>
      <c r="B1197" s="307"/>
    </row>
    <row r="1198" spans="1:2" x14ac:dyDescent="0.25">
      <c r="A1198" s="307"/>
      <c r="B1198" s="307"/>
    </row>
    <row r="1199" spans="1:2" x14ac:dyDescent="0.25">
      <c r="A1199" s="307"/>
      <c r="B1199" s="307"/>
    </row>
    <row r="1200" spans="1:2" x14ac:dyDescent="0.25">
      <c r="A1200" s="307"/>
      <c r="B1200" s="307"/>
    </row>
    <row r="1201" spans="1:2" x14ac:dyDescent="0.25">
      <c r="A1201" s="307"/>
      <c r="B1201" s="307"/>
    </row>
    <row r="1202" spans="1:2" x14ac:dyDescent="0.25">
      <c r="A1202" s="307"/>
      <c r="B1202" s="307"/>
    </row>
    <row r="1203" spans="1:2" x14ac:dyDescent="0.25">
      <c r="A1203" s="307"/>
      <c r="B1203" s="307"/>
    </row>
    <row r="1204" spans="1:2" x14ac:dyDescent="0.25">
      <c r="A1204" s="307"/>
      <c r="B1204" s="307"/>
    </row>
    <row r="1205" spans="1:2" x14ac:dyDescent="0.25">
      <c r="A1205" s="307"/>
      <c r="B1205" s="307"/>
    </row>
    <row r="1206" spans="1:2" x14ac:dyDescent="0.25">
      <c r="A1206" s="307"/>
      <c r="B1206" s="307"/>
    </row>
    <row r="1207" spans="1:2" x14ac:dyDescent="0.25">
      <c r="A1207" s="307"/>
      <c r="B1207" s="307"/>
    </row>
    <row r="1208" spans="1:2" x14ac:dyDescent="0.25">
      <c r="A1208" s="307"/>
      <c r="B1208" s="307"/>
    </row>
    <row r="1209" spans="1:2" x14ac:dyDescent="0.25">
      <c r="A1209" s="307"/>
      <c r="B1209" s="307"/>
    </row>
    <row r="1210" spans="1:2" x14ac:dyDescent="0.25">
      <c r="A1210" s="307"/>
      <c r="B1210" s="307"/>
    </row>
    <row r="1211" spans="1:2" x14ac:dyDescent="0.25">
      <c r="A1211" s="307"/>
      <c r="B1211" s="307"/>
    </row>
    <row r="1212" spans="1:2" x14ac:dyDescent="0.25">
      <c r="A1212" s="307"/>
      <c r="B1212" s="307"/>
    </row>
    <row r="1213" spans="1:2" x14ac:dyDescent="0.25">
      <c r="A1213" s="307"/>
      <c r="B1213" s="307"/>
    </row>
    <row r="1214" spans="1:2" x14ac:dyDescent="0.25">
      <c r="A1214" s="307"/>
      <c r="B1214" s="307"/>
    </row>
    <row r="1215" spans="1:2" x14ac:dyDescent="0.25">
      <c r="A1215" s="307"/>
      <c r="B1215" s="307"/>
    </row>
    <row r="1216" spans="1:2" x14ac:dyDescent="0.25">
      <c r="A1216" s="307"/>
      <c r="B1216" s="307"/>
    </row>
    <row r="1217" spans="1:2" x14ac:dyDescent="0.25">
      <c r="A1217" s="307"/>
      <c r="B1217" s="307"/>
    </row>
    <row r="1218" spans="1:2" x14ac:dyDescent="0.25">
      <c r="A1218" s="307"/>
      <c r="B1218" s="307"/>
    </row>
    <row r="1219" spans="1:2" x14ac:dyDescent="0.25">
      <c r="A1219" s="307"/>
      <c r="B1219" s="307"/>
    </row>
    <row r="1220" spans="1:2" x14ac:dyDescent="0.25">
      <c r="A1220" s="307"/>
      <c r="B1220" s="307"/>
    </row>
    <row r="1221" spans="1:2" x14ac:dyDescent="0.25">
      <c r="A1221" s="307"/>
      <c r="B1221" s="307"/>
    </row>
    <row r="1222" spans="1:2" x14ac:dyDescent="0.25">
      <c r="A1222" s="307"/>
      <c r="B1222" s="307"/>
    </row>
    <row r="1223" spans="1:2" x14ac:dyDescent="0.25">
      <c r="A1223" s="307"/>
      <c r="B1223" s="307"/>
    </row>
    <row r="1224" spans="1:2" x14ac:dyDescent="0.25">
      <c r="A1224" s="307"/>
      <c r="B1224" s="307"/>
    </row>
    <row r="1225" spans="1:2" x14ac:dyDescent="0.25">
      <c r="A1225" s="307"/>
      <c r="B1225" s="307"/>
    </row>
    <row r="1226" spans="1:2" x14ac:dyDescent="0.25">
      <c r="A1226" s="307"/>
      <c r="B1226" s="307"/>
    </row>
    <row r="1227" spans="1:2" x14ac:dyDescent="0.25">
      <c r="A1227" s="307"/>
      <c r="B1227" s="307"/>
    </row>
    <row r="1228" spans="1:2" x14ac:dyDescent="0.25">
      <c r="A1228" s="307"/>
      <c r="B1228" s="307"/>
    </row>
    <row r="1229" spans="1:2" x14ac:dyDescent="0.25">
      <c r="A1229" s="307"/>
      <c r="B1229" s="307"/>
    </row>
    <row r="1230" spans="1:2" x14ac:dyDescent="0.25">
      <c r="A1230" s="307"/>
      <c r="B1230" s="307"/>
    </row>
    <row r="1231" spans="1:2" x14ac:dyDescent="0.25">
      <c r="A1231" s="307"/>
      <c r="B1231" s="307"/>
    </row>
    <row r="1232" spans="1:2" x14ac:dyDescent="0.25">
      <c r="A1232" s="307"/>
      <c r="B1232" s="307"/>
    </row>
    <row r="1233" spans="1:2" x14ac:dyDescent="0.25">
      <c r="A1233" s="307"/>
      <c r="B1233" s="307"/>
    </row>
    <row r="1234" spans="1:2" x14ac:dyDescent="0.25">
      <c r="A1234" s="307"/>
      <c r="B1234" s="307"/>
    </row>
    <row r="1235" spans="1:2" x14ac:dyDescent="0.25">
      <c r="A1235" s="307"/>
      <c r="B1235" s="307"/>
    </row>
    <row r="1236" spans="1:2" x14ac:dyDescent="0.25">
      <c r="A1236" s="307"/>
      <c r="B1236" s="307"/>
    </row>
    <row r="1237" spans="1:2" x14ac:dyDescent="0.25">
      <c r="A1237" s="307"/>
      <c r="B1237" s="307"/>
    </row>
    <row r="1238" spans="1:2" x14ac:dyDescent="0.25">
      <c r="A1238" s="307"/>
      <c r="B1238" s="307"/>
    </row>
    <row r="1239" spans="1:2" x14ac:dyDescent="0.25">
      <c r="A1239" s="307"/>
      <c r="B1239" s="307"/>
    </row>
    <row r="1240" spans="1:2" x14ac:dyDescent="0.25">
      <c r="A1240" s="307"/>
      <c r="B1240" s="307"/>
    </row>
    <row r="1241" spans="1:2" x14ac:dyDescent="0.25">
      <c r="A1241" s="307"/>
      <c r="B1241" s="307"/>
    </row>
    <row r="1242" spans="1:2" x14ac:dyDescent="0.25">
      <c r="A1242" s="307"/>
      <c r="B1242" s="307"/>
    </row>
    <row r="1243" spans="1:2" x14ac:dyDescent="0.25">
      <c r="A1243" s="307"/>
      <c r="B1243" s="307"/>
    </row>
    <row r="1244" spans="1:2" x14ac:dyDescent="0.25">
      <c r="A1244" s="307"/>
      <c r="B1244" s="307"/>
    </row>
    <row r="1245" spans="1:2" x14ac:dyDescent="0.25">
      <c r="A1245" s="307"/>
      <c r="B1245" s="307"/>
    </row>
    <row r="1246" spans="1:2" x14ac:dyDescent="0.25">
      <c r="A1246" s="307"/>
      <c r="B1246" s="307"/>
    </row>
    <row r="1247" spans="1:2" x14ac:dyDescent="0.25">
      <c r="A1247" s="307"/>
      <c r="B1247" s="307"/>
    </row>
    <row r="1248" spans="1:2" x14ac:dyDescent="0.25">
      <c r="A1248" s="307"/>
      <c r="B1248" s="307"/>
    </row>
    <row r="1249" spans="1:2" x14ac:dyDescent="0.25">
      <c r="A1249" s="307"/>
      <c r="B1249" s="307"/>
    </row>
    <row r="1250" spans="1:2" x14ac:dyDescent="0.25">
      <c r="A1250" s="307"/>
      <c r="B1250" s="307"/>
    </row>
    <row r="1251" spans="1:2" x14ac:dyDescent="0.25">
      <c r="A1251" s="307"/>
      <c r="B1251" s="307"/>
    </row>
    <row r="1252" spans="1:2" x14ac:dyDescent="0.25">
      <c r="A1252" s="307"/>
      <c r="B1252" s="307"/>
    </row>
    <row r="1253" spans="1:2" x14ac:dyDescent="0.25">
      <c r="A1253" s="307"/>
      <c r="B1253" s="307"/>
    </row>
    <row r="1254" spans="1:2" x14ac:dyDescent="0.25">
      <c r="A1254" s="307"/>
      <c r="B1254" s="307"/>
    </row>
    <row r="1255" spans="1:2" x14ac:dyDescent="0.25">
      <c r="A1255" s="307"/>
      <c r="B1255" s="307"/>
    </row>
    <row r="1256" spans="1:2" x14ac:dyDescent="0.25">
      <c r="A1256" s="307"/>
      <c r="B1256" s="307"/>
    </row>
    <row r="1257" spans="1:2" x14ac:dyDescent="0.25">
      <c r="A1257" s="307"/>
      <c r="B1257" s="307"/>
    </row>
    <row r="1258" spans="1:2" x14ac:dyDescent="0.25">
      <c r="A1258" s="307"/>
      <c r="B1258" s="307"/>
    </row>
    <row r="1259" spans="1:2" x14ac:dyDescent="0.25">
      <c r="A1259" s="307"/>
      <c r="B1259" s="307"/>
    </row>
    <row r="1260" spans="1:2" x14ac:dyDescent="0.25">
      <c r="A1260" s="307"/>
      <c r="B1260" s="307"/>
    </row>
    <row r="1261" spans="1:2" x14ac:dyDescent="0.25">
      <c r="A1261" s="307"/>
      <c r="B1261" s="307"/>
    </row>
    <row r="1262" spans="1:2" x14ac:dyDescent="0.25">
      <c r="A1262" s="307"/>
      <c r="B1262" s="307"/>
    </row>
    <row r="1263" spans="1:2" x14ac:dyDescent="0.25">
      <c r="A1263" s="307"/>
      <c r="B1263" s="307"/>
    </row>
    <row r="1264" spans="1:2" x14ac:dyDescent="0.25">
      <c r="A1264" s="307"/>
      <c r="B1264" s="307"/>
    </row>
    <row r="1265" spans="1:2" x14ac:dyDescent="0.25">
      <c r="A1265" s="307"/>
      <c r="B1265" s="307"/>
    </row>
    <row r="1266" spans="1:2" x14ac:dyDescent="0.25">
      <c r="A1266" s="307"/>
      <c r="B1266" s="307"/>
    </row>
    <row r="1267" spans="1:2" x14ac:dyDescent="0.25">
      <c r="A1267" s="307"/>
      <c r="B1267" s="307"/>
    </row>
    <row r="1268" spans="1:2" x14ac:dyDescent="0.25">
      <c r="A1268" s="307"/>
      <c r="B1268" s="307"/>
    </row>
    <row r="1269" spans="1:2" x14ac:dyDescent="0.25">
      <c r="A1269" s="307"/>
      <c r="B1269" s="307"/>
    </row>
    <row r="1270" spans="1:2" x14ac:dyDescent="0.25">
      <c r="A1270" s="307"/>
      <c r="B1270" s="307"/>
    </row>
    <row r="1271" spans="1:2" x14ac:dyDescent="0.25">
      <c r="A1271" s="307"/>
      <c r="B1271" s="307"/>
    </row>
    <row r="1272" spans="1:2" x14ac:dyDescent="0.25">
      <c r="A1272" s="307"/>
      <c r="B1272" s="307"/>
    </row>
    <row r="1273" spans="1:2" x14ac:dyDescent="0.25">
      <c r="A1273" s="307"/>
      <c r="B1273" s="307"/>
    </row>
    <row r="1274" spans="1:2" x14ac:dyDescent="0.25">
      <c r="A1274" s="307"/>
      <c r="B1274" s="307"/>
    </row>
    <row r="1275" spans="1:2" x14ac:dyDescent="0.25">
      <c r="A1275" s="307"/>
      <c r="B1275" s="307"/>
    </row>
    <row r="1276" spans="1:2" x14ac:dyDescent="0.25">
      <c r="A1276" s="307"/>
      <c r="B1276" s="307"/>
    </row>
    <row r="1277" spans="1:2" x14ac:dyDescent="0.25">
      <c r="A1277" s="307"/>
      <c r="B1277" s="307"/>
    </row>
    <row r="1278" spans="1:2" x14ac:dyDescent="0.25">
      <c r="A1278" s="307"/>
      <c r="B1278" s="307"/>
    </row>
    <row r="1279" spans="1:2" x14ac:dyDescent="0.25">
      <c r="A1279" s="307"/>
      <c r="B1279" s="307"/>
    </row>
    <row r="1280" spans="1:2" x14ac:dyDescent="0.25">
      <c r="A1280" s="307"/>
      <c r="B1280" s="307"/>
    </row>
    <row r="1281" spans="1:2" x14ac:dyDescent="0.25">
      <c r="A1281" s="307"/>
      <c r="B1281" s="307"/>
    </row>
    <row r="1282" spans="1:2" x14ac:dyDescent="0.25">
      <c r="A1282" s="307"/>
      <c r="B1282" s="307"/>
    </row>
    <row r="1283" spans="1:2" x14ac:dyDescent="0.25">
      <c r="A1283" s="307"/>
      <c r="B1283" s="307"/>
    </row>
    <row r="1284" spans="1:2" x14ac:dyDescent="0.25">
      <c r="A1284" s="307"/>
      <c r="B1284" s="307"/>
    </row>
    <row r="1285" spans="1:2" x14ac:dyDescent="0.25">
      <c r="A1285" s="307"/>
      <c r="B1285" s="307"/>
    </row>
    <row r="1286" spans="1:2" x14ac:dyDescent="0.25">
      <c r="A1286" s="307"/>
      <c r="B1286" s="307"/>
    </row>
    <row r="1287" spans="1:2" x14ac:dyDescent="0.25">
      <c r="A1287" s="307"/>
      <c r="B1287" s="307"/>
    </row>
    <row r="1288" spans="1:2" x14ac:dyDescent="0.25">
      <c r="A1288" s="307"/>
      <c r="B1288" s="307"/>
    </row>
    <row r="1289" spans="1:2" x14ac:dyDescent="0.25">
      <c r="A1289" s="307"/>
      <c r="B1289" s="307"/>
    </row>
    <row r="1290" spans="1:2" x14ac:dyDescent="0.25">
      <c r="A1290" s="307"/>
      <c r="B1290" s="307"/>
    </row>
    <row r="1291" spans="1:2" x14ac:dyDescent="0.25">
      <c r="A1291" s="307"/>
      <c r="B1291" s="307"/>
    </row>
    <row r="1292" spans="1:2" x14ac:dyDescent="0.25">
      <c r="A1292" s="307"/>
      <c r="B1292" s="307"/>
    </row>
    <row r="1293" spans="1:2" x14ac:dyDescent="0.25">
      <c r="A1293" s="307"/>
      <c r="B1293" s="307"/>
    </row>
    <row r="1294" spans="1:2" x14ac:dyDescent="0.25">
      <c r="A1294" s="307"/>
      <c r="B1294" s="307"/>
    </row>
    <row r="1295" spans="1:2" x14ac:dyDescent="0.25">
      <c r="A1295" s="307"/>
      <c r="B1295" s="307"/>
    </row>
    <row r="1296" spans="1:2" x14ac:dyDescent="0.25">
      <c r="A1296" s="307"/>
      <c r="B1296" s="307"/>
    </row>
    <row r="1297" spans="1:2" x14ac:dyDescent="0.25">
      <c r="A1297" s="307"/>
      <c r="B1297" s="307"/>
    </row>
    <row r="1298" spans="1:2" x14ac:dyDescent="0.25">
      <c r="A1298" s="307"/>
      <c r="B1298" s="307"/>
    </row>
    <row r="1299" spans="1:2" x14ac:dyDescent="0.25">
      <c r="A1299" s="307"/>
      <c r="B1299" s="307"/>
    </row>
    <row r="1300" spans="1:2" x14ac:dyDescent="0.25">
      <c r="A1300" s="307"/>
      <c r="B1300" s="307"/>
    </row>
    <row r="1301" spans="1:2" x14ac:dyDescent="0.25">
      <c r="A1301" s="307"/>
      <c r="B1301" s="307"/>
    </row>
    <row r="1302" spans="1:2" x14ac:dyDescent="0.25">
      <c r="A1302" s="307"/>
      <c r="B1302" s="307"/>
    </row>
    <row r="1303" spans="1:2" x14ac:dyDescent="0.25">
      <c r="A1303" s="307"/>
      <c r="B1303" s="307"/>
    </row>
    <row r="1304" spans="1:2" x14ac:dyDescent="0.25">
      <c r="A1304" s="307"/>
      <c r="B1304" s="307"/>
    </row>
    <row r="1305" spans="1:2" x14ac:dyDescent="0.25">
      <c r="A1305" s="307"/>
      <c r="B1305" s="307"/>
    </row>
    <row r="1306" spans="1:2" x14ac:dyDescent="0.25">
      <c r="A1306" s="307"/>
      <c r="B1306" s="307"/>
    </row>
    <row r="1307" spans="1:2" x14ac:dyDescent="0.25">
      <c r="A1307" s="307"/>
      <c r="B1307" s="307"/>
    </row>
    <row r="1308" spans="1:2" x14ac:dyDescent="0.25">
      <c r="A1308" s="307"/>
      <c r="B1308" s="307"/>
    </row>
    <row r="1309" spans="1:2" x14ac:dyDescent="0.25">
      <c r="A1309" s="307"/>
      <c r="B1309" s="307"/>
    </row>
    <row r="1310" spans="1:2" x14ac:dyDescent="0.25">
      <c r="A1310" s="307"/>
      <c r="B1310" s="307"/>
    </row>
    <row r="1311" spans="1:2" x14ac:dyDescent="0.25">
      <c r="A1311" s="307"/>
      <c r="B1311" s="307"/>
    </row>
    <row r="1312" spans="1:2" x14ac:dyDescent="0.25">
      <c r="A1312" s="307"/>
      <c r="B1312" s="307"/>
    </row>
    <row r="1313" spans="1:2" x14ac:dyDescent="0.25">
      <c r="A1313" s="307"/>
      <c r="B1313" s="307"/>
    </row>
    <row r="1314" spans="1:2" x14ac:dyDescent="0.25">
      <c r="A1314" s="307"/>
      <c r="B1314" s="307"/>
    </row>
    <row r="1315" spans="1:2" x14ac:dyDescent="0.25">
      <c r="A1315" s="307"/>
      <c r="B1315" s="307"/>
    </row>
    <row r="1316" spans="1:2" x14ac:dyDescent="0.25">
      <c r="A1316" s="307"/>
      <c r="B1316" s="307"/>
    </row>
    <row r="1317" spans="1:2" x14ac:dyDescent="0.25">
      <c r="A1317" s="307"/>
      <c r="B1317" s="307"/>
    </row>
    <row r="1318" spans="1:2" x14ac:dyDescent="0.25">
      <c r="A1318" s="307"/>
      <c r="B1318" s="307"/>
    </row>
    <row r="1319" spans="1:2" x14ac:dyDescent="0.25">
      <c r="A1319" s="307"/>
      <c r="B1319" s="307"/>
    </row>
    <row r="1320" spans="1:2" x14ac:dyDescent="0.25">
      <c r="A1320" s="307"/>
      <c r="B1320" s="307"/>
    </row>
    <row r="1321" spans="1:2" x14ac:dyDescent="0.25">
      <c r="A1321" s="307"/>
      <c r="B1321" s="307"/>
    </row>
    <row r="1322" spans="1:2" x14ac:dyDescent="0.25">
      <c r="A1322" s="307"/>
      <c r="B1322" s="307"/>
    </row>
    <row r="1323" spans="1:2" x14ac:dyDescent="0.25">
      <c r="A1323" s="307"/>
      <c r="B1323" s="307"/>
    </row>
    <row r="1324" spans="1:2" x14ac:dyDescent="0.25">
      <c r="A1324" s="307"/>
      <c r="B1324" s="307"/>
    </row>
    <row r="1325" spans="1:2" x14ac:dyDescent="0.25">
      <c r="A1325" s="307"/>
      <c r="B1325" s="307"/>
    </row>
    <row r="1326" spans="1:2" x14ac:dyDescent="0.25">
      <c r="A1326" s="307"/>
      <c r="B1326" s="307"/>
    </row>
    <row r="1327" spans="1:2" x14ac:dyDescent="0.25">
      <c r="A1327" s="307"/>
      <c r="B1327" s="307"/>
    </row>
    <row r="1328" spans="1:2" x14ac:dyDescent="0.25">
      <c r="A1328" s="307"/>
      <c r="B1328" s="307"/>
    </row>
    <row r="1329" spans="1:2" x14ac:dyDescent="0.25">
      <c r="A1329" s="307"/>
      <c r="B1329" s="307"/>
    </row>
    <row r="1330" spans="1:2" x14ac:dyDescent="0.25">
      <c r="A1330" s="307"/>
      <c r="B1330" s="307"/>
    </row>
    <row r="1331" spans="1:2" x14ac:dyDescent="0.25">
      <c r="A1331" s="307"/>
      <c r="B1331" s="307"/>
    </row>
    <row r="1332" spans="1:2" x14ac:dyDescent="0.25">
      <c r="A1332" s="307"/>
      <c r="B1332" s="307"/>
    </row>
    <row r="1333" spans="1:2" x14ac:dyDescent="0.25">
      <c r="A1333" s="307"/>
      <c r="B1333" s="307"/>
    </row>
    <row r="1334" spans="1:2" x14ac:dyDescent="0.25">
      <c r="A1334" s="307"/>
      <c r="B1334" s="307"/>
    </row>
    <row r="1335" spans="1:2" x14ac:dyDescent="0.25">
      <c r="A1335" s="307"/>
      <c r="B1335" s="307"/>
    </row>
    <row r="1336" spans="1:2" x14ac:dyDescent="0.25">
      <c r="A1336" s="307"/>
      <c r="B1336" s="307"/>
    </row>
    <row r="1337" spans="1:2" x14ac:dyDescent="0.25">
      <c r="A1337" s="307"/>
      <c r="B1337" s="307"/>
    </row>
    <row r="1338" spans="1:2" x14ac:dyDescent="0.25">
      <c r="A1338" s="307"/>
      <c r="B1338" s="307"/>
    </row>
    <row r="1339" spans="1:2" x14ac:dyDescent="0.25">
      <c r="A1339" s="307"/>
      <c r="B1339" s="307"/>
    </row>
    <row r="1340" spans="1:2" x14ac:dyDescent="0.25">
      <c r="A1340" s="307"/>
      <c r="B1340" s="307"/>
    </row>
    <row r="1341" spans="1:2" x14ac:dyDescent="0.25">
      <c r="A1341" s="307"/>
      <c r="B1341" s="307"/>
    </row>
    <row r="1342" spans="1:2" x14ac:dyDescent="0.25">
      <c r="A1342" s="307"/>
      <c r="B1342" s="307"/>
    </row>
    <row r="1343" spans="1:2" x14ac:dyDescent="0.25">
      <c r="A1343" s="307"/>
      <c r="B1343" s="307"/>
    </row>
    <row r="1344" spans="1:2" x14ac:dyDescent="0.25">
      <c r="A1344" s="307"/>
      <c r="B1344" s="307"/>
    </row>
    <row r="1345" spans="1:2" x14ac:dyDescent="0.25">
      <c r="A1345" s="307"/>
      <c r="B1345" s="307"/>
    </row>
    <row r="1346" spans="1:2" x14ac:dyDescent="0.25">
      <c r="A1346" s="307"/>
      <c r="B1346" s="307"/>
    </row>
    <row r="1347" spans="1:2" x14ac:dyDescent="0.25">
      <c r="A1347" s="307"/>
      <c r="B1347" s="307"/>
    </row>
    <row r="1348" spans="1:2" x14ac:dyDescent="0.25">
      <c r="A1348" s="307"/>
      <c r="B1348" s="307"/>
    </row>
    <row r="1349" spans="1:2" x14ac:dyDescent="0.25">
      <c r="A1349" s="307"/>
      <c r="B1349" s="307"/>
    </row>
    <row r="1350" spans="1:2" x14ac:dyDescent="0.25">
      <c r="A1350" s="307"/>
      <c r="B1350" s="307"/>
    </row>
    <row r="1351" spans="1:2" x14ac:dyDescent="0.25">
      <c r="A1351" s="307"/>
      <c r="B1351" s="307"/>
    </row>
    <row r="1352" spans="1:2" x14ac:dyDescent="0.25">
      <c r="A1352" s="307"/>
      <c r="B1352" s="307"/>
    </row>
    <row r="1353" spans="1:2" x14ac:dyDescent="0.25">
      <c r="A1353" s="307"/>
      <c r="B1353" s="307"/>
    </row>
    <row r="1354" spans="1:2" x14ac:dyDescent="0.25">
      <c r="A1354" s="307"/>
      <c r="B1354" s="307"/>
    </row>
    <row r="1355" spans="1:2" x14ac:dyDescent="0.25">
      <c r="A1355" s="307"/>
      <c r="B1355" s="307"/>
    </row>
    <row r="1356" spans="1:2" x14ac:dyDescent="0.25">
      <c r="A1356" s="307"/>
      <c r="B1356" s="307"/>
    </row>
    <row r="1357" spans="1:2" x14ac:dyDescent="0.25">
      <c r="A1357" s="307"/>
      <c r="B1357" s="307"/>
    </row>
    <row r="1358" spans="1:2" x14ac:dyDescent="0.25">
      <c r="A1358" s="307"/>
      <c r="B1358" s="307"/>
    </row>
    <row r="1359" spans="1:2" x14ac:dyDescent="0.25">
      <c r="A1359" s="307"/>
      <c r="B1359" s="307"/>
    </row>
    <row r="1360" spans="1:2" x14ac:dyDescent="0.25">
      <c r="A1360" s="307"/>
      <c r="B1360" s="307"/>
    </row>
    <row r="1361" spans="1:2" x14ac:dyDescent="0.25">
      <c r="A1361" s="307"/>
      <c r="B1361" s="307"/>
    </row>
    <row r="1362" spans="1:2" x14ac:dyDescent="0.25">
      <c r="A1362" s="307"/>
      <c r="B1362" s="307"/>
    </row>
    <row r="1363" spans="1:2" x14ac:dyDescent="0.25">
      <c r="A1363" s="307"/>
      <c r="B1363" s="307"/>
    </row>
    <row r="1364" spans="1:2" x14ac:dyDescent="0.25">
      <c r="A1364" s="307"/>
      <c r="B1364" s="307"/>
    </row>
    <row r="1365" spans="1:2" x14ac:dyDescent="0.25">
      <c r="A1365" s="307"/>
      <c r="B1365" s="307"/>
    </row>
    <row r="1366" spans="1:2" x14ac:dyDescent="0.25">
      <c r="A1366" s="307"/>
      <c r="B1366" s="307"/>
    </row>
    <row r="1367" spans="1:2" x14ac:dyDescent="0.25">
      <c r="A1367" s="307"/>
      <c r="B1367" s="307"/>
    </row>
    <row r="1368" spans="1:2" x14ac:dyDescent="0.25">
      <c r="A1368" s="307"/>
      <c r="B1368" s="307"/>
    </row>
    <row r="1369" spans="1:2" x14ac:dyDescent="0.25">
      <c r="A1369" s="307"/>
      <c r="B1369" s="307"/>
    </row>
    <row r="1370" spans="1:2" x14ac:dyDescent="0.25">
      <c r="A1370" s="307"/>
      <c r="B1370" s="307"/>
    </row>
    <row r="1371" spans="1:2" x14ac:dyDescent="0.25">
      <c r="A1371" s="307"/>
      <c r="B1371" s="307"/>
    </row>
    <row r="1372" spans="1:2" x14ac:dyDescent="0.25">
      <c r="A1372" s="307"/>
      <c r="B1372" s="307"/>
    </row>
    <row r="1373" spans="1:2" x14ac:dyDescent="0.25">
      <c r="A1373" s="307"/>
      <c r="B1373" s="307"/>
    </row>
    <row r="1374" spans="1:2" x14ac:dyDescent="0.25">
      <c r="A1374" s="307"/>
      <c r="B1374" s="307"/>
    </row>
    <row r="1375" spans="1:2" x14ac:dyDescent="0.25">
      <c r="A1375" s="307"/>
      <c r="B1375" s="307"/>
    </row>
    <row r="1376" spans="1:2" x14ac:dyDescent="0.25">
      <c r="A1376" s="307"/>
      <c r="B1376" s="307"/>
    </row>
    <row r="1377" spans="1:2" x14ac:dyDescent="0.25">
      <c r="A1377" s="307"/>
      <c r="B1377" s="307"/>
    </row>
    <row r="1378" spans="1:2" x14ac:dyDescent="0.25">
      <c r="A1378" s="307"/>
      <c r="B1378" s="307"/>
    </row>
    <row r="1379" spans="1:2" x14ac:dyDescent="0.25">
      <c r="A1379" s="307"/>
      <c r="B1379" s="307"/>
    </row>
    <row r="1380" spans="1:2" x14ac:dyDescent="0.25">
      <c r="A1380" s="307"/>
      <c r="B1380" s="307"/>
    </row>
    <row r="1381" spans="1:2" x14ac:dyDescent="0.25">
      <c r="A1381" s="307"/>
      <c r="B1381" s="307"/>
    </row>
    <row r="1382" spans="1:2" x14ac:dyDescent="0.25">
      <c r="A1382" s="307"/>
      <c r="B1382" s="307"/>
    </row>
    <row r="1383" spans="1:2" x14ac:dyDescent="0.25">
      <c r="A1383" s="307"/>
      <c r="B1383" s="307"/>
    </row>
    <row r="1384" spans="1:2" x14ac:dyDescent="0.25">
      <c r="A1384" s="307"/>
      <c r="B1384" s="307"/>
    </row>
    <row r="1385" spans="1:2" x14ac:dyDescent="0.25">
      <c r="A1385" s="307"/>
      <c r="B1385" s="307"/>
    </row>
    <row r="1386" spans="1:2" x14ac:dyDescent="0.25">
      <c r="A1386" s="307"/>
      <c r="B1386" s="307"/>
    </row>
    <row r="1387" spans="1:2" x14ac:dyDescent="0.25">
      <c r="A1387" s="307"/>
      <c r="B1387" s="307"/>
    </row>
    <row r="1388" spans="1:2" x14ac:dyDescent="0.25">
      <c r="A1388" s="307"/>
      <c r="B1388" s="307"/>
    </row>
    <row r="1389" spans="1:2" x14ac:dyDescent="0.25">
      <c r="A1389" s="307"/>
      <c r="B1389" s="307"/>
    </row>
    <row r="1390" spans="1:2" x14ac:dyDescent="0.25">
      <c r="A1390" s="307"/>
      <c r="B1390" s="307"/>
    </row>
    <row r="1391" spans="1:2" x14ac:dyDescent="0.25">
      <c r="A1391" s="307"/>
      <c r="B1391" s="307"/>
    </row>
    <row r="1392" spans="1:2" x14ac:dyDescent="0.25">
      <c r="A1392" s="307"/>
      <c r="B1392" s="307"/>
    </row>
    <row r="1393" spans="1:2" x14ac:dyDescent="0.25">
      <c r="A1393" s="307"/>
      <c r="B1393" s="307"/>
    </row>
    <row r="1394" spans="1:2" x14ac:dyDescent="0.25">
      <c r="A1394" s="307"/>
      <c r="B1394" s="307"/>
    </row>
    <row r="1395" spans="1:2" x14ac:dyDescent="0.25">
      <c r="A1395" s="307"/>
      <c r="B1395" s="307"/>
    </row>
    <row r="1396" spans="1:2" x14ac:dyDescent="0.25">
      <c r="A1396" s="307"/>
      <c r="B1396" s="307"/>
    </row>
    <row r="1397" spans="1:2" x14ac:dyDescent="0.25">
      <c r="A1397" s="307"/>
      <c r="B1397" s="307"/>
    </row>
    <row r="1398" spans="1:2" x14ac:dyDescent="0.25">
      <c r="A1398" s="307"/>
      <c r="B1398" s="307"/>
    </row>
    <row r="1399" spans="1:2" x14ac:dyDescent="0.25">
      <c r="A1399" s="307"/>
      <c r="B1399" s="307"/>
    </row>
    <row r="1400" spans="1:2" x14ac:dyDescent="0.25">
      <c r="A1400" s="307"/>
      <c r="B1400" s="307"/>
    </row>
    <row r="1401" spans="1:2" x14ac:dyDescent="0.25">
      <c r="A1401" s="307"/>
      <c r="B1401" s="307"/>
    </row>
    <row r="1402" spans="1:2" x14ac:dyDescent="0.25">
      <c r="A1402" s="307"/>
      <c r="B1402" s="307"/>
    </row>
    <row r="1403" spans="1:2" x14ac:dyDescent="0.25">
      <c r="A1403" s="307"/>
      <c r="B1403" s="307"/>
    </row>
    <row r="1404" spans="1:2" x14ac:dyDescent="0.25">
      <c r="A1404" s="307"/>
      <c r="B1404" s="307"/>
    </row>
    <row r="1405" spans="1:2" x14ac:dyDescent="0.25">
      <c r="A1405" s="307"/>
      <c r="B1405" s="307"/>
    </row>
    <row r="1406" spans="1:2" x14ac:dyDescent="0.25">
      <c r="A1406" s="307"/>
      <c r="B1406" s="307"/>
    </row>
    <row r="1407" spans="1:2" x14ac:dyDescent="0.25">
      <c r="A1407" s="307"/>
      <c r="B1407" s="307"/>
    </row>
    <row r="1408" spans="1:2" x14ac:dyDescent="0.25">
      <c r="A1408" s="307"/>
      <c r="B1408" s="307"/>
    </row>
    <row r="1409" spans="1:2" x14ac:dyDescent="0.25">
      <c r="A1409" s="307"/>
      <c r="B1409" s="307"/>
    </row>
    <row r="1410" spans="1:2" x14ac:dyDescent="0.25">
      <c r="A1410" s="307"/>
      <c r="B1410" s="307"/>
    </row>
    <row r="1411" spans="1:2" x14ac:dyDescent="0.25">
      <c r="A1411" s="307"/>
      <c r="B1411" s="307"/>
    </row>
    <row r="1412" spans="1:2" x14ac:dyDescent="0.25">
      <c r="A1412" s="307"/>
      <c r="B1412" s="307"/>
    </row>
    <row r="1413" spans="1:2" x14ac:dyDescent="0.25">
      <c r="A1413" s="307"/>
      <c r="B1413" s="307"/>
    </row>
    <row r="1414" spans="1:2" x14ac:dyDescent="0.25">
      <c r="A1414" s="307"/>
      <c r="B1414" s="307"/>
    </row>
    <row r="1415" spans="1:2" x14ac:dyDescent="0.25">
      <c r="A1415" s="307"/>
      <c r="B1415" s="307"/>
    </row>
    <row r="1416" spans="1:2" x14ac:dyDescent="0.25">
      <c r="A1416" s="307"/>
      <c r="B1416" s="307"/>
    </row>
    <row r="1417" spans="1:2" x14ac:dyDescent="0.25">
      <c r="A1417" s="307"/>
      <c r="B1417" s="307"/>
    </row>
    <row r="1418" spans="1:2" x14ac:dyDescent="0.25">
      <c r="A1418" s="307"/>
      <c r="B1418" s="307"/>
    </row>
    <row r="1419" spans="1:2" x14ac:dyDescent="0.25">
      <c r="A1419" s="307"/>
      <c r="B1419" s="307"/>
    </row>
    <row r="1420" spans="1:2" x14ac:dyDescent="0.25">
      <c r="A1420" s="307"/>
      <c r="B1420" s="307"/>
    </row>
    <row r="1421" spans="1:2" x14ac:dyDescent="0.25">
      <c r="A1421" s="307"/>
      <c r="B1421" s="307"/>
    </row>
    <row r="1422" spans="1:2" x14ac:dyDescent="0.25">
      <c r="A1422" s="307"/>
      <c r="B1422" s="307"/>
    </row>
    <row r="1423" spans="1:2" x14ac:dyDescent="0.25">
      <c r="A1423" s="307"/>
      <c r="B1423" s="307"/>
    </row>
    <row r="1424" spans="1:2" x14ac:dyDescent="0.25">
      <c r="A1424" s="307"/>
      <c r="B1424" s="307"/>
    </row>
    <row r="1425" spans="1:2" x14ac:dyDescent="0.25">
      <c r="A1425" s="307"/>
      <c r="B1425" s="307"/>
    </row>
    <row r="1426" spans="1:2" x14ac:dyDescent="0.25">
      <c r="A1426" s="307"/>
      <c r="B1426" s="307"/>
    </row>
    <row r="1427" spans="1:2" x14ac:dyDescent="0.25">
      <c r="A1427" s="307"/>
      <c r="B1427" s="307"/>
    </row>
    <row r="1428" spans="1:2" x14ac:dyDescent="0.25">
      <c r="A1428" s="307"/>
      <c r="B1428" s="307"/>
    </row>
    <row r="1429" spans="1:2" x14ac:dyDescent="0.25">
      <c r="A1429" s="307"/>
      <c r="B1429" s="307"/>
    </row>
    <row r="1430" spans="1:2" x14ac:dyDescent="0.25">
      <c r="A1430" s="307"/>
      <c r="B1430" s="307"/>
    </row>
    <row r="1431" spans="1:2" x14ac:dyDescent="0.25">
      <c r="A1431" s="307"/>
      <c r="B1431" s="307"/>
    </row>
    <row r="1432" spans="1:2" x14ac:dyDescent="0.25">
      <c r="A1432" s="307"/>
      <c r="B1432" s="307"/>
    </row>
    <row r="1433" spans="1:2" x14ac:dyDescent="0.25">
      <c r="A1433" s="307"/>
      <c r="B1433" s="307"/>
    </row>
    <row r="1434" spans="1:2" x14ac:dyDescent="0.25">
      <c r="A1434" s="307"/>
      <c r="B1434" s="307"/>
    </row>
    <row r="1435" spans="1:2" x14ac:dyDescent="0.25">
      <c r="A1435" s="307"/>
      <c r="B1435" s="307"/>
    </row>
    <row r="1436" spans="1:2" x14ac:dyDescent="0.25">
      <c r="A1436" s="307"/>
      <c r="B1436" s="307"/>
    </row>
    <row r="1437" spans="1:2" x14ac:dyDescent="0.25">
      <c r="A1437" s="307"/>
      <c r="B1437" s="307"/>
    </row>
    <row r="1438" spans="1:2" x14ac:dyDescent="0.25">
      <c r="A1438" s="307"/>
      <c r="B1438" s="307"/>
    </row>
    <row r="1439" spans="1:2" x14ac:dyDescent="0.25">
      <c r="A1439" s="307"/>
      <c r="B1439" s="307"/>
    </row>
    <row r="1440" spans="1:2" x14ac:dyDescent="0.25">
      <c r="A1440" s="307"/>
      <c r="B1440" s="307"/>
    </row>
    <row r="1441" spans="1:2" x14ac:dyDescent="0.25">
      <c r="A1441" s="307"/>
      <c r="B1441" s="307"/>
    </row>
    <row r="1442" spans="1:2" x14ac:dyDescent="0.25">
      <c r="A1442" s="307"/>
      <c r="B1442" s="307"/>
    </row>
    <row r="1443" spans="1:2" x14ac:dyDescent="0.25">
      <c r="A1443" s="307"/>
      <c r="B1443" s="307"/>
    </row>
    <row r="1444" spans="1:2" x14ac:dyDescent="0.25">
      <c r="A1444" s="307"/>
      <c r="B1444" s="307"/>
    </row>
    <row r="1445" spans="1:2" x14ac:dyDescent="0.25">
      <c r="A1445" s="307"/>
      <c r="B1445" s="307"/>
    </row>
    <row r="1446" spans="1:2" x14ac:dyDescent="0.25">
      <c r="A1446" s="307"/>
      <c r="B1446" s="307"/>
    </row>
    <row r="1447" spans="1:2" x14ac:dyDescent="0.25">
      <c r="A1447" s="307"/>
      <c r="B1447" s="307"/>
    </row>
    <row r="1448" spans="1:2" x14ac:dyDescent="0.25">
      <c r="A1448" s="307"/>
      <c r="B1448" s="307"/>
    </row>
    <row r="1449" spans="1:2" x14ac:dyDescent="0.25">
      <c r="A1449" s="307"/>
      <c r="B1449" s="307"/>
    </row>
    <row r="1450" spans="1:2" x14ac:dyDescent="0.25">
      <c r="A1450" s="307"/>
      <c r="B1450" s="307"/>
    </row>
    <row r="1451" spans="1:2" x14ac:dyDescent="0.25">
      <c r="A1451" s="307"/>
      <c r="B1451" s="307"/>
    </row>
    <row r="1452" spans="1:2" x14ac:dyDescent="0.25">
      <c r="A1452" s="307"/>
      <c r="B1452" s="307"/>
    </row>
    <row r="1453" spans="1:2" x14ac:dyDescent="0.25">
      <c r="A1453" s="307"/>
      <c r="B1453" s="307"/>
    </row>
    <row r="1454" spans="1:2" x14ac:dyDescent="0.25">
      <c r="A1454" s="307"/>
      <c r="B1454" s="307"/>
    </row>
    <row r="1455" spans="1:2" x14ac:dyDescent="0.25">
      <c r="A1455" s="307"/>
      <c r="B1455" s="307"/>
    </row>
    <row r="1456" spans="1:2" x14ac:dyDescent="0.25">
      <c r="A1456" s="307"/>
      <c r="B1456" s="307"/>
    </row>
    <row r="1457" spans="1:2" x14ac:dyDescent="0.25">
      <c r="A1457" s="307"/>
      <c r="B1457" s="307"/>
    </row>
    <row r="1458" spans="1:2" x14ac:dyDescent="0.25">
      <c r="A1458" s="307"/>
      <c r="B1458" s="307"/>
    </row>
    <row r="1459" spans="1:2" x14ac:dyDescent="0.25">
      <c r="A1459" s="307"/>
      <c r="B1459" s="307"/>
    </row>
    <row r="1460" spans="1:2" x14ac:dyDescent="0.25">
      <c r="A1460" s="307"/>
      <c r="B1460" s="307"/>
    </row>
    <row r="1461" spans="1:2" x14ac:dyDescent="0.25">
      <c r="A1461" s="307"/>
      <c r="B1461" s="307"/>
    </row>
    <row r="1462" spans="1:2" x14ac:dyDescent="0.25">
      <c r="A1462" s="307"/>
      <c r="B1462" s="307"/>
    </row>
    <row r="1463" spans="1:2" x14ac:dyDescent="0.25">
      <c r="A1463" s="307"/>
      <c r="B1463" s="307"/>
    </row>
    <row r="1464" spans="1:2" x14ac:dyDescent="0.25">
      <c r="A1464" s="307"/>
      <c r="B1464" s="307"/>
    </row>
    <row r="1465" spans="1:2" x14ac:dyDescent="0.25">
      <c r="A1465" s="307"/>
      <c r="B1465" s="307"/>
    </row>
    <row r="1466" spans="1:2" x14ac:dyDescent="0.25">
      <c r="A1466" s="307"/>
      <c r="B1466" s="307"/>
    </row>
    <row r="1467" spans="1:2" x14ac:dyDescent="0.25">
      <c r="A1467" s="307"/>
      <c r="B1467" s="307"/>
    </row>
    <row r="1468" spans="1:2" x14ac:dyDescent="0.25">
      <c r="A1468" s="307"/>
      <c r="B1468" s="307"/>
    </row>
    <row r="1469" spans="1:2" x14ac:dyDescent="0.25">
      <c r="A1469" s="307"/>
      <c r="B1469" s="307"/>
    </row>
    <row r="1470" spans="1:2" x14ac:dyDescent="0.25">
      <c r="A1470" s="307"/>
      <c r="B1470" s="307"/>
    </row>
    <row r="1471" spans="1:2" x14ac:dyDescent="0.25">
      <c r="A1471" s="307"/>
      <c r="B1471" s="307"/>
    </row>
    <row r="1472" spans="1:2" x14ac:dyDescent="0.25">
      <c r="A1472" s="307"/>
      <c r="B1472" s="307"/>
    </row>
    <row r="1473" spans="1:2" x14ac:dyDescent="0.25">
      <c r="A1473" s="307"/>
      <c r="B1473" s="307"/>
    </row>
    <row r="1474" spans="1:2" x14ac:dyDescent="0.25">
      <c r="A1474" s="307"/>
      <c r="B1474" s="307"/>
    </row>
    <row r="1475" spans="1:2" x14ac:dyDescent="0.25">
      <c r="A1475" s="307"/>
      <c r="B1475" s="307"/>
    </row>
    <row r="1476" spans="1:2" x14ac:dyDescent="0.25">
      <c r="A1476" s="307"/>
      <c r="B1476" s="307"/>
    </row>
    <row r="1477" spans="1:2" x14ac:dyDescent="0.25">
      <c r="A1477" s="307"/>
      <c r="B1477" s="307"/>
    </row>
    <row r="1478" spans="1:2" x14ac:dyDescent="0.25">
      <c r="A1478" s="307"/>
      <c r="B1478" s="307"/>
    </row>
    <row r="1479" spans="1:2" x14ac:dyDescent="0.25">
      <c r="A1479" s="307"/>
      <c r="B1479" s="307"/>
    </row>
    <row r="1480" spans="1:2" x14ac:dyDescent="0.25">
      <c r="A1480" s="307"/>
      <c r="B1480" s="307"/>
    </row>
    <row r="1481" spans="1:2" x14ac:dyDescent="0.25">
      <c r="A1481" s="307"/>
      <c r="B1481" s="307"/>
    </row>
    <row r="1482" spans="1:2" x14ac:dyDescent="0.25">
      <c r="A1482" s="307"/>
      <c r="B1482" s="307"/>
    </row>
    <row r="1483" spans="1:2" x14ac:dyDescent="0.25">
      <c r="A1483" s="307"/>
      <c r="B1483" s="307"/>
    </row>
    <row r="1484" spans="1:2" x14ac:dyDescent="0.25">
      <c r="A1484" s="307"/>
      <c r="B1484" s="307"/>
    </row>
    <row r="1485" spans="1:2" x14ac:dyDescent="0.25">
      <c r="A1485" s="307"/>
      <c r="B1485" s="307"/>
    </row>
    <row r="1486" spans="1:2" x14ac:dyDescent="0.25">
      <c r="A1486" s="307"/>
      <c r="B1486" s="307"/>
    </row>
    <row r="1487" spans="1:2" x14ac:dyDescent="0.25">
      <c r="A1487" s="307"/>
      <c r="B1487" s="307"/>
    </row>
    <row r="1488" spans="1:2" x14ac:dyDescent="0.25">
      <c r="A1488" s="307"/>
      <c r="B1488" s="307"/>
    </row>
    <row r="1489" spans="1:2" x14ac:dyDescent="0.25">
      <c r="A1489" s="307"/>
      <c r="B1489" s="307"/>
    </row>
    <row r="1490" spans="1:2" x14ac:dyDescent="0.25">
      <c r="A1490" s="307"/>
      <c r="B1490" s="307"/>
    </row>
    <row r="1491" spans="1:2" x14ac:dyDescent="0.25">
      <c r="A1491" s="307"/>
      <c r="B1491" s="307"/>
    </row>
    <row r="1492" spans="1:2" x14ac:dyDescent="0.25">
      <c r="A1492" s="307"/>
      <c r="B1492" s="307"/>
    </row>
    <row r="1493" spans="1:2" x14ac:dyDescent="0.25">
      <c r="A1493" s="307"/>
      <c r="B1493" s="307"/>
    </row>
    <row r="1494" spans="1:2" x14ac:dyDescent="0.25">
      <c r="A1494" s="307"/>
      <c r="B1494" s="307"/>
    </row>
    <row r="1495" spans="1:2" x14ac:dyDescent="0.25">
      <c r="A1495" s="307"/>
      <c r="B1495" s="307"/>
    </row>
    <row r="1496" spans="1:2" x14ac:dyDescent="0.25">
      <c r="A1496" s="307"/>
      <c r="B1496" s="307"/>
    </row>
    <row r="1497" spans="1:2" x14ac:dyDescent="0.25">
      <c r="A1497" s="307"/>
      <c r="B1497" s="307"/>
    </row>
    <row r="1498" spans="1:2" x14ac:dyDescent="0.25">
      <c r="A1498" s="307"/>
      <c r="B1498" s="307"/>
    </row>
    <row r="1499" spans="1:2" x14ac:dyDescent="0.25">
      <c r="A1499" s="307"/>
      <c r="B1499" s="307"/>
    </row>
    <row r="1500" spans="1:2" x14ac:dyDescent="0.25">
      <c r="A1500" s="307"/>
      <c r="B1500" s="307"/>
    </row>
    <row r="1501" spans="1:2" x14ac:dyDescent="0.25">
      <c r="A1501" s="307"/>
      <c r="B1501" s="307"/>
    </row>
    <row r="1502" spans="1:2" x14ac:dyDescent="0.25">
      <c r="A1502" s="307"/>
      <c r="B1502" s="307"/>
    </row>
    <row r="1503" spans="1:2" x14ac:dyDescent="0.25">
      <c r="A1503" s="307"/>
      <c r="B1503" s="307"/>
    </row>
    <row r="1504" spans="1:2" x14ac:dyDescent="0.25">
      <c r="A1504" s="307"/>
      <c r="B1504" s="307"/>
    </row>
    <row r="1505" spans="1:2" x14ac:dyDescent="0.25">
      <c r="A1505" s="307"/>
      <c r="B1505" s="307"/>
    </row>
    <row r="1506" spans="1:2" x14ac:dyDescent="0.25">
      <c r="A1506" s="307"/>
      <c r="B1506" s="307"/>
    </row>
    <row r="1507" spans="1:2" x14ac:dyDescent="0.25">
      <c r="A1507" s="307"/>
      <c r="B1507" s="307"/>
    </row>
    <row r="1508" spans="1:2" x14ac:dyDescent="0.25">
      <c r="A1508" s="307"/>
      <c r="B1508" s="307"/>
    </row>
    <row r="1509" spans="1:2" x14ac:dyDescent="0.25">
      <c r="A1509" s="307"/>
      <c r="B1509" s="307"/>
    </row>
    <row r="1510" spans="1:2" x14ac:dyDescent="0.25">
      <c r="A1510" s="307"/>
      <c r="B1510" s="307"/>
    </row>
    <row r="1511" spans="1:2" x14ac:dyDescent="0.25">
      <c r="A1511" s="307"/>
      <c r="B1511" s="307"/>
    </row>
    <row r="1512" spans="1:2" x14ac:dyDescent="0.25">
      <c r="A1512" s="307"/>
      <c r="B1512" s="307"/>
    </row>
    <row r="1513" spans="1:2" x14ac:dyDescent="0.25">
      <c r="A1513" s="307"/>
      <c r="B1513" s="307"/>
    </row>
    <row r="1514" spans="1:2" x14ac:dyDescent="0.25">
      <c r="A1514" s="307"/>
      <c r="B1514" s="307"/>
    </row>
    <row r="1515" spans="1:2" x14ac:dyDescent="0.25">
      <c r="A1515" s="307"/>
      <c r="B1515" s="307"/>
    </row>
    <row r="1516" spans="1:2" x14ac:dyDescent="0.25">
      <c r="A1516" s="307"/>
      <c r="B1516" s="307"/>
    </row>
    <row r="1517" spans="1:2" x14ac:dyDescent="0.25">
      <c r="A1517" s="307"/>
      <c r="B1517" s="307"/>
    </row>
    <row r="1518" spans="1:2" x14ac:dyDescent="0.25">
      <c r="A1518" s="307"/>
      <c r="B1518" s="307"/>
    </row>
    <row r="1519" spans="1:2" x14ac:dyDescent="0.25">
      <c r="A1519" s="307"/>
      <c r="B1519" s="307"/>
    </row>
    <row r="1520" spans="1:2" x14ac:dyDescent="0.25">
      <c r="A1520" s="307"/>
      <c r="B1520" s="307"/>
    </row>
    <row r="1521" spans="1:2" x14ac:dyDescent="0.25">
      <c r="A1521" s="307"/>
      <c r="B1521" s="307"/>
    </row>
    <row r="1522" spans="1:2" x14ac:dyDescent="0.25">
      <c r="A1522" s="307"/>
      <c r="B1522" s="307"/>
    </row>
    <row r="1523" spans="1:2" x14ac:dyDescent="0.25">
      <c r="A1523" s="307"/>
      <c r="B1523" s="307"/>
    </row>
    <row r="1524" spans="1:2" x14ac:dyDescent="0.25">
      <c r="A1524" s="307"/>
      <c r="B1524" s="307"/>
    </row>
    <row r="1525" spans="1:2" x14ac:dyDescent="0.25">
      <c r="A1525" s="307"/>
      <c r="B1525" s="307"/>
    </row>
    <row r="1526" spans="1:2" x14ac:dyDescent="0.25">
      <c r="A1526" s="307"/>
      <c r="B1526" s="307"/>
    </row>
    <row r="1527" spans="1:2" x14ac:dyDescent="0.25">
      <c r="A1527" s="307"/>
      <c r="B1527" s="307"/>
    </row>
    <row r="1528" spans="1:2" x14ac:dyDescent="0.25">
      <c r="A1528" s="307"/>
      <c r="B1528" s="307"/>
    </row>
    <row r="1529" spans="1:2" x14ac:dyDescent="0.25">
      <c r="A1529" s="307"/>
      <c r="B1529" s="307"/>
    </row>
    <row r="1530" spans="1:2" x14ac:dyDescent="0.25">
      <c r="A1530" s="307"/>
      <c r="B1530" s="307"/>
    </row>
    <row r="1531" spans="1:2" x14ac:dyDescent="0.25">
      <c r="A1531" s="307"/>
      <c r="B1531" s="307"/>
    </row>
    <row r="1532" spans="1:2" x14ac:dyDescent="0.25">
      <c r="A1532" s="307"/>
      <c r="B1532" s="307"/>
    </row>
    <row r="1533" spans="1:2" x14ac:dyDescent="0.25">
      <c r="A1533" s="307"/>
      <c r="B1533" s="307"/>
    </row>
    <row r="1534" spans="1:2" x14ac:dyDescent="0.25">
      <c r="A1534" s="307"/>
      <c r="B1534" s="307"/>
    </row>
    <row r="1535" spans="1:2" x14ac:dyDescent="0.25">
      <c r="A1535" s="307"/>
      <c r="B1535" s="307"/>
    </row>
    <row r="1536" spans="1:2" x14ac:dyDescent="0.25">
      <c r="A1536" s="307"/>
      <c r="B1536" s="307"/>
    </row>
    <row r="1537" spans="1:2" x14ac:dyDescent="0.25">
      <c r="A1537" s="307"/>
      <c r="B1537" s="307"/>
    </row>
    <row r="1538" spans="1:2" x14ac:dyDescent="0.25">
      <c r="A1538" s="307"/>
      <c r="B1538" s="307"/>
    </row>
    <row r="1539" spans="1:2" x14ac:dyDescent="0.25">
      <c r="A1539" s="307"/>
      <c r="B1539" s="307"/>
    </row>
    <row r="1540" spans="1:2" x14ac:dyDescent="0.25">
      <c r="A1540" s="307"/>
      <c r="B1540" s="307"/>
    </row>
    <row r="1541" spans="1:2" x14ac:dyDescent="0.25">
      <c r="A1541" s="307"/>
      <c r="B1541" s="307"/>
    </row>
    <row r="1542" spans="1:2" x14ac:dyDescent="0.25">
      <c r="A1542" s="307"/>
      <c r="B1542" s="307"/>
    </row>
    <row r="1543" spans="1:2" x14ac:dyDescent="0.25">
      <c r="A1543" s="307"/>
      <c r="B1543" s="307"/>
    </row>
    <row r="1544" spans="1:2" x14ac:dyDescent="0.25">
      <c r="A1544" s="307"/>
      <c r="B1544" s="307"/>
    </row>
    <row r="1545" spans="1:2" x14ac:dyDescent="0.25">
      <c r="A1545" s="307"/>
      <c r="B1545" s="307"/>
    </row>
    <row r="1546" spans="1:2" x14ac:dyDescent="0.25">
      <c r="A1546" s="307"/>
      <c r="B1546" s="307"/>
    </row>
    <row r="1547" spans="1:2" x14ac:dyDescent="0.25">
      <c r="A1547" s="307"/>
      <c r="B1547" s="307"/>
    </row>
    <row r="1548" spans="1:2" x14ac:dyDescent="0.25">
      <c r="A1548" s="307"/>
      <c r="B1548" s="307"/>
    </row>
    <row r="1549" spans="1:2" x14ac:dyDescent="0.25">
      <c r="A1549" s="307"/>
      <c r="B1549" s="307"/>
    </row>
    <row r="1550" spans="1:2" x14ac:dyDescent="0.25">
      <c r="A1550" s="307"/>
      <c r="B1550" s="307"/>
    </row>
    <row r="1551" spans="1:2" x14ac:dyDescent="0.25">
      <c r="A1551" s="307"/>
      <c r="B1551" s="307"/>
    </row>
    <row r="1552" spans="1:2" x14ac:dyDescent="0.25">
      <c r="A1552" s="307"/>
      <c r="B1552" s="307"/>
    </row>
    <row r="1553" spans="1:2" x14ac:dyDescent="0.25">
      <c r="A1553" s="307"/>
      <c r="B1553" s="307"/>
    </row>
    <row r="1554" spans="1:2" x14ac:dyDescent="0.25">
      <c r="A1554" s="307"/>
      <c r="B1554" s="307"/>
    </row>
    <row r="1555" spans="1:2" x14ac:dyDescent="0.25">
      <c r="A1555" s="307"/>
      <c r="B1555" s="307"/>
    </row>
    <row r="1556" spans="1:2" x14ac:dyDescent="0.25">
      <c r="A1556" s="307"/>
      <c r="B1556" s="307"/>
    </row>
    <row r="1557" spans="1:2" x14ac:dyDescent="0.25">
      <c r="A1557" s="307"/>
      <c r="B1557" s="307"/>
    </row>
    <row r="1558" spans="1:2" x14ac:dyDescent="0.25">
      <c r="A1558" s="307"/>
      <c r="B1558" s="307"/>
    </row>
    <row r="1559" spans="1:2" x14ac:dyDescent="0.25">
      <c r="A1559" s="307"/>
      <c r="B1559" s="307"/>
    </row>
    <row r="1560" spans="1:2" x14ac:dyDescent="0.25">
      <c r="A1560" s="307"/>
      <c r="B1560" s="307"/>
    </row>
    <row r="1561" spans="1:2" x14ac:dyDescent="0.25">
      <c r="A1561" s="307"/>
      <c r="B1561" s="307"/>
    </row>
    <row r="1562" spans="1:2" x14ac:dyDescent="0.25">
      <c r="A1562" s="307"/>
      <c r="B1562" s="307"/>
    </row>
    <row r="1563" spans="1:2" x14ac:dyDescent="0.25">
      <c r="A1563" s="307"/>
      <c r="B1563" s="307"/>
    </row>
    <row r="1564" spans="1:2" x14ac:dyDescent="0.25">
      <c r="A1564" s="307"/>
      <c r="B1564" s="307"/>
    </row>
    <row r="1565" spans="1:2" x14ac:dyDescent="0.25">
      <c r="A1565" s="307"/>
      <c r="B1565" s="307"/>
    </row>
    <row r="1566" spans="1:2" x14ac:dyDescent="0.25">
      <c r="A1566" s="307"/>
      <c r="B1566" s="307"/>
    </row>
    <row r="1567" spans="1:2" x14ac:dyDescent="0.25">
      <c r="A1567" s="307"/>
      <c r="B1567" s="307"/>
    </row>
    <row r="1568" spans="1:2" x14ac:dyDescent="0.25">
      <c r="A1568" s="307"/>
      <c r="B1568" s="307"/>
    </row>
    <row r="1569" spans="1:2" x14ac:dyDescent="0.25">
      <c r="A1569" s="307"/>
      <c r="B1569" s="307"/>
    </row>
    <row r="1570" spans="1:2" x14ac:dyDescent="0.25">
      <c r="A1570" s="307"/>
      <c r="B1570" s="307"/>
    </row>
    <row r="1571" spans="1:2" x14ac:dyDescent="0.25">
      <c r="A1571" s="307"/>
      <c r="B1571" s="307"/>
    </row>
    <row r="1572" spans="1:2" x14ac:dyDescent="0.25">
      <c r="A1572" s="307"/>
      <c r="B1572" s="307"/>
    </row>
    <row r="1573" spans="1:2" x14ac:dyDescent="0.25">
      <c r="A1573" s="307"/>
      <c r="B1573" s="307"/>
    </row>
    <row r="1574" spans="1:2" x14ac:dyDescent="0.25">
      <c r="A1574" s="307"/>
      <c r="B1574" s="307"/>
    </row>
    <row r="1575" spans="1:2" x14ac:dyDescent="0.25">
      <c r="A1575" s="307"/>
      <c r="B1575" s="307"/>
    </row>
    <row r="1576" spans="1:2" x14ac:dyDescent="0.25">
      <c r="A1576" s="307"/>
      <c r="B1576" s="307"/>
    </row>
    <row r="1577" spans="1:2" x14ac:dyDescent="0.25">
      <c r="A1577" s="307"/>
      <c r="B1577" s="307"/>
    </row>
    <row r="1578" spans="1:2" x14ac:dyDescent="0.25">
      <c r="A1578" s="307"/>
      <c r="B1578" s="307"/>
    </row>
    <row r="1579" spans="1:2" x14ac:dyDescent="0.25">
      <c r="A1579" s="307"/>
      <c r="B1579" s="307"/>
    </row>
    <row r="1580" spans="1:2" x14ac:dyDescent="0.25">
      <c r="A1580" s="307"/>
      <c r="B1580" s="307"/>
    </row>
    <row r="1581" spans="1:2" x14ac:dyDescent="0.25">
      <c r="A1581" s="307"/>
      <c r="B1581" s="307"/>
    </row>
    <row r="1582" spans="1:2" x14ac:dyDescent="0.25">
      <c r="A1582" s="307"/>
      <c r="B1582" s="307"/>
    </row>
    <row r="1583" spans="1:2" x14ac:dyDescent="0.25">
      <c r="A1583" s="307"/>
      <c r="B1583" s="307"/>
    </row>
    <row r="1584" spans="1:2" x14ac:dyDescent="0.25">
      <c r="A1584" s="307"/>
      <c r="B1584" s="307"/>
    </row>
    <row r="1585" spans="1:2" x14ac:dyDescent="0.25">
      <c r="A1585" s="307"/>
      <c r="B1585" s="307"/>
    </row>
    <row r="1586" spans="1:2" x14ac:dyDescent="0.25">
      <c r="A1586" s="307"/>
      <c r="B1586" s="307"/>
    </row>
    <row r="1587" spans="1:2" x14ac:dyDescent="0.25">
      <c r="A1587" s="307"/>
      <c r="B1587" s="307"/>
    </row>
    <row r="1588" spans="1:2" x14ac:dyDescent="0.25">
      <c r="A1588" s="307"/>
      <c r="B1588" s="307"/>
    </row>
    <row r="1589" spans="1:2" x14ac:dyDescent="0.25">
      <c r="A1589" s="307"/>
      <c r="B1589" s="307"/>
    </row>
    <row r="1590" spans="1:2" x14ac:dyDescent="0.25">
      <c r="A1590" s="307"/>
      <c r="B1590" s="307"/>
    </row>
    <row r="1591" spans="1:2" x14ac:dyDescent="0.25">
      <c r="A1591" s="307"/>
      <c r="B1591" s="307"/>
    </row>
    <row r="1592" spans="1:2" x14ac:dyDescent="0.25">
      <c r="A1592" s="307"/>
      <c r="B1592" s="307"/>
    </row>
    <row r="1593" spans="1:2" x14ac:dyDescent="0.25">
      <c r="A1593" s="307"/>
      <c r="B1593" s="307"/>
    </row>
    <row r="1594" spans="1:2" x14ac:dyDescent="0.25">
      <c r="A1594" s="307"/>
      <c r="B1594" s="307"/>
    </row>
    <row r="1595" spans="1:2" x14ac:dyDescent="0.25">
      <c r="A1595" s="307"/>
      <c r="B1595" s="307"/>
    </row>
    <row r="1596" spans="1:2" x14ac:dyDescent="0.25">
      <c r="A1596" s="307"/>
      <c r="B1596" s="307"/>
    </row>
    <row r="1597" spans="1:2" x14ac:dyDescent="0.25">
      <c r="A1597" s="307"/>
      <c r="B1597" s="307"/>
    </row>
    <row r="1598" spans="1:2" x14ac:dyDescent="0.25">
      <c r="A1598" s="307"/>
      <c r="B1598" s="307"/>
    </row>
    <row r="1599" spans="1:2" x14ac:dyDescent="0.25">
      <c r="A1599" s="307"/>
      <c r="B1599" s="307"/>
    </row>
    <row r="1600" spans="1:2" x14ac:dyDescent="0.25">
      <c r="A1600" s="307"/>
      <c r="B1600" s="307"/>
    </row>
    <row r="1601" spans="1:2" x14ac:dyDescent="0.25">
      <c r="A1601" s="307"/>
      <c r="B1601" s="307"/>
    </row>
    <row r="1602" spans="1:2" x14ac:dyDescent="0.25">
      <c r="A1602" s="307"/>
      <c r="B1602" s="307"/>
    </row>
    <row r="1603" spans="1:2" x14ac:dyDescent="0.25">
      <c r="A1603" s="307"/>
      <c r="B1603" s="307"/>
    </row>
    <row r="1604" spans="1:2" x14ac:dyDescent="0.25">
      <c r="A1604" s="307"/>
      <c r="B1604" s="307"/>
    </row>
    <row r="1605" spans="1:2" x14ac:dyDescent="0.25">
      <c r="A1605" s="307"/>
      <c r="B1605" s="307"/>
    </row>
    <row r="1606" spans="1:2" x14ac:dyDescent="0.25">
      <c r="A1606" s="307"/>
      <c r="B1606" s="307"/>
    </row>
    <row r="1607" spans="1:2" x14ac:dyDescent="0.25">
      <c r="A1607" s="307"/>
      <c r="B1607" s="307"/>
    </row>
    <row r="1608" spans="1:2" x14ac:dyDescent="0.25">
      <c r="A1608" s="307"/>
      <c r="B1608" s="307"/>
    </row>
    <row r="1609" spans="1:2" x14ac:dyDescent="0.25">
      <c r="A1609" s="307"/>
      <c r="B1609" s="307"/>
    </row>
    <row r="1610" spans="1:2" x14ac:dyDescent="0.25">
      <c r="A1610" s="307"/>
      <c r="B1610" s="307"/>
    </row>
    <row r="1611" spans="1:2" x14ac:dyDescent="0.25">
      <c r="A1611" s="307"/>
      <c r="B1611" s="307"/>
    </row>
    <row r="1612" spans="1:2" x14ac:dyDescent="0.25">
      <c r="A1612" s="307"/>
      <c r="B1612" s="307"/>
    </row>
    <row r="1613" spans="1:2" x14ac:dyDescent="0.25">
      <c r="A1613" s="307"/>
      <c r="B1613" s="307"/>
    </row>
    <row r="1614" spans="1:2" x14ac:dyDescent="0.25">
      <c r="A1614" s="307"/>
      <c r="B1614" s="307"/>
    </row>
    <row r="1615" spans="1:2" x14ac:dyDescent="0.25">
      <c r="A1615" s="307"/>
      <c r="B1615" s="307"/>
    </row>
    <row r="1616" spans="1:2" x14ac:dyDescent="0.25">
      <c r="A1616" s="307"/>
      <c r="B1616" s="307"/>
    </row>
    <row r="1617" spans="1:2" x14ac:dyDescent="0.25">
      <c r="A1617" s="307"/>
      <c r="B1617" s="307"/>
    </row>
    <row r="1618" spans="1:2" x14ac:dyDescent="0.25">
      <c r="A1618" s="307"/>
      <c r="B1618" s="307"/>
    </row>
    <row r="1619" spans="1:2" x14ac:dyDescent="0.25">
      <c r="A1619" s="307"/>
      <c r="B1619" s="307"/>
    </row>
    <row r="1620" spans="1:2" x14ac:dyDescent="0.25">
      <c r="A1620" s="307"/>
      <c r="B1620" s="307"/>
    </row>
    <row r="1621" spans="1:2" x14ac:dyDescent="0.25">
      <c r="A1621" s="307"/>
      <c r="B1621" s="307"/>
    </row>
    <row r="1622" spans="1:2" x14ac:dyDescent="0.25">
      <c r="A1622" s="307"/>
      <c r="B1622" s="307"/>
    </row>
    <row r="1623" spans="1:2" x14ac:dyDescent="0.25">
      <c r="A1623" s="307"/>
      <c r="B1623" s="307"/>
    </row>
    <row r="1624" spans="1:2" x14ac:dyDescent="0.25">
      <c r="A1624" s="307"/>
      <c r="B1624" s="307"/>
    </row>
    <row r="1625" spans="1:2" x14ac:dyDescent="0.25">
      <c r="A1625" s="307"/>
      <c r="B1625" s="307"/>
    </row>
    <row r="1626" spans="1:2" x14ac:dyDescent="0.25">
      <c r="A1626" s="307"/>
      <c r="B1626" s="307"/>
    </row>
    <row r="1627" spans="1:2" x14ac:dyDescent="0.25">
      <c r="A1627" s="307"/>
      <c r="B1627" s="307"/>
    </row>
    <row r="1628" spans="1:2" x14ac:dyDescent="0.25">
      <c r="A1628" s="307"/>
      <c r="B1628" s="307"/>
    </row>
    <row r="1629" spans="1:2" x14ac:dyDescent="0.25">
      <c r="A1629" s="307"/>
      <c r="B1629" s="307"/>
    </row>
    <row r="1630" spans="1:2" x14ac:dyDescent="0.25">
      <c r="A1630" s="307"/>
      <c r="B1630" s="307"/>
    </row>
    <row r="1631" spans="1:2" x14ac:dyDescent="0.25">
      <c r="A1631" s="307"/>
      <c r="B1631" s="307"/>
    </row>
    <row r="1632" spans="1:2" x14ac:dyDescent="0.25">
      <c r="A1632" s="307"/>
      <c r="B1632" s="307"/>
    </row>
    <row r="1633" spans="1:2" x14ac:dyDescent="0.25">
      <c r="A1633" s="307"/>
      <c r="B1633" s="307"/>
    </row>
    <row r="1634" spans="1:2" x14ac:dyDescent="0.25">
      <c r="A1634" s="307"/>
      <c r="B1634" s="307"/>
    </row>
    <row r="1635" spans="1:2" x14ac:dyDescent="0.25">
      <c r="A1635" s="307"/>
      <c r="B1635" s="307"/>
    </row>
    <row r="1636" spans="1:2" x14ac:dyDescent="0.25">
      <c r="A1636" s="307"/>
      <c r="B1636" s="307"/>
    </row>
    <row r="1637" spans="1:2" x14ac:dyDescent="0.25">
      <c r="A1637" s="307"/>
      <c r="B1637" s="307"/>
    </row>
    <row r="1638" spans="1:2" x14ac:dyDescent="0.25">
      <c r="A1638" s="307"/>
      <c r="B1638" s="307"/>
    </row>
    <row r="1639" spans="1:2" x14ac:dyDescent="0.25">
      <c r="A1639" s="307"/>
      <c r="B1639" s="307"/>
    </row>
    <row r="1640" spans="1:2" x14ac:dyDescent="0.25">
      <c r="A1640" s="307"/>
      <c r="B1640" s="307"/>
    </row>
    <row r="1641" spans="1:2" x14ac:dyDescent="0.25">
      <c r="A1641" s="307"/>
      <c r="B1641" s="307"/>
    </row>
    <row r="1642" spans="1:2" x14ac:dyDescent="0.25">
      <c r="A1642" s="307"/>
      <c r="B1642" s="307"/>
    </row>
    <row r="1643" spans="1:2" x14ac:dyDescent="0.25">
      <c r="A1643" s="307"/>
      <c r="B1643" s="307"/>
    </row>
    <row r="1644" spans="1:2" x14ac:dyDescent="0.25">
      <c r="A1644" s="307"/>
      <c r="B1644" s="307"/>
    </row>
    <row r="1645" spans="1:2" x14ac:dyDescent="0.25">
      <c r="A1645" s="307"/>
      <c r="B1645" s="307"/>
    </row>
    <row r="1646" spans="1:2" x14ac:dyDescent="0.25">
      <c r="A1646" s="307"/>
      <c r="B1646" s="307"/>
    </row>
    <row r="1647" spans="1:2" x14ac:dyDescent="0.25">
      <c r="A1647" s="307"/>
      <c r="B1647" s="307"/>
    </row>
    <row r="1648" spans="1:2" x14ac:dyDescent="0.25">
      <c r="A1648" s="307"/>
      <c r="B1648" s="307"/>
    </row>
    <row r="1649" spans="1:2" x14ac:dyDescent="0.25">
      <c r="A1649" s="307"/>
      <c r="B1649" s="307"/>
    </row>
    <row r="1650" spans="1:2" x14ac:dyDescent="0.25">
      <c r="A1650" s="307"/>
      <c r="B1650" s="307"/>
    </row>
    <row r="1651" spans="1:2" x14ac:dyDescent="0.25">
      <c r="A1651" s="307"/>
      <c r="B1651" s="307"/>
    </row>
    <row r="1652" spans="1:2" x14ac:dyDescent="0.25">
      <c r="A1652" s="307"/>
      <c r="B1652" s="307"/>
    </row>
    <row r="1653" spans="1:2" x14ac:dyDescent="0.25">
      <c r="A1653" s="307"/>
      <c r="B1653" s="307"/>
    </row>
    <row r="1654" spans="1:2" x14ac:dyDescent="0.25">
      <c r="A1654" s="307"/>
      <c r="B1654" s="307"/>
    </row>
    <row r="1655" spans="1:2" x14ac:dyDescent="0.25">
      <c r="A1655" s="307"/>
      <c r="B1655" s="307"/>
    </row>
    <row r="1656" spans="1:2" x14ac:dyDescent="0.25">
      <c r="A1656" s="307"/>
      <c r="B1656" s="307"/>
    </row>
    <row r="1657" spans="1:2" x14ac:dyDescent="0.25">
      <c r="A1657" s="307"/>
      <c r="B1657" s="307"/>
    </row>
    <row r="1658" spans="1:2" x14ac:dyDescent="0.25">
      <c r="A1658" s="307"/>
      <c r="B1658" s="307"/>
    </row>
    <row r="1659" spans="1:2" x14ac:dyDescent="0.25">
      <c r="A1659" s="307"/>
      <c r="B1659" s="307"/>
    </row>
    <row r="1660" spans="1:2" x14ac:dyDescent="0.25">
      <c r="A1660" s="307"/>
      <c r="B1660" s="307"/>
    </row>
    <row r="1661" spans="1:2" x14ac:dyDescent="0.25">
      <c r="A1661" s="307"/>
      <c r="B1661" s="307"/>
    </row>
    <row r="1662" spans="1:2" x14ac:dyDescent="0.25">
      <c r="A1662" s="307"/>
      <c r="B1662" s="307"/>
    </row>
    <row r="1663" spans="1:2" x14ac:dyDescent="0.25">
      <c r="A1663" s="307"/>
      <c r="B1663" s="307"/>
    </row>
    <row r="1664" spans="1:2" x14ac:dyDescent="0.25">
      <c r="A1664" s="307"/>
      <c r="B1664" s="307"/>
    </row>
    <row r="1665" spans="1:2" x14ac:dyDescent="0.25">
      <c r="A1665" s="307"/>
      <c r="B1665" s="307"/>
    </row>
    <row r="1666" spans="1:2" x14ac:dyDescent="0.25">
      <c r="A1666" s="307"/>
      <c r="B1666" s="307"/>
    </row>
    <row r="1667" spans="1:2" x14ac:dyDescent="0.25">
      <c r="A1667" s="307"/>
      <c r="B1667" s="307"/>
    </row>
    <row r="1668" spans="1:2" x14ac:dyDescent="0.25">
      <c r="A1668" s="307"/>
      <c r="B1668" s="307"/>
    </row>
    <row r="1669" spans="1:2" x14ac:dyDescent="0.25">
      <c r="A1669" s="307"/>
      <c r="B1669" s="307"/>
    </row>
    <row r="1670" spans="1:2" x14ac:dyDescent="0.25">
      <c r="A1670" s="307"/>
      <c r="B1670" s="307"/>
    </row>
    <row r="1671" spans="1:2" x14ac:dyDescent="0.25">
      <c r="A1671" s="307"/>
      <c r="B1671" s="307"/>
    </row>
    <row r="1672" spans="1:2" x14ac:dyDescent="0.25">
      <c r="A1672" s="307"/>
      <c r="B1672" s="307"/>
    </row>
    <row r="1673" spans="1:2" x14ac:dyDescent="0.25">
      <c r="A1673" s="307"/>
      <c r="B1673" s="307"/>
    </row>
    <row r="1674" spans="1:2" x14ac:dyDescent="0.25">
      <c r="A1674" s="307"/>
      <c r="B1674" s="307"/>
    </row>
    <row r="1675" spans="1:2" x14ac:dyDescent="0.25">
      <c r="A1675" s="307"/>
      <c r="B1675" s="307"/>
    </row>
    <row r="1676" spans="1:2" x14ac:dyDescent="0.25">
      <c r="A1676" s="307"/>
      <c r="B1676" s="307"/>
    </row>
    <row r="1677" spans="1:2" x14ac:dyDescent="0.25">
      <c r="A1677" s="307"/>
      <c r="B1677" s="307"/>
    </row>
    <row r="1678" spans="1:2" x14ac:dyDescent="0.25">
      <c r="A1678" s="307"/>
      <c r="B1678" s="307"/>
    </row>
    <row r="1679" spans="1:2" x14ac:dyDescent="0.25">
      <c r="A1679" s="307"/>
      <c r="B1679" s="307"/>
    </row>
    <row r="1680" spans="1:2" x14ac:dyDescent="0.25">
      <c r="A1680" s="307"/>
      <c r="B1680" s="307"/>
    </row>
    <row r="1681" spans="1:2" x14ac:dyDescent="0.25">
      <c r="A1681" s="307"/>
      <c r="B1681" s="307"/>
    </row>
    <row r="1682" spans="1:2" x14ac:dyDescent="0.25">
      <c r="A1682" s="307"/>
      <c r="B1682" s="307"/>
    </row>
    <row r="1683" spans="1:2" x14ac:dyDescent="0.25">
      <c r="A1683" s="307"/>
      <c r="B1683" s="307"/>
    </row>
    <row r="1684" spans="1:2" x14ac:dyDescent="0.25">
      <c r="A1684" s="307"/>
      <c r="B1684" s="307"/>
    </row>
    <row r="1685" spans="1:2" x14ac:dyDescent="0.25">
      <c r="A1685" s="307"/>
      <c r="B1685" s="307"/>
    </row>
    <row r="1686" spans="1:2" x14ac:dyDescent="0.25">
      <c r="A1686" s="307"/>
      <c r="B1686" s="307"/>
    </row>
    <row r="1687" spans="1:2" x14ac:dyDescent="0.25">
      <c r="A1687" s="307"/>
      <c r="B1687" s="307"/>
    </row>
    <row r="1688" spans="1:2" x14ac:dyDescent="0.25">
      <c r="A1688" s="307"/>
      <c r="B1688" s="307"/>
    </row>
    <row r="1689" spans="1:2" x14ac:dyDescent="0.25">
      <c r="A1689" s="307"/>
      <c r="B1689" s="307"/>
    </row>
    <row r="1690" spans="1:2" x14ac:dyDescent="0.25">
      <c r="A1690" s="307"/>
      <c r="B1690" s="307"/>
    </row>
    <row r="1691" spans="1:2" x14ac:dyDescent="0.25">
      <c r="A1691" s="307"/>
      <c r="B1691" s="307"/>
    </row>
    <row r="1692" spans="1:2" x14ac:dyDescent="0.25">
      <c r="A1692" s="307"/>
      <c r="B1692" s="307"/>
    </row>
    <row r="1693" spans="1:2" x14ac:dyDescent="0.25">
      <c r="A1693" s="307"/>
      <c r="B1693" s="307"/>
    </row>
    <row r="1694" spans="1:2" x14ac:dyDescent="0.25">
      <c r="A1694" s="307"/>
      <c r="B1694" s="307"/>
    </row>
    <row r="1695" spans="1:2" x14ac:dyDescent="0.25">
      <c r="A1695" s="307"/>
      <c r="B1695" s="307"/>
    </row>
    <row r="1696" spans="1:2" x14ac:dyDescent="0.25">
      <c r="A1696" s="307"/>
      <c r="B1696" s="307"/>
    </row>
    <row r="1697" spans="1:2" x14ac:dyDescent="0.25">
      <c r="A1697" s="307"/>
      <c r="B1697" s="307"/>
    </row>
    <row r="1698" spans="1:2" x14ac:dyDescent="0.25">
      <c r="A1698" s="307"/>
      <c r="B1698" s="307"/>
    </row>
    <row r="1699" spans="1:2" x14ac:dyDescent="0.25">
      <c r="A1699" s="307"/>
      <c r="B1699" s="307"/>
    </row>
    <row r="1700" spans="1:2" x14ac:dyDescent="0.25">
      <c r="A1700" s="307"/>
      <c r="B1700" s="307"/>
    </row>
    <row r="1701" spans="1:2" x14ac:dyDescent="0.25">
      <c r="A1701" s="307"/>
      <c r="B1701" s="307"/>
    </row>
    <row r="1702" spans="1:2" x14ac:dyDescent="0.25">
      <c r="A1702" s="307"/>
      <c r="B1702" s="307"/>
    </row>
    <row r="1703" spans="1:2" x14ac:dyDescent="0.25">
      <c r="A1703" s="307"/>
      <c r="B1703" s="307"/>
    </row>
    <row r="1704" spans="1:2" x14ac:dyDescent="0.25">
      <c r="A1704" s="307"/>
      <c r="B1704" s="307"/>
    </row>
    <row r="1705" spans="1:2" x14ac:dyDescent="0.25">
      <c r="A1705" s="307"/>
      <c r="B1705" s="307"/>
    </row>
    <row r="1706" spans="1:2" x14ac:dyDescent="0.25">
      <c r="A1706" s="307"/>
      <c r="B1706" s="307"/>
    </row>
    <row r="1707" spans="1:2" x14ac:dyDescent="0.25">
      <c r="A1707" s="307"/>
      <c r="B1707" s="307"/>
    </row>
    <row r="1708" spans="1:2" x14ac:dyDescent="0.25">
      <c r="A1708" s="307"/>
      <c r="B1708" s="307"/>
    </row>
    <row r="1709" spans="1:2" x14ac:dyDescent="0.25">
      <c r="A1709" s="307"/>
      <c r="B1709" s="307"/>
    </row>
    <row r="1710" spans="1:2" x14ac:dyDescent="0.25">
      <c r="A1710" s="307"/>
      <c r="B1710" s="307"/>
    </row>
    <row r="1711" spans="1:2" x14ac:dyDescent="0.25">
      <c r="A1711" s="307"/>
      <c r="B1711" s="307"/>
    </row>
    <row r="1712" spans="1:2" x14ac:dyDescent="0.25">
      <c r="A1712" s="307"/>
      <c r="B1712" s="307"/>
    </row>
    <row r="1713" spans="1:2" x14ac:dyDescent="0.25">
      <c r="A1713" s="307"/>
      <c r="B1713" s="307"/>
    </row>
    <row r="1714" spans="1:2" x14ac:dyDescent="0.25">
      <c r="A1714" s="307"/>
      <c r="B1714" s="307"/>
    </row>
    <row r="1715" spans="1:2" x14ac:dyDescent="0.25">
      <c r="A1715" s="307"/>
      <c r="B1715" s="307"/>
    </row>
    <row r="1716" spans="1:2" x14ac:dyDescent="0.25">
      <c r="A1716" s="307"/>
      <c r="B1716" s="307"/>
    </row>
    <row r="1717" spans="1:2" x14ac:dyDescent="0.25">
      <c r="A1717" s="307"/>
      <c r="B1717" s="307"/>
    </row>
    <row r="1718" spans="1:2" x14ac:dyDescent="0.25">
      <c r="A1718" s="307"/>
      <c r="B1718" s="307"/>
    </row>
    <row r="1719" spans="1:2" x14ac:dyDescent="0.25">
      <c r="A1719" s="307"/>
      <c r="B1719" s="307"/>
    </row>
    <row r="1720" spans="1:2" x14ac:dyDescent="0.25">
      <c r="A1720" s="307"/>
      <c r="B1720" s="307"/>
    </row>
    <row r="1721" spans="1:2" x14ac:dyDescent="0.25">
      <c r="A1721" s="307"/>
      <c r="B1721" s="307"/>
    </row>
    <row r="1722" spans="1:2" x14ac:dyDescent="0.25">
      <c r="A1722" s="307"/>
      <c r="B1722" s="307"/>
    </row>
    <row r="1723" spans="1:2" x14ac:dyDescent="0.25">
      <c r="A1723" s="307"/>
      <c r="B1723" s="307"/>
    </row>
    <row r="1724" spans="1:2" x14ac:dyDescent="0.25">
      <c r="A1724" s="307"/>
      <c r="B1724" s="307"/>
    </row>
    <row r="1725" spans="1:2" x14ac:dyDescent="0.25">
      <c r="A1725" s="307"/>
      <c r="B1725" s="307"/>
    </row>
    <row r="1726" spans="1:2" x14ac:dyDescent="0.25">
      <c r="A1726" s="307"/>
      <c r="B1726" s="307"/>
    </row>
    <row r="1727" spans="1:2" x14ac:dyDescent="0.25">
      <c r="A1727" s="307"/>
      <c r="B1727" s="307"/>
    </row>
    <row r="1728" spans="1:2" x14ac:dyDescent="0.25">
      <c r="A1728" s="307"/>
      <c r="B1728" s="307"/>
    </row>
    <row r="1729" spans="1:2" x14ac:dyDescent="0.25">
      <c r="A1729" s="307"/>
      <c r="B1729" s="307"/>
    </row>
    <row r="1730" spans="1:2" x14ac:dyDescent="0.25">
      <c r="A1730" s="307"/>
      <c r="B1730" s="307"/>
    </row>
    <row r="1731" spans="1:2" x14ac:dyDescent="0.25">
      <c r="A1731" s="307"/>
      <c r="B1731" s="307"/>
    </row>
    <row r="1732" spans="1:2" x14ac:dyDescent="0.25">
      <c r="A1732" s="307"/>
      <c r="B1732" s="307"/>
    </row>
    <row r="1733" spans="1:2" x14ac:dyDescent="0.25">
      <c r="A1733" s="307"/>
      <c r="B1733" s="307"/>
    </row>
    <row r="1734" spans="1:2" x14ac:dyDescent="0.25">
      <c r="A1734" s="307"/>
      <c r="B1734" s="307"/>
    </row>
    <row r="1735" spans="1:2" x14ac:dyDescent="0.25">
      <c r="A1735" s="307"/>
      <c r="B1735" s="307"/>
    </row>
    <row r="1736" spans="1:2" x14ac:dyDescent="0.25">
      <c r="A1736" s="307"/>
      <c r="B1736" s="307"/>
    </row>
    <row r="1737" spans="1:2" x14ac:dyDescent="0.25">
      <c r="A1737" s="307"/>
      <c r="B1737" s="307"/>
    </row>
    <row r="1738" spans="1:2" x14ac:dyDescent="0.25">
      <c r="A1738" s="307"/>
      <c r="B1738" s="307"/>
    </row>
    <row r="1739" spans="1:2" x14ac:dyDescent="0.25">
      <c r="A1739" s="307"/>
      <c r="B1739" s="307"/>
    </row>
    <row r="1740" spans="1:2" x14ac:dyDescent="0.25">
      <c r="A1740" s="307"/>
      <c r="B1740" s="307"/>
    </row>
    <row r="1741" spans="1:2" x14ac:dyDescent="0.25">
      <c r="A1741" s="307"/>
      <c r="B1741" s="307"/>
    </row>
    <row r="1742" spans="1:2" x14ac:dyDescent="0.25">
      <c r="A1742" s="307"/>
      <c r="B1742" s="307"/>
    </row>
    <row r="1743" spans="1:2" x14ac:dyDescent="0.25">
      <c r="A1743" s="307"/>
      <c r="B1743" s="307"/>
    </row>
    <row r="1744" spans="1:2" x14ac:dyDescent="0.25">
      <c r="A1744" s="307"/>
      <c r="B1744" s="307"/>
    </row>
    <row r="1745" spans="1:2" x14ac:dyDescent="0.25">
      <c r="A1745" s="307"/>
      <c r="B1745" s="307"/>
    </row>
    <row r="1746" spans="1:2" x14ac:dyDescent="0.25">
      <c r="A1746" s="307"/>
      <c r="B1746" s="307"/>
    </row>
    <row r="1747" spans="1:2" x14ac:dyDescent="0.25">
      <c r="A1747" s="307"/>
      <c r="B1747" s="307"/>
    </row>
    <row r="1748" spans="1:2" x14ac:dyDescent="0.25">
      <c r="A1748" s="307"/>
      <c r="B1748" s="307"/>
    </row>
    <row r="1749" spans="1:2" x14ac:dyDescent="0.25">
      <c r="A1749" s="307"/>
      <c r="B1749" s="307"/>
    </row>
    <row r="1750" spans="1:2" x14ac:dyDescent="0.25">
      <c r="A1750" s="307"/>
      <c r="B1750" s="307"/>
    </row>
    <row r="1751" spans="1:2" x14ac:dyDescent="0.25">
      <c r="A1751" s="307"/>
      <c r="B1751" s="307"/>
    </row>
    <row r="1752" spans="1:2" x14ac:dyDescent="0.25">
      <c r="A1752" s="307"/>
      <c r="B1752" s="307"/>
    </row>
    <row r="1753" spans="1:2" x14ac:dyDescent="0.25">
      <c r="A1753" s="307"/>
      <c r="B1753" s="307"/>
    </row>
    <row r="1754" spans="1:2" x14ac:dyDescent="0.25">
      <c r="A1754" s="307"/>
      <c r="B1754" s="307"/>
    </row>
    <row r="1755" spans="1:2" x14ac:dyDescent="0.25">
      <c r="A1755" s="307"/>
      <c r="B1755" s="307"/>
    </row>
    <row r="1756" spans="1:2" x14ac:dyDescent="0.25">
      <c r="A1756" s="307"/>
      <c r="B1756" s="307"/>
    </row>
    <row r="1757" spans="1:2" x14ac:dyDescent="0.25">
      <c r="A1757" s="307"/>
      <c r="B1757" s="307"/>
    </row>
    <row r="1758" spans="1:2" x14ac:dyDescent="0.25">
      <c r="A1758" s="307"/>
      <c r="B1758" s="307"/>
    </row>
    <row r="1759" spans="1:2" x14ac:dyDescent="0.25">
      <c r="A1759" s="307"/>
      <c r="B1759" s="307"/>
    </row>
    <row r="1760" spans="1:2" x14ac:dyDescent="0.25">
      <c r="A1760" s="307"/>
      <c r="B1760" s="307"/>
    </row>
    <row r="1761" spans="1:2" x14ac:dyDescent="0.25">
      <c r="A1761" s="307"/>
      <c r="B1761" s="307"/>
    </row>
    <row r="1762" spans="1:2" x14ac:dyDescent="0.25">
      <c r="A1762" s="307"/>
      <c r="B1762" s="307"/>
    </row>
    <row r="1763" spans="1:2" x14ac:dyDescent="0.25">
      <c r="A1763" s="307"/>
      <c r="B1763" s="307"/>
    </row>
    <row r="1764" spans="1:2" x14ac:dyDescent="0.25">
      <c r="A1764" s="307"/>
      <c r="B1764" s="307"/>
    </row>
    <row r="1765" spans="1:2" x14ac:dyDescent="0.25">
      <c r="A1765" s="307"/>
      <c r="B1765" s="307"/>
    </row>
    <row r="1766" spans="1:2" x14ac:dyDescent="0.25">
      <c r="A1766" s="307"/>
      <c r="B1766" s="307"/>
    </row>
    <row r="1767" spans="1:2" x14ac:dyDescent="0.25">
      <c r="A1767" s="307"/>
      <c r="B1767" s="307"/>
    </row>
    <row r="1768" spans="1:2" x14ac:dyDescent="0.25">
      <c r="A1768" s="307"/>
      <c r="B1768" s="307"/>
    </row>
    <row r="1769" spans="1:2" x14ac:dyDescent="0.25">
      <c r="A1769" s="307"/>
      <c r="B1769" s="307"/>
    </row>
    <row r="1770" spans="1:2" x14ac:dyDescent="0.25">
      <c r="A1770" s="307"/>
      <c r="B1770" s="307"/>
    </row>
    <row r="1771" spans="1:2" x14ac:dyDescent="0.25">
      <c r="A1771" s="307"/>
      <c r="B1771" s="307"/>
    </row>
    <row r="1772" spans="1:2" x14ac:dyDescent="0.25">
      <c r="A1772" s="307"/>
      <c r="B1772" s="307"/>
    </row>
    <row r="1773" spans="1:2" x14ac:dyDescent="0.25">
      <c r="A1773" s="307"/>
      <c r="B1773" s="307"/>
    </row>
    <row r="1774" spans="1:2" x14ac:dyDescent="0.25">
      <c r="A1774" s="307"/>
      <c r="B1774" s="307"/>
    </row>
    <row r="1775" spans="1:2" x14ac:dyDescent="0.25">
      <c r="A1775" s="307"/>
      <c r="B1775" s="307"/>
    </row>
    <row r="1776" spans="1:2" x14ac:dyDescent="0.25">
      <c r="A1776" s="307"/>
      <c r="B1776" s="307"/>
    </row>
    <row r="1777" spans="1:2" x14ac:dyDescent="0.25">
      <c r="A1777" s="307"/>
      <c r="B1777" s="307"/>
    </row>
    <row r="1778" spans="1:2" x14ac:dyDescent="0.25">
      <c r="A1778" s="307"/>
      <c r="B1778" s="307"/>
    </row>
    <row r="1779" spans="1:2" x14ac:dyDescent="0.25">
      <c r="A1779" s="307"/>
      <c r="B1779" s="307"/>
    </row>
    <row r="1780" spans="1:2" x14ac:dyDescent="0.25">
      <c r="A1780" s="307"/>
      <c r="B1780" s="307"/>
    </row>
    <row r="1781" spans="1:2" x14ac:dyDescent="0.25">
      <c r="A1781" s="307"/>
      <c r="B1781" s="307"/>
    </row>
    <row r="1782" spans="1:2" x14ac:dyDescent="0.25">
      <c r="A1782" s="307"/>
      <c r="B1782" s="307"/>
    </row>
    <row r="1783" spans="1:2" x14ac:dyDescent="0.25">
      <c r="A1783" s="307"/>
      <c r="B1783" s="307"/>
    </row>
    <row r="1784" spans="1:2" x14ac:dyDescent="0.25">
      <c r="A1784" s="307"/>
      <c r="B1784" s="307"/>
    </row>
    <row r="1785" spans="1:2" x14ac:dyDescent="0.25">
      <c r="A1785" s="307"/>
      <c r="B1785" s="307"/>
    </row>
    <row r="1786" spans="1:2" x14ac:dyDescent="0.25">
      <c r="A1786" s="307"/>
      <c r="B1786" s="307"/>
    </row>
    <row r="1787" spans="1:2" x14ac:dyDescent="0.25">
      <c r="A1787" s="307"/>
      <c r="B1787" s="307"/>
    </row>
    <row r="1788" spans="1:2" x14ac:dyDescent="0.25">
      <c r="A1788" s="307"/>
      <c r="B1788" s="307"/>
    </row>
    <row r="1789" spans="1:2" x14ac:dyDescent="0.25">
      <c r="A1789" s="307"/>
      <c r="B1789" s="307"/>
    </row>
    <row r="1790" spans="1:2" x14ac:dyDescent="0.25">
      <c r="A1790" s="307"/>
      <c r="B1790" s="307"/>
    </row>
    <row r="1791" spans="1:2" x14ac:dyDescent="0.25">
      <c r="A1791" s="307"/>
      <c r="B1791" s="307"/>
    </row>
    <row r="1792" spans="1:2" x14ac:dyDescent="0.25">
      <c r="A1792" s="307"/>
      <c r="B1792" s="307"/>
    </row>
    <row r="1793" spans="1:2" x14ac:dyDescent="0.25">
      <c r="A1793" s="307"/>
      <c r="B1793" s="307"/>
    </row>
    <row r="1794" spans="1:2" x14ac:dyDescent="0.25">
      <c r="A1794" s="307"/>
      <c r="B1794" s="307"/>
    </row>
    <row r="1795" spans="1:2" x14ac:dyDescent="0.25">
      <c r="A1795" s="307"/>
      <c r="B1795" s="307"/>
    </row>
    <row r="1796" spans="1:2" x14ac:dyDescent="0.25">
      <c r="A1796" s="307"/>
      <c r="B1796" s="307"/>
    </row>
    <row r="1797" spans="1:2" x14ac:dyDescent="0.25">
      <c r="A1797" s="307"/>
      <c r="B1797" s="307"/>
    </row>
    <row r="1798" spans="1:2" x14ac:dyDescent="0.25">
      <c r="A1798" s="307"/>
      <c r="B1798" s="307"/>
    </row>
    <row r="1799" spans="1:2" x14ac:dyDescent="0.25">
      <c r="A1799" s="307"/>
      <c r="B1799" s="307"/>
    </row>
    <row r="1800" spans="1:2" x14ac:dyDescent="0.25">
      <c r="A1800" s="307"/>
      <c r="B1800" s="307"/>
    </row>
    <row r="1801" spans="1:2" x14ac:dyDescent="0.25">
      <c r="A1801" s="307"/>
      <c r="B1801" s="307"/>
    </row>
    <row r="1802" spans="1:2" x14ac:dyDescent="0.25">
      <c r="A1802" s="307"/>
      <c r="B1802" s="307"/>
    </row>
    <row r="1803" spans="1:2" x14ac:dyDescent="0.25">
      <c r="A1803" s="307"/>
      <c r="B1803" s="307"/>
    </row>
    <row r="1804" spans="1:2" x14ac:dyDescent="0.25">
      <c r="A1804" s="307"/>
      <c r="B1804" s="307"/>
    </row>
    <row r="1805" spans="1:2" x14ac:dyDescent="0.25">
      <c r="A1805" s="307"/>
      <c r="B1805" s="307"/>
    </row>
    <row r="1806" spans="1:2" x14ac:dyDescent="0.25">
      <c r="A1806" s="307"/>
      <c r="B1806" s="307"/>
    </row>
    <row r="1807" spans="1:2" x14ac:dyDescent="0.25">
      <c r="A1807" s="307"/>
      <c r="B1807" s="307"/>
    </row>
    <row r="1808" spans="1:2" x14ac:dyDescent="0.25">
      <c r="A1808" s="307"/>
      <c r="B1808" s="307"/>
    </row>
    <row r="1809" spans="1:2" x14ac:dyDescent="0.25">
      <c r="A1809" s="307"/>
      <c r="B1809" s="307"/>
    </row>
    <row r="1810" spans="1:2" x14ac:dyDescent="0.25">
      <c r="A1810" s="307"/>
      <c r="B1810" s="307"/>
    </row>
    <row r="1811" spans="1:2" x14ac:dyDescent="0.25">
      <c r="A1811" s="307"/>
      <c r="B1811" s="307"/>
    </row>
    <row r="1812" spans="1:2" x14ac:dyDescent="0.25">
      <c r="A1812" s="307"/>
      <c r="B1812" s="307"/>
    </row>
    <row r="1813" spans="1:2" x14ac:dyDescent="0.25">
      <c r="A1813" s="307"/>
      <c r="B1813" s="307"/>
    </row>
    <row r="1814" spans="1:2" x14ac:dyDescent="0.25">
      <c r="A1814" s="307"/>
      <c r="B1814" s="307"/>
    </row>
    <row r="1815" spans="1:2" x14ac:dyDescent="0.25">
      <c r="A1815" s="307"/>
      <c r="B1815" s="307"/>
    </row>
    <row r="1816" spans="1:2" x14ac:dyDescent="0.25">
      <c r="A1816" s="307"/>
      <c r="B1816" s="307"/>
    </row>
    <row r="1817" spans="1:2" x14ac:dyDescent="0.25">
      <c r="A1817" s="307"/>
      <c r="B1817" s="307"/>
    </row>
    <row r="1818" spans="1:2" x14ac:dyDescent="0.25">
      <c r="A1818" s="307"/>
      <c r="B1818" s="307"/>
    </row>
    <row r="1819" spans="1:2" x14ac:dyDescent="0.25">
      <c r="A1819" s="307"/>
      <c r="B1819" s="307"/>
    </row>
    <row r="1820" spans="1:2" x14ac:dyDescent="0.25">
      <c r="A1820" s="307"/>
      <c r="B1820" s="307"/>
    </row>
    <row r="1821" spans="1:2" x14ac:dyDescent="0.25">
      <c r="A1821" s="307"/>
      <c r="B1821" s="307"/>
    </row>
    <row r="1822" spans="1:2" x14ac:dyDescent="0.25">
      <c r="A1822" s="307"/>
      <c r="B1822" s="307"/>
    </row>
    <row r="1823" spans="1:2" x14ac:dyDescent="0.25">
      <c r="A1823" s="307"/>
      <c r="B1823" s="307"/>
    </row>
    <row r="1824" spans="1:2" x14ac:dyDescent="0.25">
      <c r="A1824" s="307"/>
      <c r="B1824" s="307"/>
    </row>
    <row r="1825" spans="1:2" x14ac:dyDescent="0.25">
      <c r="A1825" s="307"/>
      <c r="B1825" s="307"/>
    </row>
    <row r="1826" spans="1:2" x14ac:dyDescent="0.25">
      <c r="A1826" s="307"/>
      <c r="B1826" s="307"/>
    </row>
    <row r="1827" spans="1:2" x14ac:dyDescent="0.25">
      <c r="A1827" s="307"/>
      <c r="B1827" s="307"/>
    </row>
    <row r="1828" spans="1:2" x14ac:dyDescent="0.25">
      <c r="A1828" s="307"/>
      <c r="B1828" s="307"/>
    </row>
    <row r="1829" spans="1:2" x14ac:dyDescent="0.25">
      <c r="A1829" s="307"/>
      <c r="B1829" s="307"/>
    </row>
    <row r="1830" spans="1:2" x14ac:dyDescent="0.25">
      <c r="A1830" s="307"/>
      <c r="B1830" s="307"/>
    </row>
    <row r="1831" spans="1:2" x14ac:dyDescent="0.25">
      <c r="A1831" s="307"/>
      <c r="B1831" s="307"/>
    </row>
    <row r="1832" spans="1:2" x14ac:dyDescent="0.25">
      <c r="A1832" s="307"/>
      <c r="B1832" s="307"/>
    </row>
    <row r="1833" spans="1:2" x14ac:dyDescent="0.25">
      <c r="A1833" s="307"/>
      <c r="B1833" s="307"/>
    </row>
    <row r="1834" spans="1:2" x14ac:dyDescent="0.25">
      <c r="A1834" s="307"/>
      <c r="B1834" s="307"/>
    </row>
    <row r="1835" spans="1:2" x14ac:dyDescent="0.25">
      <c r="A1835" s="307"/>
      <c r="B1835" s="307"/>
    </row>
    <row r="1836" spans="1:2" x14ac:dyDescent="0.25">
      <c r="A1836" s="307"/>
      <c r="B1836" s="307"/>
    </row>
    <row r="1837" spans="1:2" x14ac:dyDescent="0.25">
      <c r="A1837" s="307"/>
      <c r="B1837" s="307"/>
    </row>
    <row r="1838" spans="1:2" x14ac:dyDescent="0.25">
      <c r="A1838" s="307"/>
      <c r="B1838" s="307"/>
    </row>
    <row r="1839" spans="1:2" x14ac:dyDescent="0.25">
      <c r="A1839" s="307"/>
      <c r="B1839" s="307"/>
    </row>
    <row r="1840" spans="1:2" x14ac:dyDescent="0.25">
      <c r="A1840" s="307"/>
      <c r="B1840" s="307"/>
    </row>
    <row r="1841" spans="1:2" x14ac:dyDescent="0.25">
      <c r="A1841" s="307"/>
      <c r="B1841" s="307"/>
    </row>
    <row r="1842" spans="1:2" x14ac:dyDescent="0.25">
      <c r="A1842" s="307"/>
      <c r="B1842" s="307"/>
    </row>
    <row r="1843" spans="1:2" x14ac:dyDescent="0.25">
      <c r="A1843" s="307"/>
      <c r="B1843" s="307"/>
    </row>
    <row r="1844" spans="1:2" x14ac:dyDescent="0.25">
      <c r="A1844" s="307"/>
      <c r="B1844" s="307"/>
    </row>
    <row r="1845" spans="1:2" x14ac:dyDescent="0.25">
      <c r="A1845" s="307"/>
      <c r="B1845" s="307"/>
    </row>
    <row r="1846" spans="1:2" x14ac:dyDescent="0.25">
      <c r="A1846" s="307"/>
      <c r="B1846" s="307"/>
    </row>
    <row r="1847" spans="1:2" x14ac:dyDescent="0.25">
      <c r="A1847" s="307"/>
      <c r="B1847" s="307"/>
    </row>
    <row r="1848" spans="1:2" x14ac:dyDescent="0.25">
      <c r="A1848" s="307"/>
      <c r="B1848" s="307"/>
    </row>
    <row r="1849" spans="1:2" x14ac:dyDescent="0.25">
      <c r="A1849" s="307"/>
      <c r="B1849" s="307"/>
    </row>
    <row r="1850" spans="1:2" x14ac:dyDescent="0.25">
      <c r="A1850" s="307"/>
      <c r="B1850" s="307"/>
    </row>
    <row r="1851" spans="1:2" x14ac:dyDescent="0.25">
      <c r="A1851" s="307"/>
      <c r="B1851" s="307"/>
    </row>
    <row r="1852" spans="1:2" x14ac:dyDescent="0.25">
      <c r="A1852" s="307"/>
      <c r="B1852" s="307"/>
    </row>
    <row r="1853" spans="1:2" x14ac:dyDescent="0.25">
      <c r="A1853" s="307"/>
      <c r="B1853" s="307"/>
    </row>
    <row r="1854" spans="1:2" x14ac:dyDescent="0.25">
      <c r="A1854" s="307"/>
      <c r="B1854" s="307"/>
    </row>
    <row r="1855" spans="1:2" x14ac:dyDescent="0.25">
      <c r="A1855" s="307"/>
      <c r="B1855" s="307"/>
    </row>
    <row r="1856" spans="1:2" x14ac:dyDescent="0.25">
      <c r="A1856" s="307"/>
      <c r="B1856" s="307"/>
    </row>
    <row r="1857" spans="1:2" x14ac:dyDescent="0.25">
      <c r="A1857" s="307"/>
      <c r="B1857" s="307"/>
    </row>
    <row r="1858" spans="1:2" x14ac:dyDescent="0.25">
      <c r="A1858" s="307"/>
      <c r="B1858" s="307"/>
    </row>
    <row r="1859" spans="1:2" x14ac:dyDescent="0.25">
      <c r="A1859" s="307"/>
      <c r="B1859" s="307"/>
    </row>
    <row r="1860" spans="1:2" x14ac:dyDescent="0.25">
      <c r="A1860" s="307"/>
      <c r="B1860" s="307"/>
    </row>
    <row r="1861" spans="1:2" x14ac:dyDescent="0.25">
      <c r="A1861" s="307"/>
      <c r="B1861" s="307"/>
    </row>
    <row r="1862" spans="1:2" x14ac:dyDescent="0.25">
      <c r="A1862" s="307"/>
      <c r="B1862" s="307"/>
    </row>
    <row r="1863" spans="1:2" x14ac:dyDescent="0.25">
      <c r="A1863" s="307"/>
      <c r="B1863" s="307"/>
    </row>
    <row r="1864" spans="1:2" x14ac:dyDescent="0.25">
      <c r="A1864" s="307"/>
      <c r="B1864" s="307"/>
    </row>
    <row r="1865" spans="1:2" x14ac:dyDescent="0.25">
      <c r="A1865" s="307"/>
      <c r="B1865" s="307"/>
    </row>
    <row r="1866" spans="1:2" x14ac:dyDescent="0.25">
      <c r="A1866" s="307"/>
      <c r="B1866" s="307"/>
    </row>
    <row r="1867" spans="1:2" x14ac:dyDescent="0.25">
      <c r="A1867" s="307"/>
      <c r="B1867" s="307"/>
    </row>
    <row r="1868" spans="1:2" x14ac:dyDescent="0.25">
      <c r="A1868" s="307"/>
      <c r="B1868" s="307"/>
    </row>
    <row r="1869" spans="1:2" x14ac:dyDescent="0.25">
      <c r="A1869" s="307"/>
      <c r="B1869" s="307"/>
    </row>
    <row r="1870" spans="1:2" x14ac:dyDescent="0.25">
      <c r="A1870" s="307"/>
      <c r="B1870" s="307"/>
    </row>
    <row r="1871" spans="1:2" x14ac:dyDescent="0.25">
      <c r="A1871" s="307"/>
      <c r="B1871" s="307"/>
    </row>
    <row r="1872" spans="1:2" x14ac:dyDescent="0.25">
      <c r="A1872" s="307"/>
      <c r="B1872" s="307"/>
    </row>
    <row r="1873" spans="1:2" x14ac:dyDescent="0.25">
      <c r="A1873" s="307"/>
      <c r="B1873" s="307"/>
    </row>
    <row r="1874" spans="1:2" x14ac:dyDescent="0.25">
      <c r="A1874" s="307"/>
      <c r="B1874" s="307"/>
    </row>
    <row r="1875" spans="1:2" x14ac:dyDescent="0.25">
      <c r="A1875" s="307"/>
      <c r="B1875" s="307"/>
    </row>
    <row r="1876" spans="1:2" x14ac:dyDescent="0.25">
      <c r="A1876" s="307"/>
      <c r="B1876" s="307"/>
    </row>
    <row r="1877" spans="1:2" x14ac:dyDescent="0.25">
      <c r="A1877" s="307"/>
      <c r="B1877" s="307"/>
    </row>
    <row r="1878" spans="1:2" x14ac:dyDescent="0.25">
      <c r="A1878" s="307"/>
      <c r="B1878" s="307"/>
    </row>
    <row r="1879" spans="1:2" x14ac:dyDescent="0.25">
      <c r="A1879" s="307"/>
      <c r="B1879" s="307"/>
    </row>
    <row r="1880" spans="1:2" x14ac:dyDescent="0.25">
      <c r="A1880" s="307"/>
      <c r="B1880" s="307"/>
    </row>
    <row r="1881" spans="1:2" x14ac:dyDescent="0.25">
      <c r="A1881" s="307"/>
      <c r="B1881" s="307"/>
    </row>
    <row r="1882" spans="1:2" x14ac:dyDescent="0.25">
      <c r="A1882" s="307"/>
      <c r="B1882" s="307"/>
    </row>
    <row r="1883" spans="1:2" x14ac:dyDescent="0.25">
      <c r="A1883" s="307"/>
      <c r="B1883" s="307"/>
    </row>
    <row r="1884" spans="1:2" x14ac:dyDescent="0.25">
      <c r="A1884" s="307"/>
      <c r="B1884" s="307"/>
    </row>
    <row r="1885" spans="1:2" x14ac:dyDescent="0.25">
      <c r="A1885" s="307"/>
      <c r="B1885" s="307"/>
    </row>
    <row r="1886" spans="1:2" x14ac:dyDescent="0.25">
      <c r="A1886" s="307"/>
      <c r="B1886" s="307"/>
    </row>
    <row r="1887" spans="1:2" x14ac:dyDescent="0.25">
      <c r="A1887" s="307"/>
      <c r="B1887" s="307"/>
    </row>
    <row r="1888" spans="1:2" x14ac:dyDescent="0.25">
      <c r="A1888" s="307"/>
      <c r="B1888" s="307"/>
    </row>
    <row r="1889" spans="1:2" x14ac:dyDescent="0.25">
      <c r="A1889" s="307"/>
      <c r="B1889" s="307"/>
    </row>
    <row r="1890" spans="1:2" x14ac:dyDescent="0.25">
      <c r="A1890" s="307"/>
      <c r="B1890" s="307"/>
    </row>
    <row r="1891" spans="1:2" x14ac:dyDescent="0.25">
      <c r="A1891" s="307"/>
      <c r="B1891" s="307"/>
    </row>
    <row r="1892" spans="1:2" x14ac:dyDescent="0.25">
      <c r="A1892" s="307"/>
      <c r="B1892" s="307"/>
    </row>
    <row r="1893" spans="1:2" x14ac:dyDescent="0.25">
      <c r="A1893" s="307"/>
      <c r="B1893" s="307"/>
    </row>
    <row r="1894" spans="1:2" x14ac:dyDescent="0.25">
      <c r="A1894" s="307"/>
      <c r="B1894" s="307"/>
    </row>
    <row r="1895" spans="1:2" x14ac:dyDescent="0.25">
      <c r="A1895" s="307"/>
      <c r="B1895" s="307"/>
    </row>
    <row r="1896" spans="1:2" x14ac:dyDescent="0.25">
      <c r="A1896" s="307"/>
      <c r="B1896" s="307"/>
    </row>
    <row r="1897" spans="1:2" x14ac:dyDescent="0.25">
      <c r="A1897" s="307"/>
      <c r="B1897" s="307"/>
    </row>
    <row r="1898" spans="1:2" x14ac:dyDescent="0.25">
      <c r="A1898" s="307"/>
      <c r="B1898" s="307"/>
    </row>
    <row r="1899" spans="1:2" x14ac:dyDescent="0.25">
      <c r="A1899" s="307"/>
      <c r="B1899" s="307"/>
    </row>
    <row r="1900" spans="1:2" x14ac:dyDescent="0.25">
      <c r="A1900" s="307"/>
      <c r="B1900" s="307"/>
    </row>
    <row r="1901" spans="1:2" x14ac:dyDescent="0.25">
      <c r="A1901" s="307"/>
      <c r="B1901" s="307"/>
    </row>
    <row r="1902" spans="1:2" x14ac:dyDescent="0.25">
      <c r="A1902" s="307"/>
      <c r="B1902" s="307"/>
    </row>
    <row r="1903" spans="1:2" x14ac:dyDescent="0.25">
      <c r="A1903" s="307"/>
      <c r="B1903" s="307"/>
    </row>
    <row r="1904" spans="1:2" x14ac:dyDescent="0.25">
      <c r="A1904" s="307"/>
      <c r="B1904" s="307"/>
    </row>
    <row r="1905" spans="1:2" x14ac:dyDescent="0.25">
      <c r="A1905" s="307"/>
      <c r="B1905" s="307"/>
    </row>
    <row r="1906" spans="1:2" x14ac:dyDescent="0.25">
      <c r="A1906" s="307"/>
      <c r="B1906" s="307"/>
    </row>
    <row r="1907" spans="1:2" x14ac:dyDescent="0.25">
      <c r="A1907" s="307"/>
      <c r="B1907" s="307"/>
    </row>
    <row r="1908" spans="1:2" x14ac:dyDescent="0.25">
      <c r="A1908" s="307"/>
      <c r="B1908" s="307"/>
    </row>
    <row r="1909" spans="1:2" x14ac:dyDescent="0.25">
      <c r="A1909" s="307"/>
      <c r="B1909" s="307"/>
    </row>
    <row r="1910" spans="1:2" x14ac:dyDescent="0.25">
      <c r="A1910" s="307"/>
      <c r="B1910" s="307"/>
    </row>
    <row r="1911" spans="1:2" x14ac:dyDescent="0.25">
      <c r="A1911" s="307"/>
      <c r="B1911" s="307"/>
    </row>
    <row r="1912" spans="1:2" x14ac:dyDescent="0.25">
      <c r="A1912" s="307"/>
      <c r="B1912" s="307"/>
    </row>
    <row r="1913" spans="1:2" x14ac:dyDescent="0.25">
      <c r="A1913" s="307"/>
      <c r="B1913" s="307"/>
    </row>
    <row r="1914" spans="1:2" x14ac:dyDescent="0.25">
      <c r="A1914" s="307"/>
      <c r="B1914" s="307"/>
    </row>
    <row r="1915" spans="1:2" x14ac:dyDescent="0.25">
      <c r="A1915" s="307"/>
      <c r="B1915" s="307"/>
    </row>
    <row r="1916" spans="1:2" x14ac:dyDescent="0.25">
      <c r="A1916" s="307"/>
      <c r="B1916" s="307"/>
    </row>
    <row r="1917" spans="1:2" x14ac:dyDescent="0.25">
      <c r="A1917" s="307"/>
      <c r="B1917" s="307"/>
    </row>
    <row r="1918" spans="1:2" x14ac:dyDescent="0.25">
      <c r="A1918" s="307"/>
      <c r="B1918" s="307"/>
    </row>
    <row r="1919" spans="1:2" x14ac:dyDescent="0.25">
      <c r="A1919" s="307"/>
      <c r="B1919" s="307"/>
    </row>
    <row r="1920" spans="1:2" x14ac:dyDescent="0.25">
      <c r="A1920" s="307"/>
      <c r="B1920" s="307"/>
    </row>
    <row r="1921" spans="1:2" x14ac:dyDescent="0.25">
      <c r="A1921" s="307"/>
      <c r="B1921" s="307"/>
    </row>
    <row r="1922" spans="1:2" x14ac:dyDescent="0.25">
      <c r="A1922" s="307"/>
      <c r="B1922" s="307"/>
    </row>
    <row r="1923" spans="1:2" x14ac:dyDescent="0.25">
      <c r="A1923" s="307"/>
      <c r="B1923" s="307"/>
    </row>
    <row r="1924" spans="1:2" x14ac:dyDescent="0.25">
      <c r="A1924" s="307"/>
      <c r="B1924" s="307"/>
    </row>
    <row r="1925" spans="1:2" x14ac:dyDescent="0.25">
      <c r="A1925" s="307"/>
      <c r="B1925" s="307"/>
    </row>
    <row r="1926" spans="1:2" x14ac:dyDescent="0.25">
      <c r="A1926" s="307"/>
      <c r="B1926" s="307"/>
    </row>
    <row r="1927" spans="1:2" x14ac:dyDescent="0.25">
      <c r="A1927" s="307"/>
      <c r="B1927" s="307"/>
    </row>
    <row r="1928" spans="1:2" x14ac:dyDescent="0.25">
      <c r="A1928" s="307"/>
      <c r="B1928" s="307"/>
    </row>
    <row r="1929" spans="1:2" x14ac:dyDescent="0.25">
      <c r="A1929" s="307"/>
      <c r="B1929" s="307"/>
    </row>
    <row r="1930" spans="1:2" x14ac:dyDescent="0.25">
      <c r="A1930" s="307"/>
      <c r="B1930" s="307"/>
    </row>
    <row r="1931" spans="1:2" x14ac:dyDescent="0.25">
      <c r="A1931" s="307"/>
      <c r="B1931" s="307"/>
    </row>
    <row r="1932" spans="1:2" x14ac:dyDescent="0.25">
      <c r="A1932" s="307"/>
      <c r="B1932" s="307"/>
    </row>
    <row r="1933" spans="1:2" x14ac:dyDescent="0.25">
      <c r="A1933" s="307"/>
      <c r="B1933" s="307"/>
    </row>
    <row r="1934" spans="1:2" x14ac:dyDescent="0.25">
      <c r="A1934" s="307"/>
      <c r="B1934" s="307"/>
    </row>
    <row r="1935" spans="1:2" x14ac:dyDescent="0.25">
      <c r="A1935" s="307"/>
      <c r="B1935" s="307"/>
    </row>
    <row r="1936" spans="1:2" x14ac:dyDescent="0.25">
      <c r="A1936" s="307"/>
      <c r="B1936" s="307"/>
    </row>
    <row r="1937" spans="1:2" x14ac:dyDescent="0.25">
      <c r="A1937" s="307"/>
      <c r="B1937" s="307"/>
    </row>
    <row r="1938" spans="1:2" x14ac:dyDescent="0.25">
      <c r="A1938" s="307"/>
      <c r="B1938" s="307"/>
    </row>
    <row r="1939" spans="1:2" x14ac:dyDescent="0.25">
      <c r="A1939" s="307"/>
      <c r="B1939" s="307"/>
    </row>
    <row r="1940" spans="1:2" x14ac:dyDescent="0.25">
      <c r="A1940" s="307"/>
      <c r="B1940" s="307"/>
    </row>
    <row r="1941" spans="1:2" x14ac:dyDescent="0.25">
      <c r="A1941" s="307"/>
      <c r="B1941" s="307"/>
    </row>
    <row r="1942" spans="1:2" x14ac:dyDescent="0.25">
      <c r="A1942" s="307"/>
      <c r="B1942" s="307"/>
    </row>
    <row r="1943" spans="1:2" x14ac:dyDescent="0.25">
      <c r="A1943" s="307"/>
      <c r="B1943" s="307"/>
    </row>
    <row r="1944" spans="1:2" x14ac:dyDescent="0.25">
      <c r="A1944" s="307"/>
      <c r="B1944" s="307"/>
    </row>
    <row r="1945" spans="1:2" x14ac:dyDescent="0.25">
      <c r="A1945" s="307"/>
      <c r="B1945" s="307"/>
    </row>
    <row r="1946" spans="1:2" x14ac:dyDescent="0.25">
      <c r="A1946" s="307"/>
      <c r="B1946" s="307"/>
    </row>
    <row r="1947" spans="1:2" x14ac:dyDescent="0.25">
      <c r="A1947" s="307"/>
      <c r="B1947" s="307"/>
    </row>
    <row r="1948" spans="1:2" x14ac:dyDescent="0.25">
      <c r="A1948" s="307"/>
      <c r="B1948" s="307"/>
    </row>
    <row r="1949" spans="1:2" x14ac:dyDescent="0.25">
      <c r="A1949" s="307"/>
      <c r="B1949" s="307"/>
    </row>
    <row r="1950" spans="1:2" x14ac:dyDescent="0.25">
      <c r="A1950" s="307"/>
      <c r="B1950" s="307"/>
    </row>
    <row r="1951" spans="1:2" x14ac:dyDescent="0.25">
      <c r="A1951" s="307"/>
      <c r="B1951" s="307"/>
    </row>
    <row r="1952" spans="1:2" x14ac:dyDescent="0.25">
      <c r="A1952" s="307"/>
      <c r="B1952" s="307"/>
    </row>
    <row r="1953" spans="1:2" x14ac:dyDescent="0.25">
      <c r="A1953" s="307"/>
      <c r="B1953" s="307"/>
    </row>
    <row r="1954" spans="1:2" x14ac:dyDescent="0.25">
      <c r="A1954" s="307"/>
      <c r="B1954" s="307"/>
    </row>
    <row r="1955" spans="1:2" x14ac:dyDescent="0.25">
      <c r="A1955" s="307"/>
      <c r="B1955" s="307"/>
    </row>
    <row r="1956" spans="1:2" x14ac:dyDescent="0.25">
      <c r="A1956" s="307"/>
      <c r="B1956" s="307"/>
    </row>
    <row r="1957" spans="1:2" x14ac:dyDescent="0.25">
      <c r="A1957" s="307"/>
      <c r="B1957" s="307"/>
    </row>
    <row r="1958" spans="1:2" x14ac:dyDescent="0.25">
      <c r="A1958" s="307"/>
      <c r="B1958" s="307"/>
    </row>
    <row r="1959" spans="1:2" x14ac:dyDescent="0.25">
      <c r="A1959" s="307"/>
      <c r="B1959" s="307"/>
    </row>
    <row r="1960" spans="1:2" x14ac:dyDescent="0.25">
      <c r="A1960" s="307"/>
      <c r="B1960" s="307"/>
    </row>
    <row r="1961" spans="1:2" x14ac:dyDescent="0.25">
      <c r="A1961" s="307"/>
      <c r="B1961" s="307"/>
    </row>
    <row r="1962" spans="1:2" x14ac:dyDescent="0.25">
      <c r="A1962" s="307"/>
      <c r="B1962" s="307"/>
    </row>
    <row r="1963" spans="1:2" x14ac:dyDescent="0.25">
      <c r="A1963" s="307"/>
      <c r="B1963" s="307"/>
    </row>
    <row r="1964" spans="1:2" x14ac:dyDescent="0.25">
      <c r="A1964" s="307"/>
      <c r="B1964" s="307"/>
    </row>
    <row r="1965" spans="1:2" x14ac:dyDescent="0.25">
      <c r="A1965" s="307"/>
      <c r="B1965" s="307"/>
    </row>
    <row r="1966" spans="1:2" x14ac:dyDescent="0.25">
      <c r="A1966" s="307"/>
      <c r="B1966" s="307"/>
    </row>
    <row r="1967" spans="1:2" x14ac:dyDescent="0.25">
      <c r="A1967" s="307"/>
      <c r="B1967" s="307"/>
    </row>
    <row r="1968" spans="1:2" x14ac:dyDescent="0.25">
      <c r="A1968" s="307"/>
      <c r="B1968" s="307"/>
    </row>
    <row r="1969" spans="1:2" x14ac:dyDescent="0.25">
      <c r="A1969" s="307"/>
      <c r="B1969" s="307"/>
    </row>
    <row r="1970" spans="1:2" x14ac:dyDescent="0.25">
      <c r="A1970" s="307"/>
      <c r="B1970" s="307"/>
    </row>
    <row r="1971" spans="1:2" x14ac:dyDescent="0.25">
      <c r="A1971" s="307"/>
      <c r="B1971" s="307"/>
    </row>
    <row r="1972" spans="1:2" x14ac:dyDescent="0.25">
      <c r="A1972" s="307"/>
      <c r="B1972" s="307"/>
    </row>
    <row r="1973" spans="1:2" x14ac:dyDescent="0.25">
      <c r="A1973" s="307"/>
      <c r="B1973" s="307"/>
    </row>
    <row r="1974" spans="1:2" x14ac:dyDescent="0.25">
      <c r="A1974" s="307"/>
      <c r="B1974" s="307"/>
    </row>
    <row r="1975" spans="1:2" x14ac:dyDescent="0.25">
      <c r="A1975" s="307"/>
      <c r="B1975" s="307"/>
    </row>
    <row r="1976" spans="1:2" x14ac:dyDescent="0.25">
      <c r="A1976" s="307"/>
      <c r="B1976" s="307"/>
    </row>
    <row r="1977" spans="1:2" x14ac:dyDescent="0.25">
      <c r="A1977" s="307"/>
      <c r="B1977" s="307"/>
    </row>
    <row r="1978" spans="1:2" x14ac:dyDescent="0.25">
      <c r="A1978" s="307"/>
      <c r="B1978" s="307"/>
    </row>
    <row r="1979" spans="1:2" x14ac:dyDescent="0.25">
      <c r="A1979" s="307"/>
      <c r="B1979" s="307"/>
    </row>
    <row r="1980" spans="1:2" x14ac:dyDescent="0.25">
      <c r="A1980" s="307"/>
      <c r="B1980" s="307"/>
    </row>
    <row r="1981" spans="1:2" x14ac:dyDescent="0.25">
      <c r="A1981" s="307"/>
      <c r="B1981" s="307"/>
    </row>
    <row r="1982" spans="1:2" x14ac:dyDescent="0.25">
      <c r="A1982" s="307"/>
      <c r="B1982" s="307"/>
    </row>
    <row r="1983" spans="1:2" x14ac:dyDescent="0.25">
      <c r="A1983" s="307"/>
      <c r="B1983" s="307"/>
    </row>
    <row r="1984" spans="1:2" x14ac:dyDescent="0.25">
      <c r="A1984" s="307"/>
      <c r="B1984" s="307"/>
    </row>
    <row r="1985" spans="1:2" x14ac:dyDescent="0.25">
      <c r="A1985" s="307"/>
      <c r="B1985" s="307"/>
    </row>
    <row r="1986" spans="1:2" x14ac:dyDescent="0.25">
      <c r="A1986" s="307"/>
      <c r="B1986" s="307"/>
    </row>
    <row r="1987" spans="1:2" x14ac:dyDescent="0.25">
      <c r="A1987" s="307"/>
      <c r="B1987" s="307"/>
    </row>
    <row r="1988" spans="1:2" x14ac:dyDescent="0.25">
      <c r="A1988" s="307"/>
      <c r="B1988" s="307"/>
    </row>
    <row r="1989" spans="1:2" x14ac:dyDescent="0.25">
      <c r="A1989" s="307"/>
      <c r="B1989" s="307"/>
    </row>
    <row r="1990" spans="1:2" x14ac:dyDescent="0.25">
      <c r="A1990" s="307"/>
      <c r="B1990" s="307"/>
    </row>
    <row r="1991" spans="1:2" x14ac:dyDescent="0.25">
      <c r="A1991" s="307"/>
      <c r="B1991" s="307"/>
    </row>
    <row r="1992" spans="1:2" x14ac:dyDescent="0.25">
      <c r="A1992" s="307"/>
      <c r="B1992" s="307"/>
    </row>
    <row r="1993" spans="1:2" x14ac:dyDescent="0.25">
      <c r="A1993" s="307"/>
      <c r="B1993" s="307"/>
    </row>
    <row r="1994" spans="1:2" x14ac:dyDescent="0.25">
      <c r="A1994" s="307"/>
      <c r="B1994" s="307"/>
    </row>
    <row r="1995" spans="1:2" x14ac:dyDescent="0.25">
      <c r="A1995" s="307"/>
      <c r="B1995" s="307"/>
    </row>
    <row r="1996" spans="1:2" x14ac:dyDescent="0.25">
      <c r="A1996" s="307"/>
      <c r="B1996" s="307"/>
    </row>
    <row r="1997" spans="1:2" x14ac:dyDescent="0.25">
      <c r="A1997" s="307"/>
      <c r="B1997" s="307"/>
    </row>
    <row r="1998" spans="1:2" x14ac:dyDescent="0.25">
      <c r="A1998" s="307"/>
      <c r="B1998" s="307"/>
    </row>
    <row r="1999" spans="1:2" x14ac:dyDescent="0.25">
      <c r="A1999" s="307"/>
      <c r="B1999" s="307"/>
    </row>
    <row r="2000" spans="1:2" x14ac:dyDescent="0.25">
      <c r="A2000" s="307"/>
      <c r="B2000" s="307"/>
    </row>
    <row r="2001" spans="1:2" x14ac:dyDescent="0.25">
      <c r="A2001" s="307"/>
      <c r="B2001" s="307"/>
    </row>
    <row r="2002" spans="1:2" x14ac:dyDescent="0.25">
      <c r="A2002" s="307"/>
      <c r="B2002" s="307"/>
    </row>
    <row r="2003" spans="1:2" x14ac:dyDescent="0.25">
      <c r="A2003" s="307"/>
      <c r="B2003" s="307"/>
    </row>
    <row r="2004" spans="1:2" x14ac:dyDescent="0.25">
      <c r="A2004" s="307"/>
      <c r="B2004" s="307"/>
    </row>
    <row r="2005" spans="1:2" x14ac:dyDescent="0.25">
      <c r="A2005" s="307"/>
      <c r="B2005" s="307"/>
    </row>
    <row r="2006" spans="1:2" x14ac:dyDescent="0.25">
      <c r="A2006" s="307"/>
      <c r="B2006" s="307"/>
    </row>
    <row r="2007" spans="1:2" x14ac:dyDescent="0.25">
      <c r="A2007" s="307"/>
      <c r="B2007" s="307"/>
    </row>
    <row r="2008" spans="1:2" x14ac:dyDescent="0.25">
      <c r="A2008" s="307"/>
      <c r="B2008" s="307"/>
    </row>
    <row r="2009" spans="1:2" x14ac:dyDescent="0.25">
      <c r="A2009" s="307"/>
      <c r="B2009" s="307"/>
    </row>
    <row r="2010" spans="1:2" x14ac:dyDescent="0.25">
      <c r="A2010" s="307"/>
      <c r="B2010" s="307"/>
    </row>
    <row r="2011" spans="1:2" x14ac:dyDescent="0.25">
      <c r="A2011" s="307"/>
      <c r="B2011" s="307"/>
    </row>
    <row r="2012" spans="1:2" x14ac:dyDescent="0.25">
      <c r="A2012" s="307"/>
      <c r="B2012" s="307"/>
    </row>
    <row r="2013" spans="1:2" x14ac:dyDescent="0.25">
      <c r="A2013" s="307"/>
      <c r="B2013" s="307"/>
    </row>
    <row r="2014" spans="1:2" x14ac:dyDescent="0.25">
      <c r="A2014" s="307"/>
      <c r="B2014" s="307"/>
    </row>
    <row r="2015" spans="1:2" x14ac:dyDescent="0.25">
      <c r="A2015" s="307"/>
      <c r="B2015" s="307"/>
    </row>
    <row r="2016" spans="1:2" x14ac:dyDescent="0.25">
      <c r="A2016" s="307"/>
      <c r="B2016" s="307"/>
    </row>
    <row r="2017" spans="1:2" x14ac:dyDescent="0.25">
      <c r="A2017" s="307"/>
      <c r="B2017" s="307"/>
    </row>
    <row r="2018" spans="1:2" x14ac:dyDescent="0.25">
      <c r="A2018" s="307"/>
      <c r="B2018" s="307"/>
    </row>
    <row r="2019" spans="1:2" x14ac:dyDescent="0.25">
      <c r="A2019" s="307"/>
      <c r="B2019" s="307"/>
    </row>
    <row r="2020" spans="1:2" x14ac:dyDescent="0.25">
      <c r="A2020" s="307"/>
      <c r="B2020" s="307"/>
    </row>
    <row r="2021" spans="1:2" x14ac:dyDescent="0.25">
      <c r="A2021" s="307"/>
      <c r="B2021" s="307"/>
    </row>
    <row r="2022" spans="1:2" x14ac:dyDescent="0.25">
      <c r="A2022" s="307"/>
      <c r="B2022" s="307"/>
    </row>
    <row r="2023" spans="1:2" x14ac:dyDescent="0.25">
      <c r="A2023" s="307"/>
      <c r="B2023" s="307"/>
    </row>
    <row r="2024" spans="1:2" x14ac:dyDescent="0.25">
      <c r="A2024" s="307"/>
      <c r="B2024" s="307"/>
    </row>
    <row r="2025" spans="1:2" x14ac:dyDescent="0.25">
      <c r="A2025" s="307"/>
      <c r="B2025" s="307"/>
    </row>
    <row r="2026" spans="1:2" x14ac:dyDescent="0.25">
      <c r="A2026" s="307"/>
      <c r="B2026" s="307"/>
    </row>
    <row r="2027" spans="1:2" x14ac:dyDescent="0.25">
      <c r="A2027" s="307"/>
      <c r="B2027" s="307"/>
    </row>
    <row r="2028" spans="1:2" x14ac:dyDescent="0.25">
      <c r="A2028" s="307"/>
      <c r="B2028" s="307"/>
    </row>
    <row r="2029" spans="1:2" x14ac:dyDescent="0.25">
      <c r="A2029" s="307"/>
      <c r="B2029" s="307"/>
    </row>
    <row r="2030" spans="1:2" x14ac:dyDescent="0.25">
      <c r="A2030" s="307"/>
      <c r="B2030" s="307"/>
    </row>
    <row r="2031" spans="1:2" x14ac:dyDescent="0.25">
      <c r="A2031" s="307"/>
      <c r="B2031" s="307"/>
    </row>
    <row r="2032" spans="1:2" x14ac:dyDescent="0.25">
      <c r="A2032" s="307"/>
      <c r="B2032" s="307"/>
    </row>
    <row r="2033" spans="1:2" x14ac:dyDescent="0.25">
      <c r="A2033" s="307"/>
      <c r="B2033" s="307"/>
    </row>
    <row r="2034" spans="1:2" x14ac:dyDescent="0.25">
      <c r="A2034" s="307"/>
      <c r="B2034" s="307"/>
    </row>
    <row r="2035" spans="1:2" x14ac:dyDescent="0.25">
      <c r="A2035" s="307"/>
      <c r="B2035" s="307"/>
    </row>
    <row r="2036" spans="1:2" x14ac:dyDescent="0.25">
      <c r="A2036" s="307"/>
      <c r="B2036" s="307"/>
    </row>
    <row r="2037" spans="1:2" x14ac:dyDescent="0.25">
      <c r="A2037" s="307"/>
      <c r="B2037" s="307"/>
    </row>
    <row r="2038" spans="1:2" x14ac:dyDescent="0.25">
      <c r="A2038" s="307"/>
      <c r="B2038" s="307"/>
    </row>
    <row r="2039" spans="1:2" x14ac:dyDescent="0.25">
      <c r="A2039" s="307"/>
      <c r="B2039" s="307"/>
    </row>
    <row r="2040" spans="1:2" x14ac:dyDescent="0.25">
      <c r="A2040" s="307"/>
      <c r="B2040" s="307"/>
    </row>
    <row r="2041" spans="1:2" x14ac:dyDescent="0.25">
      <c r="A2041" s="307"/>
      <c r="B2041" s="307"/>
    </row>
    <row r="2042" spans="1:2" x14ac:dyDescent="0.25">
      <c r="A2042" s="307"/>
      <c r="B2042" s="307"/>
    </row>
    <row r="2043" spans="1:2" x14ac:dyDescent="0.25">
      <c r="A2043" s="307"/>
      <c r="B2043" s="307"/>
    </row>
    <row r="2044" spans="1:2" x14ac:dyDescent="0.25">
      <c r="A2044" s="307"/>
      <c r="B2044" s="307"/>
    </row>
    <row r="2045" spans="1:2" x14ac:dyDescent="0.25">
      <c r="A2045" s="307"/>
      <c r="B2045" s="307"/>
    </row>
    <row r="2046" spans="1:2" x14ac:dyDescent="0.25">
      <c r="A2046" s="307"/>
      <c r="B2046" s="307"/>
    </row>
    <row r="2047" spans="1:2" x14ac:dyDescent="0.25">
      <c r="A2047" s="307"/>
      <c r="B2047" s="307"/>
    </row>
    <row r="2048" spans="1:2" x14ac:dyDescent="0.25">
      <c r="A2048" s="307"/>
      <c r="B2048" s="307"/>
    </row>
    <row r="2049" spans="1:2" x14ac:dyDescent="0.25">
      <c r="A2049" s="307"/>
      <c r="B2049" s="307"/>
    </row>
    <row r="2050" spans="1:2" x14ac:dyDescent="0.25">
      <c r="A2050" s="307"/>
      <c r="B2050" s="307"/>
    </row>
    <row r="2051" spans="1:2" x14ac:dyDescent="0.25">
      <c r="A2051" s="307"/>
      <c r="B2051" s="307"/>
    </row>
    <row r="2052" spans="1:2" x14ac:dyDescent="0.25">
      <c r="A2052" s="307"/>
      <c r="B2052" s="307"/>
    </row>
    <row r="2053" spans="1:2" x14ac:dyDescent="0.25">
      <c r="A2053" s="307"/>
      <c r="B2053" s="307"/>
    </row>
    <row r="2054" spans="1:2" x14ac:dyDescent="0.25">
      <c r="A2054" s="307"/>
      <c r="B2054" s="307"/>
    </row>
    <row r="2055" spans="1:2" x14ac:dyDescent="0.25">
      <c r="A2055" s="307"/>
      <c r="B2055" s="307"/>
    </row>
    <row r="2056" spans="1:2" x14ac:dyDescent="0.25">
      <c r="A2056" s="307"/>
      <c r="B2056" s="307"/>
    </row>
    <row r="2057" spans="1:2" x14ac:dyDescent="0.25">
      <c r="A2057" s="307"/>
      <c r="B2057" s="307"/>
    </row>
    <row r="2058" spans="1:2" x14ac:dyDescent="0.25">
      <c r="A2058" s="307"/>
      <c r="B2058" s="307"/>
    </row>
    <row r="2059" spans="1:2" x14ac:dyDescent="0.25">
      <c r="A2059" s="307"/>
      <c r="B2059" s="307"/>
    </row>
    <row r="2060" spans="1:2" x14ac:dyDescent="0.25">
      <c r="A2060" s="307"/>
      <c r="B2060" s="307"/>
    </row>
    <row r="2061" spans="1:2" x14ac:dyDescent="0.25">
      <c r="A2061" s="307"/>
      <c r="B2061" s="307"/>
    </row>
    <row r="2062" spans="1:2" x14ac:dyDescent="0.25">
      <c r="A2062" s="307"/>
      <c r="B2062" s="307"/>
    </row>
    <row r="2063" spans="1:2" x14ac:dyDescent="0.25">
      <c r="A2063" s="307"/>
      <c r="B2063" s="307"/>
    </row>
    <row r="2064" spans="1:2" x14ac:dyDescent="0.25">
      <c r="A2064" s="307"/>
      <c r="B2064" s="307"/>
    </row>
    <row r="2065" spans="1:2" x14ac:dyDescent="0.25">
      <c r="A2065" s="307"/>
      <c r="B2065" s="307"/>
    </row>
    <row r="2066" spans="1:2" x14ac:dyDescent="0.25">
      <c r="A2066" s="307"/>
      <c r="B2066" s="307"/>
    </row>
    <row r="2067" spans="1:2" x14ac:dyDescent="0.25">
      <c r="A2067" s="307"/>
      <c r="B2067" s="307"/>
    </row>
    <row r="2068" spans="1:2" x14ac:dyDescent="0.25">
      <c r="A2068" s="307"/>
      <c r="B2068" s="307"/>
    </row>
    <row r="2069" spans="1:2" x14ac:dyDescent="0.25">
      <c r="A2069" s="307"/>
      <c r="B2069" s="307"/>
    </row>
    <row r="2070" spans="1:2" x14ac:dyDescent="0.25">
      <c r="A2070" s="307"/>
      <c r="B2070" s="307"/>
    </row>
    <row r="2071" spans="1:2" x14ac:dyDescent="0.25">
      <c r="A2071" s="307"/>
      <c r="B2071" s="307"/>
    </row>
    <row r="2072" spans="1:2" x14ac:dyDescent="0.25">
      <c r="A2072" s="307"/>
      <c r="B2072" s="307"/>
    </row>
    <row r="2073" spans="1:2" x14ac:dyDescent="0.25">
      <c r="A2073" s="307"/>
      <c r="B2073" s="307"/>
    </row>
    <row r="2074" spans="1:2" x14ac:dyDescent="0.25">
      <c r="A2074" s="307"/>
      <c r="B2074" s="307"/>
    </row>
    <row r="2075" spans="1:2" x14ac:dyDescent="0.25">
      <c r="A2075" s="307"/>
      <c r="B2075" s="307"/>
    </row>
    <row r="2076" spans="1:2" x14ac:dyDescent="0.25">
      <c r="A2076" s="307"/>
      <c r="B2076" s="307"/>
    </row>
    <row r="2077" spans="1:2" x14ac:dyDescent="0.25">
      <c r="A2077" s="307"/>
      <c r="B2077" s="307"/>
    </row>
    <row r="2078" spans="1:2" x14ac:dyDescent="0.25">
      <c r="A2078" s="307"/>
      <c r="B2078" s="307"/>
    </row>
    <row r="2079" spans="1:2" x14ac:dyDescent="0.25">
      <c r="A2079" s="307"/>
      <c r="B2079" s="307"/>
    </row>
    <row r="2080" spans="1:2" x14ac:dyDescent="0.25">
      <c r="A2080" s="307"/>
      <c r="B2080" s="307"/>
    </row>
    <row r="2081" spans="1:2" x14ac:dyDescent="0.25">
      <c r="A2081" s="307"/>
      <c r="B2081" s="307"/>
    </row>
    <row r="2082" spans="1:2" x14ac:dyDescent="0.25">
      <c r="A2082" s="307"/>
      <c r="B2082" s="307"/>
    </row>
    <row r="2083" spans="1:2" x14ac:dyDescent="0.25">
      <c r="A2083" s="307"/>
      <c r="B2083" s="307"/>
    </row>
    <row r="2084" spans="1:2" x14ac:dyDescent="0.25">
      <c r="A2084" s="307"/>
      <c r="B2084" s="307"/>
    </row>
    <row r="2085" spans="1:2" x14ac:dyDescent="0.25">
      <c r="A2085" s="307"/>
      <c r="B2085" s="307"/>
    </row>
    <row r="2086" spans="1:2" x14ac:dyDescent="0.25">
      <c r="A2086" s="307"/>
      <c r="B2086" s="307"/>
    </row>
    <row r="2087" spans="1:2" x14ac:dyDescent="0.25">
      <c r="A2087" s="307"/>
      <c r="B2087" s="307"/>
    </row>
    <row r="2088" spans="1:2" x14ac:dyDescent="0.25">
      <c r="A2088" s="307"/>
      <c r="B2088" s="307"/>
    </row>
    <row r="2089" spans="1:2" x14ac:dyDescent="0.25">
      <c r="A2089" s="307"/>
      <c r="B2089" s="307"/>
    </row>
    <row r="2090" spans="1:2" x14ac:dyDescent="0.25">
      <c r="A2090" s="307"/>
      <c r="B2090" s="307"/>
    </row>
    <row r="2091" spans="1:2" x14ac:dyDescent="0.25">
      <c r="A2091" s="307"/>
      <c r="B2091" s="307"/>
    </row>
    <row r="2092" spans="1:2" x14ac:dyDescent="0.25">
      <c r="A2092" s="307"/>
      <c r="B2092" s="307"/>
    </row>
    <row r="2093" spans="1:2" x14ac:dyDescent="0.25">
      <c r="A2093" s="307"/>
      <c r="B2093" s="307"/>
    </row>
    <row r="2094" spans="1:2" x14ac:dyDescent="0.25">
      <c r="A2094" s="307"/>
      <c r="B2094" s="307"/>
    </row>
    <row r="2095" spans="1:2" x14ac:dyDescent="0.25">
      <c r="A2095" s="307"/>
      <c r="B2095" s="307"/>
    </row>
    <row r="2096" spans="1:2" x14ac:dyDescent="0.25">
      <c r="A2096" s="307"/>
      <c r="B2096" s="307"/>
    </row>
    <row r="2097" spans="1:2" x14ac:dyDescent="0.25">
      <c r="A2097" s="307"/>
      <c r="B2097" s="307"/>
    </row>
    <row r="2098" spans="1:2" x14ac:dyDescent="0.25">
      <c r="A2098" s="307"/>
      <c r="B2098" s="307"/>
    </row>
    <row r="2099" spans="1:2" x14ac:dyDescent="0.25">
      <c r="A2099" s="307"/>
      <c r="B2099" s="307"/>
    </row>
    <row r="2100" spans="1:2" x14ac:dyDescent="0.25">
      <c r="A2100" s="307"/>
      <c r="B2100" s="307"/>
    </row>
    <row r="2101" spans="1:2" x14ac:dyDescent="0.25">
      <c r="A2101" s="307"/>
      <c r="B2101" s="307"/>
    </row>
    <row r="2102" spans="1:2" x14ac:dyDescent="0.25">
      <c r="A2102" s="307"/>
      <c r="B2102" s="307"/>
    </row>
    <row r="2103" spans="1:2" x14ac:dyDescent="0.25">
      <c r="A2103" s="307"/>
      <c r="B2103" s="307"/>
    </row>
    <row r="2104" spans="1:2" x14ac:dyDescent="0.25">
      <c r="A2104" s="307"/>
      <c r="B2104" s="307"/>
    </row>
    <row r="2105" spans="1:2" x14ac:dyDescent="0.25">
      <c r="A2105" s="307"/>
      <c r="B2105" s="307"/>
    </row>
    <row r="2106" spans="1:2" x14ac:dyDescent="0.25">
      <c r="A2106" s="307"/>
      <c r="B2106" s="307"/>
    </row>
    <row r="2107" spans="1:2" x14ac:dyDescent="0.25">
      <c r="A2107" s="307"/>
      <c r="B2107" s="307"/>
    </row>
    <row r="2108" spans="1:2" x14ac:dyDescent="0.25">
      <c r="A2108" s="307"/>
      <c r="B2108" s="307"/>
    </row>
    <row r="2109" spans="1:2" x14ac:dyDescent="0.25">
      <c r="A2109" s="307"/>
      <c r="B2109" s="307"/>
    </row>
    <row r="2110" spans="1:2" x14ac:dyDescent="0.25">
      <c r="A2110" s="307"/>
      <c r="B2110" s="307"/>
    </row>
    <row r="2111" spans="1:2" x14ac:dyDescent="0.25">
      <c r="A2111" s="307"/>
      <c r="B2111" s="307"/>
    </row>
    <row r="2112" spans="1:2" x14ac:dyDescent="0.25">
      <c r="A2112" s="307"/>
      <c r="B2112" s="307"/>
    </row>
    <row r="2113" spans="1:2" x14ac:dyDescent="0.25">
      <c r="A2113" s="307"/>
      <c r="B2113" s="307"/>
    </row>
    <row r="2114" spans="1:2" x14ac:dyDescent="0.25">
      <c r="A2114" s="307"/>
      <c r="B2114" s="307"/>
    </row>
    <row r="2115" spans="1:2" x14ac:dyDescent="0.25">
      <c r="A2115" s="307"/>
      <c r="B2115" s="307"/>
    </row>
    <row r="2116" spans="1:2" x14ac:dyDescent="0.25">
      <c r="A2116" s="307"/>
      <c r="B2116" s="307"/>
    </row>
    <row r="2117" spans="1:2" x14ac:dyDescent="0.25">
      <c r="A2117" s="307"/>
      <c r="B2117" s="307"/>
    </row>
    <row r="2118" spans="1:2" x14ac:dyDescent="0.25">
      <c r="A2118" s="307"/>
      <c r="B2118" s="307"/>
    </row>
    <row r="2119" spans="1:2" x14ac:dyDescent="0.25">
      <c r="A2119" s="307"/>
      <c r="B2119" s="307"/>
    </row>
    <row r="2120" spans="1:2" x14ac:dyDescent="0.25">
      <c r="A2120" s="307"/>
      <c r="B2120" s="307"/>
    </row>
    <row r="2121" spans="1:2" x14ac:dyDescent="0.25">
      <c r="A2121" s="307"/>
      <c r="B2121" s="307"/>
    </row>
    <row r="2122" spans="1:2" x14ac:dyDescent="0.25">
      <c r="A2122" s="307"/>
      <c r="B2122" s="307"/>
    </row>
    <row r="2123" spans="1:2" x14ac:dyDescent="0.25">
      <c r="A2123" s="307"/>
      <c r="B2123" s="307"/>
    </row>
    <row r="2124" spans="1:2" x14ac:dyDescent="0.25">
      <c r="A2124" s="307"/>
      <c r="B2124" s="307"/>
    </row>
    <row r="2125" spans="1:2" x14ac:dyDescent="0.25">
      <c r="A2125" s="307"/>
      <c r="B2125" s="307"/>
    </row>
    <row r="2126" spans="1:2" x14ac:dyDescent="0.25">
      <c r="A2126" s="307"/>
      <c r="B2126" s="307"/>
    </row>
    <row r="2127" spans="1:2" x14ac:dyDescent="0.25">
      <c r="A2127" s="307"/>
      <c r="B2127" s="307"/>
    </row>
    <row r="2128" spans="1:2" x14ac:dyDescent="0.25">
      <c r="A2128" s="307"/>
      <c r="B2128" s="307"/>
    </row>
    <row r="2129" spans="1:2" x14ac:dyDescent="0.25">
      <c r="A2129" s="307"/>
      <c r="B2129" s="307"/>
    </row>
    <row r="2130" spans="1:2" x14ac:dyDescent="0.25">
      <c r="A2130" s="307"/>
      <c r="B2130" s="307"/>
    </row>
    <row r="2131" spans="1:2" x14ac:dyDescent="0.25">
      <c r="A2131" s="307"/>
      <c r="B2131" s="307"/>
    </row>
    <row r="2132" spans="1:2" x14ac:dyDescent="0.25">
      <c r="A2132" s="307"/>
      <c r="B2132" s="307"/>
    </row>
    <row r="2133" spans="1:2" x14ac:dyDescent="0.25">
      <c r="A2133" s="307"/>
      <c r="B2133" s="307"/>
    </row>
    <row r="2134" spans="1:2" x14ac:dyDescent="0.25">
      <c r="A2134" s="307"/>
      <c r="B2134" s="307"/>
    </row>
    <row r="2135" spans="1:2" x14ac:dyDescent="0.25">
      <c r="A2135" s="307"/>
      <c r="B2135" s="307"/>
    </row>
    <row r="2136" spans="1:2" x14ac:dyDescent="0.25">
      <c r="A2136" s="307"/>
      <c r="B2136" s="307"/>
    </row>
    <row r="2137" spans="1:2" x14ac:dyDescent="0.25">
      <c r="A2137" s="307"/>
      <c r="B2137" s="307"/>
    </row>
    <row r="2138" spans="1:2" x14ac:dyDescent="0.25">
      <c r="A2138" s="307"/>
      <c r="B2138" s="307"/>
    </row>
    <row r="2139" spans="1:2" x14ac:dyDescent="0.25">
      <c r="A2139" s="307"/>
      <c r="B2139" s="307"/>
    </row>
    <row r="2140" spans="1:2" x14ac:dyDescent="0.25">
      <c r="A2140" s="307"/>
      <c r="B2140" s="307"/>
    </row>
    <row r="2141" spans="1:2" x14ac:dyDescent="0.25">
      <c r="A2141" s="307"/>
      <c r="B2141" s="307"/>
    </row>
    <row r="2142" spans="1:2" x14ac:dyDescent="0.25">
      <c r="A2142" s="307"/>
      <c r="B2142" s="307"/>
    </row>
    <row r="2143" spans="1:2" x14ac:dyDescent="0.25">
      <c r="A2143" s="307"/>
      <c r="B2143" s="307"/>
    </row>
    <row r="2144" spans="1:2" x14ac:dyDescent="0.25">
      <c r="A2144" s="307"/>
      <c r="B2144" s="307"/>
    </row>
    <row r="2145" spans="1:2" x14ac:dyDescent="0.25">
      <c r="A2145" s="307"/>
      <c r="B2145" s="307"/>
    </row>
    <row r="2146" spans="1:2" x14ac:dyDescent="0.25">
      <c r="A2146" s="307"/>
      <c r="B2146" s="307"/>
    </row>
    <row r="2147" spans="1:2" x14ac:dyDescent="0.25">
      <c r="A2147" s="307"/>
      <c r="B2147" s="307"/>
    </row>
    <row r="2148" spans="1:2" x14ac:dyDescent="0.25">
      <c r="A2148" s="307"/>
      <c r="B2148" s="307"/>
    </row>
    <row r="2149" spans="1:2" x14ac:dyDescent="0.25">
      <c r="A2149" s="307"/>
      <c r="B2149" s="307"/>
    </row>
    <row r="2150" spans="1:2" x14ac:dyDescent="0.25">
      <c r="A2150" s="307"/>
      <c r="B2150" s="307"/>
    </row>
    <row r="2151" spans="1:2" x14ac:dyDescent="0.25">
      <c r="A2151" s="307"/>
      <c r="B2151" s="307"/>
    </row>
    <row r="2152" spans="1:2" x14ac:dyDescent="0.25">
      <c r="A2152" s="307"/>
      <c r="B2152" s="307"/>
    </row>
    <row r="2153" spans="1:2" x14ac:dyDescent="0.25">
      <c r="A2153" s="307"/>
      <c r="B2153" s="307"/>
    </row>
    <row r="2154" spans="1:2" x14ac:dyDescent="0.25">
      <c r="A2154" s="307"/>
      <c r="B2154" s="307"/>
    </row>
    <row r="2155" spans="1:2" x14ac:dyDescent="0.25">
      <c r="A2155" s="307"/>
      <c r="B2155" s="307"/>
    </row>
    <row r="2156" spans="1:2" x14ac:dyDescent="0.25">
      <c r="A2156" s="307"/>
      <c r="B2156" s="307"/>
    </row>
    <row r="2157" spans="1:2" x14ac:dyDescent="0.25">
      <c r="A2157" s="307"/>
      <c r="B2157" s="307"/>
    </row>
    <row r="2158" spans="1:2" x14ac:dyDescent="0.25">
      <c r="A2158" s="307"/>
      <c r="B2158" s="307"/>
    </row>
    <row r="2159" spans="1:2" x14ac:dyDescent="0.25">
      <c r="A2159" s="307"/>
      <c r="B2159" s="307"/>
    </row>
    <row r="2160" spans="1:2" x14ac:dyDescent="0.25">
      <c r="A2160" s="307"/>
      <c r="B2160" s="307"/>
    </row>
    <row r="2161" spans="1:2" x14ac:dyDescent="0.25">
      <c r="A2161" s="307"/>
      <c r="B2161" s="307"/>
    </row>
    <row r="2162" spans="1:2" x14ac:dyDescent="0.25">
      <c r="A2162" s="307"/>
      <c r="B2162" s="307"/>
    </row>
    <row r="2163" spans="1:2" x14ac:dyDescent="0.25">
      <c r="A2163" s="307"/>
      <c r="B2163" s="307"/>
    </row>
    <row r="2164" spans="1:2" x14ac:dyDescent="0.25">
      <c r="A2164" s="307"/>
      <c r="B2164" s="307"/>
    </row>
    <row r="2165" spans="1:2" x14ac:dyDescent="0.25">
      <c r="A2165" s="307"/>
      <c r="B2165" s="307"/>
    </row>
    <row r="2166" spans="1:2" x14ac:dyDescent="0.25">
      <c r="A2166" s="307"/>
      <c r="B2166" s="307"/>
    </row>
    <row r="2167" spans="1:2" x14ac:dyDescent="0.25">
      <c r="A2167" s="307"/>
      <c r="B2167" s="307"/>
    </row>
    <row r="2168" spans="1:2" x14ac:dyDescent="0.25">
      <c r="A2168" s="307"/>
      <c r="B2168" s="307"/>
    </row>
    <row r="2169" spans="1:2" x14ac:dyDescent="0.25">
      <c r="A2169" s="307"/>
      <c r="B2169" s="307"/>
    </row>
    <row r="2170" spans="1:2" x14ac:dyDescent="0.25">
      <c r="A2170" s="307"/>
      <c r="B2170" s="307"/>
    </row>
    <row r="2171" spans="1:2" x14ac:dyDescent="0.25">
      <c r="A2171" s="307"/>
      <c r="B2171" s="307"/>
    </row>
    <row r="2172" spans="1:2" x14ac:dyDescent="0.25">
      <c r="A2172" s="307"/>
      <c r="B2172" s="307"/>
    </row>
    <row r="2173" spans="1:2" x14ac:dyDescent="0.25">
      <c r="A2173" s="307"/>
      <c r="B2173" s="307"/>
    </row>
    <row r="2174" spans="1:2" x14ac:dyDescent="0.25">
      <c r="A2174" s="307"/>
      <c r="B2174" s="307"/>
    </row>
    <row r="2175" spans="1:2" x14ac:dyDescent="0.25">
      <c r="A2175" s="307"/>
      <c r="B2175" s="307"/>
    </row>
    <row r="2176" spans="1:2" x14ac:dyDescent="0.25">
      <c r="A2176" s="307"/>
      <c r="B2176" s="307"/>
    </row>
    <row r="2177" spans="1:2" x14ac:dyDescent="0.25">
      <c r="A2177" s="307"/>
      <c r="B2177" s="307"/>
    </row>
    <row r="2178" spans="1:2" x14ac:dyDescent="0.25">
      <c r="A2178" s="307"/>
      <c r="B2178" s="307"/>
    </row>
    <row r="2179" spans="1:2" x14ac:dyDescent="0.25">
      <c r="A2179" s="307"/>
      <c r="B2179" s="307"/>
    </row>
    <row r="2180" spans="1:2" x14ac:dyDescent="0.25">
      <c r="A2180" s="307"/>
      <c r="B2180" s="307"/>
    </row>
    <row r="2181" spans="1:2" x14ac:dyDescent="0.25">
      <c r="A2181" s="307"/>
      <c r="B2181" s="307"/>
    </row>
    <row r="2182" spans="1:2" x14ac:dyDescent="0.25">
      <c r="A2182" s="307"/>
      <c r="B2182" s="307"/>
    </row>
    <row r="2183" spans="1:2" x14ac:dyDescent="0.25">
      <c r="A2183" s="307"/>
      <c r="B2183" s="307"/>
    </row>
    <row r="2184" spans="1:2" x14ac:dyDescent="0.25">
      <c r="A2184" s="307"/>
      <c r="B2184" s="307"/>
    </row>
    <row r="2185" spans="1:2" x14ac:dyDescent="0.25">
      <c r="A2185" s="307"/>
      <c r="B2185" s="307"/>
    </row>
    <row r="2186" spans="1:2" x14ac:dyDescent="0.25">
      <c r="A2186" s="307"/>
      <c r="B2186" s="307"/>
    </row>
    <row r="2187" spans="1:2" x14ac:dyDescent="0.25">
      <c r="A2187" s="307"/>
      <c r="B2187" s="307"/>
    </row>
    <row r="2188" spans="1:2" x14ac:dyDescent="0.25">
      <c r="A2188" s="307"/>
      <c r="B2188" s="307"/>
    </row>
    <row r="2189" spans="1:2" x14ac:dyDescent="0.25">
      <c r="A2189" s="307"/>
      <c r="B2189" s="307"/>
    </row>
    <row r="2190" spans="1:2" x14ac:dyDescent="0.25">
      <c r="A2190" s="307"/>
      <c r="B2190" s="307"/>
    </row>
    <row r="2191" spans="1:2" x14ac:dyDescent="0.25">
      <c r="A2191" s="307"/>
      <c r="B2191" s="307"/>
    </row>
    <row r="2192" spans="1:2" x14ac:dyDescent="0.25">
      <c r="A2192" s="307"/>
      <c r="B2192" s="307"/>
    </row>
    <row r="2193" spans="1:2" x14ac:dyDescent="0.25">
      <c r="A2193" s="307"/>
      <c r="B2193" s="307"/>
    </row>
    <row r="2194" spans="1:2" x14ac:dyDescent="0.25">
      <c r="A2194" s="307"/>
      <c r="B2194" s="307"/>
    </row>
    <row r="2195" spans="1:2" x14ac:dyDescent="0.25">
      <c r="A2195" s="307"/>
      <c r="B2195" s="307"/>
    </row>
    <row r="2196" spans="1:2" x14ac:dyDescent="0.25">
      <c r="A2196" s="307"/>
      <c r="B2196" s="307"/>
    </row>
    <row r="2197" spans="1:2" x14ac:dyDescent="0.25">
      <c r="A2197" s="307"/>
      <c r="B2197" s="307"/>
    </row>
    <row r="2198" spans="1:2" x14ac:dyDescent="0.25">
      <c r="A2198" s="307"/>
      <c r="B2198" s="307"/>
    </row>
    <row r="2199" spans="1:2" x14ac:dyDescent="0.25">
      <c r="A2199" s="307"/>
      <c r="B2199" s="307"/>
    </row>
    <row r="2200" spans="1:2" x14ac:dyDescent="0.25">
      <c r="A2200" s="307"/>
      <c r="B2200" s="307"/>
    </row>
    <row r="2201" spans="1:2" x14ac:dyDescent="0.25">
      <c r="A2201" s="307"/>
      <c r="B2201" s="307"/>
    </row>
    <row r="2202" spans="1:2" x14ac:dyDescent="0.25">
      <c r="A2202" s="307"/>
      <c r="B2202" s="307"/>
    </row>
    <row r="2203" spans="1:2" x14ac:dyDescent="0.25">
      <c r="A2203" s="307"/>
      <c r="B2203" s="307"/>
    </row>
    <row r="2204" spans="1:2" x14ac:dyDescent="0.25">
      <c r="A2204" s="307"/>
      <c r="B2204" s="307"/>
    </row>
    <row r="2205" spans="1:2" x14ac:dyDescent="0.25">
      <c r="A2205" s="307"/>
      <c r="B2205" s="307"/>
    </row>
    <row r="2206" spans="1:2" x14ac:dyDescent="0.25">
      <c r="A2206" s="307"/>
      <c r="B2206" s="307"/>
    </row>
    <row r="2207" spans="1:2" x14ac:dyDescent="0.25">
      <c r="A2207" s="307"/>
      <c r="B2207" s="307"/>
    </row>
    <row r="2208" spans="1:2" x14ac:dyDescent="0.25">
      <c r="A2208" s="307"/>
      <c r="B2208" s="307"/>
    </row>
    <row r="2209" spans="1:2" x14ac:dyDescent="0.25">
      <c r="A2209" s="307"/>
      <c r="B2209" s="307"/>
    </row>
    <row r="2210" spans="1:2" x14ac:dyDescent="0.25">
      <c r="A2210" s="307"/>
      <c r="B2210" s="307"/>
    </row>
    <row r="2211" spans="1:2" x14ac:dyDescent="0.25">
      <c r="A2211" s="307"/>
      <c r="B2211" s="307"/>
    </row>
    <row r="2212" spans="1:2" x14ac:dyDescent="0.25">
      <c r="A2212" s="307"/>
      <c r="B2212" s="307"/>
    </row>
    <row r="2213" spans="1:2" x14ac:dyDescent="0.25">
      <c r="A2213" s="307"/>
      <c r="B2213" s="307"/>
    </row>
    <row r="2214" spans="1:2" x14ac:dyDescent="0.25">
      <c r="A2214" s="307"/>
      <c r="B2214" s="307"/>
    </row>
    <row r="2215" spans="1:2" x14ac:dyDescent="0.25">
      <c r="A2215" s="307"/>
      <c r="B2215" s="307"/>
    </row>
    <row r="2216" spans="1:2" x14ac:dyDescent="0.25">
      <c r="A2216" s="307"/>
      <c r="B2216" s="307"/>
    </row>
    <row r="2217" spans="1:2" x14ac:dyDescent="0.25">
      <c r="A2217" s="307"/>
      <c r="B2217" s="307"/>
    </row>
    <row r="2218" spans="1:2" x14ac:dyDescent="0.25">
      <c r="A2218" s="307"/>
      <c r="B2218" s="307"/>
    </row>
    <row r="2219" spans="1:2" x14ac:dyDescent="0.25">
      <c r="A2219" s="307"/>
      <c r="B2219" s="307"/>
    </row>
    <row r="2220" spans="1:2" x14ac:dyDescent="0.25">
      <c r="A2220" s="307"/>
      <c r="B2220" s="307"/>
    </row>
    <row r="2221" spans="1:2" x14ac:dyDescent="0.25">
      <c r="A2221" s="307"/>
      <c r="B2221" s="307"/>
    </row>
    <row r="2222" spans="1:2" x14ac:dyDescent="0.25">
      <c r="A2222" s="307"/>
      <c r="B2222" s="307"/>
    </row>
    <row r="2223" spans="1:2" x14ac:dyDescent="0.25">
      <c r="A2223" s="307"/>
      <c r="B2223" s="307"/>
    </row>
    <row r="2224" spans="1:2" x14ac:dyDescent="0.25">
      <c r="A2224" s="307"/>
      <c r="B2224" s="307"/>
    </row>
    <row r="2225" spans="1:2" x14ac:dyDescent="0.25">
      <c r="A2225" s="307"/>
      <c r="B2225" s="307"/>
    </row>
    <row r="2226" spans="1:2" x14ac:dyDescent="0.25">
      <c r="A2226" s="307"/>
      <c r="B2226" s="307"/>
    </row>
    <row r="2227" spans="1:2" x14ac:dyDescent="0.25">
      <c r="A2227" s="307"/>
      <c r="B2227" s="307"/>
    </row>
    <row r="2228" spans="1:2" x14ac:dyDescent="0.25">
      <c r="A2228" s="307"/>
      <c r="B2228" s="307"/>
    </row>
    <row r="2229" spans="1:2" x14ac:dyDescent="0.25">
      <c r="A2229" s="307"/>
      <c r="B2229" s="307"/>
    </row>
    <row r="2230" spans="1:2" x14ac:dyDescent="0.25">
      <c r="A2230" s="307"/>
      <c r="B2230" s="307"/>
    </row>
    <row r="2231" spans="1:2" x14ac:dyDescent="0.25">
      <c r="A2231" s="307"/>
      <c r="B2231" s="307"/>
    </row>
    <row r="2232" spans="1:2" x14ac:dyDescent="0.25">
      <c r="A2232" s="307"/>
      <c r="B2232" s="307"/>
    </row>
    <row r="2233" spans="1:2" x14ac:dyDescent="0.25">
      <c r="A2233" s="307"/>
      <c r="B2233" s="307"/>
    </row>
    <row r="2234" spans="1:2" x14ac:dyDescent="0.25">
      <c r="A2234" s="307"/>
      <c r="B2234" s="307"/>
    </row>
    <row r="2235" spans="1:2" x14ac:dyDescent="0.25">
      <c r="A2235" s="307"/>
      <c r="B2235" s="307"/>
    </row>
    <row r="2236" spans="1:2" x14ac:dyDescent="0.25">
      <c r="A2236" s="307"/>
      <c r="B2236" s="307"/>
    </row>
    <row r="2237" spans="1:2" x14ac:dyDescent="0.25">
      <c r="A2237" s="307"/>
      <c r="B2237" s="307"/>
    </row>
    <row r="2238" spans="1:2" x14ac:dyDescent="0.25">
      <c r="A2238" s="307"/>
      <c r="B2238" s="307"/>
    </row>
    <row r="2239" spans="1:2" x14ac:dyDescent="0.25">
      <c r="A2239" s="307"/>
      <c r="B2239" s="307"/>
    </row>
    <row r="2240" spans="1:2" x14ac:dyDescent="0.25">
      <c r="A2240" s="307"/>
      <c r="B2240" s="307"/>
    </row>
    <row r="2241" spans="1:2" x14ac:dyDescent="0.25">
      <c r="A2241" s="307"/>
      <c r="B2241" s="307"/>
    </row>
    <row r="2242" spans="1:2" x14ac:dyDescent="0.25">
      <c r="A2242" s="307"/>
      <c r="B2242" s="307"/>
    </row>
    <row r="2243" spans="1:2" x14ac:dyDescent="0.25">
      <c r="A2243" s="307"/>
      <c r="B2243" s="307"/>
    </row>
    <row r="2244" spans="1:2" x14ac:dyDescent="0.25">
      <c r="A2244" s="307"/>
      <c r="B2244" s="307"/>
    </row>
    <row r="2245" spans="1:2" x14ac:dyDescent="0.25">
      <c r="A2245" s="307"/>
      <c r="B2245" s="307"/>
    </row>
    <row r="2246" spans="1:2" x14ac:dyDescent="0.25">
      <c r="A2246" s="307"/>
      <c r="B2246" s="307"/>
    </row>
    <row r="2247" spans="1:2" x14ac:dyDescent="0.25">
      <c r="A2247" s="307"/>
      <c r="B2247" s="307"/>
    </row>
    <row r="2248" spans="1:2" x14ac:dyDescent="0.25">
      <c r="A2248" s="307"/>
      <c r="B2248" s="307"/>
    </row>
    <row r="2249" spans="1:2" x14ac:dyDescent="0.25">
      <c r="A2249" s="307"/>
      <c r="B2249" s="307"/>
    </row>
    <row r="2250" spans="1:2" x14ac:dyDescent="0.25">
      <c r="A2250" s="307"/>
      <c r="B2250" s="307"/>
    </row>
    <row r="2251" spans="1:2" x14ac:dyDescent="0.25">
      <c r="A2251" s="307"/>
      <c r="B2251" s="307"/>
    </row>
    <row r="2252" spans="1:2" x14ac:dyDescent="0.25">
      <c r="A2252" s="307"/>
      <c r="B2252" s="307"/>
    </row>
    <row r="2253" spans="1:2" x14ac:dyDescent="0.25">
      <c r="A2253" s="307"/>
      <c r="B2253" s="307"/>
    </row>
    <row r="2254" spans="1:2" x14ac:dyDescent="0.25">
      <c r="A2254" s="307"/>
      <c r="B2254" s="307"/>
    </row>
    <row r="2255" spans="1:2" x14ac:dyDescent="0.25">
      <c r="A2255" s="307"/>
      <c r="B2255" s="307"/>
    </row>
    <row r="2256" spans="1:2" x14ac:dyDescent="0.25">
      <c r="A2256" s="307"/>
      <c r="B2256" s="307"/>
    </row>
    <row r="2257" spans="1:2" x14ac:dyDescent="0.25">
      <c r="A2257" s="307"/>
      <c r="B2257" s="307"/>
    </row>
    <row r="2258" spans="1:2" x14ac:dyDescent="0.25">
      <c r="A2258" s="307"/>
      <c r="B2258" s="307"/>
    </row>
    <row r="2259" spans="1:2" x14ac:dyDescent="0.25">
      <c r="A2259" s="307"/>
      <c r="B2259" s="307"/>
    </row>
    <row r="2260" spans="1:2" x14ac:dyDescent="0.25">
      <c r="A2260" s="307"/>
      <c r="B2260" s="307"/>
    </row>
    <row r="2261" spans="1:2" x14ac:dyDescent="0.25">
      <c r="A2261" s="307"/>
      <c r="B2261" s="307"/>
    </row>
    <row r="2262" spans="1:2" x14ac:dyDescent="0.25">
      <c r="A2262" s="307"/>
      <c r="B2262" s="307"/>
    </row>
    <row r="2263" spans="1:2" x14ac:dyDescent="0.25">
      <c r="A2263" s="307"/>
      <c r="B2263" s="307"/>
    </row>
    <row r="2264" spans="1:2" x14ac:dyDescent="0.25">
      <c r="A2264" s="307"/>
      <c r="B2264" s="307"/>
    </row>
    <row r="2265" spans="1:2" x14ac:dyDescent="0.25">
      <c r="A2265" s="307"/>
      <c r="B2265" s="307"/>
    </row>
    <row r="2266" spans="1:2" x14ac:dyDescent="0.25">
      <c r="A2266" s="307"/>
      <c r="B2266" s="307"/>
    </row>
    <row r="2267" spans="1:2" x14ac:dyDescent="0.25">
      <c r="A2267" s="307"/>
      <c r="B2267" s="307"/>
    </row>
    <row r="2268" spans="1:2" x14ac:dyDescent="0.25">
      <c r="A2268" s="307"/>
      <c r="B2268" s="307"/>
    </row>
    <row r="2269" spans="1:2" x14ac:dyDescent="0.25">
      <c r="A2269" s="307"/>
      <c r="B2269" s="307"/>
    </row>
    <row r="2270" spans="1:2" x14ac:dyDescent="0.25">
      <c r="A2270" s="307"/>
      <c r="B2270" s="307"/>
    </row>
    <row r="2271" spans="1:2" x14ac:dyDescent="0.25">
      <c r="A2271" s="307"/>
      <c r="B2271" s="307"/>
    </row>
    <row r="2272" spans="1:2" x14ac:dyDescent="0.25">
      <c r="A2272" s="307"/>
      <c r="B2272" s="307"/>
    </row>
    <row r="2273" spans="1:2" x14ac:dyDescent="0.25">
      <c r="A2273" s="307"/>
      <c r="B2273" s="307"/>
    </row>
    <row r="2274" spans="1:2" x14ac:dyDescent="0.25">
      <c r="A2274" s="307"/>
      <c r="B2274" s="307"/>
    </row>
    <row r="2275" spans="1:2" x14ac:dyDescent="0.25">
      <c r="A2275" s="307"/>
      <c r="B2275" s="307"/>
    </row>
    <row r="2276" spans="1:2" x14ac:dyDescent="0.25">
      <c r="A2276" s="307"/>
      <c r="B2276" s="307"/>
    </row>
    <row r="2277" spans="1:2" x14ac:dyDescent="0.25">
      <c r="A2277" s="307"/>
      <c r="B2277" s="307"/>
    </row>
    <row r="2278" spans="1:2" x14ac:dyDescent="0.25">
      <c r="A2278" s="307"/>
      <c r="B2278" s="307"/>
    </row>
    <row r="2279" spans="1:2" x14ac:dyDescent="0.25">
      <c r="A2279" s="307"/>
      <c r="B2279" s="307"/>
    </row>
    <row r="2280" spans="1:2" x14ac:dyDescent="0.25">
      <c r="A2280" s="307"/>
      <c r="B2280" s="307"/>
    </row>
    <row r="2281" spans="1:2" x14ac:dyDescent="0.25">
      <c r="A2281" s="307"/>
      <c r="B2281" s="307"/>
    </row>
    <row r="2282" spans="1:2" x14ac:dyDescent="0.25">
      <c r="A2282" s="307"/>
      <c r="B2282" s="307"/>
    </row>
    <row r="2283" spans="1:2" x14ac:dyDescent="0.25">
      <c r="A2283" s="307"/>
      <c r="B2283" s="307"/>
    </row>
    <row r="2284" spans="1:2" x14ac:dyDescent="0.25">
      <c r="A2284" s="307"/>
      <c r="B2284" s="307"/>
    </row>
    <row r="2285" spans="1:2" x14ac:dyDescent="0.25">
      <c r="A2285" s="307"/>
      <c r="B2285" s="307"/>
    </row>
    <row r="2286" spans="1:2" x14ac:dyDescent="0.25">
      <c r="A2286" s="307"/>
      <c r="B2286" s="307"/>
    </row>
    <row r="2287" spans="1:2" x14ac:dyDescent="0.25">
      <c r="A2287" s="307"/>
      <c r="B2287" s="307"/>
    </row>
    <row r="2288" spans="1:2" x14ac:dyDescent="0.25">
      <c r="A2288" s="307"/>
      <c r="B2288" s="307"/>
    </row>
    <row r="2289" spans="1:2" x14ac:dyDescent="0.25">
      <c r="A2289" s="307"/>
      <c r="B2289" s="307"/>
    </row>
    <row r="2290" spans="1:2" x14ac:dyDescent="0.25">
      <c r="A2290" s="307"/>
      <c r="B2290" s="307"/>
    </row>
    <row r="2291" spans="1:2" x14ac:dyDescent="0.25">
      <c r="A2291" s="307"/>
      <c r="B2291" s="307"/>
    </row>
    <row r="2292" spans="1:2" x14ac:dyDescent="0.25">
      <c r="A2292" s="307"/>
      <c r="B2292" s="307"/>
    </row>
    <row r="2293" spans="1:2" x14ac:dyDescent="0.25">
      <c r="A2293" s="307"/>
      <c r="B2293" s="307"/>
    </row>
    <row r="2294" spans="1:2" x14ac:dyDescent="0.25">
      <c r="A2294" s="307"/>
      <c r="B2294" s="307"/>
    </row>
    <row r="2295" spans="1:2" x14ac:dyDescent="0.25">
      <c r="A2295" s="307"/>
      <c r="B2295" s="307"/>
    </row>
    <row r="2296" spans="1:2" x14ac:dyDescent="0.25">
      <c r="A2296" s="307"/>
      <c r="B2296" s="307"/>
    </row>
    <row r="2297" spans="1:2" x14ac:dyDescent="0.25">
      <c r="A2297" s="307"/>
      <c r="B2297" s="307"/>
    </row>
    <row r="2298" spans="1:2" x14ac:dyDescent="0.25">
      <c r="A2298" s="307"/>
      <c r="B2298" s="307"/>
    </row>
    <row r="2299" spans="1:2" x14ac:dyDescent="0.25">
      <c r="A2299" s="307"/>
      <c r="B2299" s="307"/>
    </row>
    <row r="2300" spans="1:2" x14ac:dyDescent="0.25">
      <c r="A2300" s="307"/>
      <c r="B2300" s="307"/>
    </row>
    <row r="2301" spans="1:2" x14ac:dyDescent="0.25">
      <c r="A2301" s="307"/>
      <c r="B2301" s="307"/>
    </row>
    <row r="2302" spans="1:2" x14ac:dyDescent="0.25">
      <c r="A2302" s="307"/>
      <c r="B2302" s="307"/>
    </row>
    <row r="2303" spans="1:2" x14ac:dyDescent="0.25">
      <c r="A2303" s="307"/>
      <c r="B2303" s="307"/>
    </row>
    <row r="2304" spans="1:2" x14ac:dyDescent="0.25">
      <c r="A2304" s="307"/>
      <c r="B2304" s="307"/>
    </row>
    <row r="2305" spans="1:2" x14ac:dyDescent="0.25">
      <c r="A2305" s="307"/>
      <c r="B2305" s="307"/>
    </row>
    <row r="2306" spans="1:2" x14ac:dyDescent="0.25">
      <c r="A2306" s="307"/>
      <c r="B2306" s="307"/>
    </row>
    <row r="2307" spans="1:2" x14ac:dyDescent="0.25">
      <c r="A2307" s="307"/>
      <c r="B2307" s="307"/>
    </row>
    <row r="2308" spans="1:2" x14ac:dyDescent="0.25">
      <c r="A2308" s="307"/>
      <c r="B2308" s="307"/>
    </row>
    <row r="2309" spans="1:2" x14ac:dyDescent="0.25">
      <c r="A2309" s="307"/>
      <c r="B2309" s="307"/>
    </row>
    <row r="2310" spans="1:2" x14ac:dyDescent="0.25">
      <c r="A2310" s="307"/>
      <c r="B2310" s="307"/>
    </row>
    <row r="2311" spans="1:2" x14ac:dyDescent="0.25">
      <c r="A2311" s="307"/>
      <c r="B2311" s="307"/>
    </row>
    <row r="2312" spans="1:2" x14ac:dyDescent="0.25">
      <c r="A2312" s="307"/>
      <c r="B2312" s="307"/>
    </row>
    <row r="2313" spans="1:2" x14ac:dyDescent="0.25">
      <c r="A2313" s="307"/>
      <c r="B2313" s="307"/>
    </row>
    <row r="2314" spans="1:2" x14ac:dyDescent="0.25">
      <c r="A2314" s="307"/>
      <c r="B2314" s="307"/>
    </row>
    <row r="2315" spans="1:2" x14ac:dyDescent="0.25">
      <c r="A2315" s="307"/>
      <c r="B2315" s="307"/>
    </row>
    <row r="2316" spans="1:2" x14ac:dyDescent="0.25">
      <c r="A2316" s="307"/>
      <c r="B2316" s="307"/>
    </row>
    <row r="2317" spans="1:2" x14ac:dyDescent="0.25">
      <c r="A2317" s="307"/>
      <c r="B2317" s="307"/>
    </row>
    <row r="2318" spans="1:2" x14ac:dyDescent="0.25">
      <c r="A2318" s="307"/>
      <c r="B2318" s="307"/>
    </row>
    <row r="2319" spans="1:2" x14ac:dyDescent="0.25">
      <c r="A2319" s="307"/>
      <c r="B2319" s="307"/>
    </row>
    <row r="2320" spans="1:2" x14ac:dyDescent="0.25">
      <c r="A2320" s="307"/>
      <c r="B2320" s="307"/>
    </row>
    <row r="2321" spans="1:2" x14ac:dyDescent="0.25">
      <c r="A2321" s="307"/>
      <c r="B2321" s="307"/>
    </row>
    <row r="2322" spans="1:2" x14ac:dyDescent="0.25">
      <c r="A2322" s="307"/>
      <c r="B2322" s="307"/>
    </row>
    <row r="2323" spans="1:2" x14ac:dyDescent="0.25">
      <c r="A2323" s="307"/>
      <c r="B2323" s="307"/>
    </row>
    <row r="2324" spans="1:2" x14ac:dyDescent="0.25">
      <c r="A2324" s="307"/>
      <c r="B2324" s="307"/>
    </row>
    <row r="2325" spans="1:2" x14ac:dyDescent="0.25">
      <c r="A2325" s="307"/>
      <c r="B2325" s="307"/>
    </row>
    <row r="2326" spans="1:2" x14ac:dyDescent="0.25">
      <c r="A2326" s="307"/>
      <c r="B2326" s="307"/>
    </row>
    <row r="2327" spans="1:2" x14ac:dyDescent="0.25">
      <c r="A2327" s="307"/>
      <c r="B2327" s="307"/>
    </row>
    <row r="2328" spans="1:2" x14ac:dyDescent="0.25">
      <c r="A2328" s="307"/>
      <c r="B2328" s="307"/>
    </row>
    <row r="2329" spans="1:2" x14ac:dyDescent="0.25">
      <c r="A2329" s="307"/>
      <c r="B2329" s="307"/>
    </row>
    <row r="2330" spans="1:2" x14ac:dyDescent="0.25">
      <c r="A2330" s="307"/>
      <c r="B2330" s="307"/>
    </row>
    <row r="2331" spans="1:2" x14ac:dyDescent="0.25">
      <c r="A2331" s="307"/>
      <c r="B2331" s="307"/>
    </row>
    <row r="2332" spans="1:2" x14ac:dyDescent="0.25">
      <c r="A2332" s="307"/>
      <c r="B2332" s="307"/>
    </row>
    <row r="2333" spans="1:2" x14ac:dyDescent="0.25">
      <c r="A2333" s="307"/>
      <c r="B2333" s="307"/>
    </row>
    <row r="2334" spans="1:2" x14ac:dyDescent="0.25">
      <c r="A2334" s="307"/>
      <c r="B2334" s="307"/>
    </row>
    <row r="2335" spans="1:2" x14ac:dyDescent="0.25">
      <c r="A2335" s="307"/>
      <c r="B2335" s="307"/>
    </row>
    <row r="2336" spans="1:2" x14ac:dyDescent="0.25">
      <c r="A2336" s="307"/>
      <c r="B2336" s="307"/>
    </row>
    <row r="2337" spans="1:2" x14ac:dyDescent="0.25">
      <c r="A2337" s="307"/>
      <c r="B2337" s="307"/>
    </row>
    <row r="2338" spans="1:2" x14ac:dyDescent="0.25">
      <c r="A2338" s="307"/>
      <c r="B2338" s="307"/>
    </row>
    <row r="2339" spans="1:2" x14ac:dyDescent="0.25">
      <c r="A2339" s="307"/>
      <c r="B2339" s="307"/>
    </row>
    <row r="2340" spans="1:2" x14ac:dyDescent="0.25">
      <c r="A2340" s="307"/>
      <c r="B2340" s="307"/>
    </row>
    <row r="2341" spans="1:2" x14ac:dyDescent="0.25">
      <c r="A2341" s="307"/>
      <c r="B2341" s="307"/>
    </row>
    <row r="2342" spans="1:2" x14ac:dyDescent="0.25">
      <c r="A2342" s="307"/>
      <c r="B2342" s="307"/>
    </row>
    <row r="2343" spans="1:2" x14ac:dyDescent="0.25">
      <c r="A2343" s="307"/>
      <c r="B2343" s="307"/>
    </row>
    <row r="2344" spans="1:2" x14ac:dyDescent="0.25">
      <c r="A2344" s="307"/>
      <c r="B2344" s="307"/>
    </row>
    <row r="2345" spans="1:2" x14ac:dyDescent="0.25">
      <c r="A2345" s="307"/>
      <c r="B2345" s="307"/>
    </row>
    <row r="2346" spans="1:2" x14ac:dyDescent="0.25">
      <c r="A2346" s="307"/>
      <c r="B2346" s="307"/>
    </row>
    <row r="2347" spans="1:2" x14ac:dyDescent="0.25">
      <c r="A2347" s="307"/>
      <c r="B2347" s="307"/>
    </row>
    <row r="2348" spans="1:2" x14ac:dyDescent="0.25">
      <c r="A2348" s="307"/>
      <c r="B2348" s="307"/>
    </row>
    <row r="2349" spans="1:2" x14ac:dyDescent="0.25">
      <c r="A2349" s="307"/>
      <c r="B2349" s="307"/>
    </row>
    <row r="2350" spans="1:2" x14ac:dyDescent="0.25">
      <c r="A2350" s="307"/>
      <c r="B2350" s="307"/>
    </row>
    <row r="2351" spans="1:2" x14ac:dyDescent="0.25">
      <c r="A2351" s="307"/>
      <c r="B2351" s="307"/>
    </row>
    <row r="2352" spans="1:2" x14ac:dyDescent="0.25">
      <c r="A2352" s="307"/>
      <c r="B2352" s="307"/>
    </row>
    <row r="2353" spans="1:2" x14ac:dyDescent="0.25">
      <c r="A2353" s="307"/>
      <c r="B2353" s="307"/>
    </row>
    <row r="2354" spans="1:2" x14ac:dyDescent="0.25">
      <c r="A2354" s="307"/>
      <c r="B2354" s="307"/>
    </row>
    <row r="2355" spans="1:2" x14ac:dyDescent="0.25">
      <c r="A2355" s="307"/>
      <c r="B2355" s="307"/>
    </row>
    <row r="2356" spans="1:2" x14ac:dyDescent="0.25">
      <c r="A2356" s="307"/>
      <c r="B2356" s="307"/>
    </row>
    <row r="2357" spans="1:2" x14ac:dyDescent="0.25">
      <c r="A2357" s="307"/>
      <c r="B2357" s="307"/>
    </row>
    <row r="2358" spans="1:2" x14ac:dyDescent="0.25">
      <c r="A2358" s="307"/>
      <c r="B2358" s="307"/>
    </row>
    <row r="2359" spans="1:2" x14ac:dyDescent="0.25">
      <c r="A2359" s="307"/>
      <c r="B2359" s="307"/>
    </row>
    <row r="2360" spans="1:2" x14ac:dyDescent="0.25">
      <c r="A2360" s="307"/>
      <c r="B2360" s="307"/>
    </row>
    <row r="2361" spans="1:2" x14ac:dyDescent="0.25">
      <c r="A2361" s="307"/>
      <c r="B2361" s="307"/>
    </row>
    <row r="2362" spans="1:2" x14ac:dyDescent="0.25">
      <c r="A2362" s="307"/>
      <c r="B2362" s="307"/>
    </row>
    <row r="2363" spans="1:2" x14ac:dyDescent="0.25">
      <c r="A2363" s="307"/>
      <c r="B2363" s="307"/>
    </row>
    <row r="2364" spans="1:2" x14ac:dyDescent="0.25">
      <c r="A2364" s="307"/>
      <c r="B2364" s="307"/>
    </row>
    <row r="2365" spans="1:2" x14ac:dyDescent="0.25">
      <c r="A2365" s="307"/>
      <c r="B2365" s="307"/>
    </row>
    <row r="2366" spans="1:2" x14ac:dyDescent="0.25">
      <c r="A2366" s="307"/>
      <c r="B2366" s="307"/>
    </row>
    <row r="2367" spans="1:2" x14ac:dyDescent="0.25">
      <c r="A2367" s="307"/>
      <c r="B2367" s="307"/>
    </row>
    <row r="2368" spans="1:2" x14ac:dyDescent="0.25">
      <c r="A2368" s="307"/>
      <c r="B2368" s="307"/>
    </row>
    <row r="2369" spans="1:2" x14ac:dyDescent="0.25">
      <c r="A2369" s="307"/>
      <c r="B2369" s="307"/>
    </row>
    <row r="2370" spans="1:2" x14ac:dyDescent="0.25">
      <c r="A2370" s="307"/>
      <c r="B2370" s="307"/>
    </row>
    <row r="2371" spans="1:2" x14ac:dyDescent="0.25">
      <c r="A2371" s="307"/>
      <c r="B2371" s="307"/>
    </row>
    <row r="2372" spans="1:2" x14ac:dyDescent="0.25">
      <c r="A2372" s="307"/>
      <c r="B2372" s="307"/>
    </row>
    <row r="2373" spans="1:2" x14ac:dyDescent="0.25">
      <c r="A2373" s="307"/>
      <c r="B2373" s="307"/>
    </row>
    <row r="2374" spans="1:2" x14ac:dyDescent="0.25">
      <c r="A2374" s="307"/>
      <c r="B2374" s="307"/>
    </row>
    <row r="2375" spans="1:2" x14ac:dyDescent="0.25">
      <c r="A2375" s="307"/>
      <c r="B2375" s="307"/>
    </row>
    <row r="2376" spans="1:2" x14ac:dyDescent="0.25">
      <c r="A2376" s="307"/>
      <c r="B2376" s="307"/>
    </row>
    <row r="2377" spans="1:2" x14ac:dyDescent="0.25">
      <c r="A2377" s="307"/>
      <c r="B2377" s="307"/>
    </row>
    <row r="2378" spans="1:2" x14ac:dyDescent="0.25">
      <c r="A2378" s="307"/>
      <c r="B2378" s="307"/>
    </row>
    <row r="2379" spans="1:2" x14ac:dyDescent="0.25">
      <c r="A2379" s="307"/>
      <c r="B2379" s="307"/>
    </row>
    <row r="2380" spans="1:2" x14ac:dyDescent="0.25">
      <c r="A2380" s="307"/>
      <c r="B2380" s="307"/>
    </row>
    <row r="2381" spans="1:2" x14ac:dyDescent="0.25">
      <c r="A2381" s="307"/>
      <c r="B2381" s="307"/>
    </row>
    <row r="2382" spans="1:2" x14ac:dyDescent="0.25">
      <c r="A2382" s="307"/>
      <c r="B2382" s="307"/>
    </row>
    <row r="2383" spans="1:2" x14ac:dyDescent="0.25">
      <c r="A2383" s="307"/>
      <c r="B2383" s="307"/>
    </row>
    <row r="2384" spans="1:2" x14ac:dyDescent="0.25">
      <c r="A2384" s="307"/>
      <c r="B2384" s="307"/>
    </row>
    <row r="2385" spans="1:2" x14ac:dyDescent="0.25">
      <c r="A2385" s="307"/>
      <c r="B2385" s="307"/>
    </row>
    <row r="2386" spans="1:2" x14ac:dyDescent="0.25">
      <c r="A2386" s="307"/>
      <c r="B2386" s="307"/>
    </row>
    <row r="2387" spans="1:2" x14ac:dyDescent="0.25">
      <c r="A2387" s="307"/>
      <c r="B2387" s="307"/>
    </row>
    <row r="2388" spans="1:2" x14ac:dyDescent="0.25">
      <c r="A2388" s="307"/>
      <c r="B2388" s="307"/>
    </row>
    <row r="2389" spans="1:2" x14ac:dyDescent="0.25">
      <c r="A2389" s="307"/>
      <c r="B2389" s="307"/>
    </row>
    <row r="2390" spans="1:2" x14ac:dyDescent="0.25">
      <c r="A2390" s="307"/>
      <c r="B2390" s="307"/>
    </row>
    <row r="2391" spans="1:2" x14ac:dyDescent="0.25">
      <c r="A2391" s="307"/>
      <c r="B2391" s="307"/>
    </row>
    <row r="2392" spans="1:2" x14ac:dyDescent="0.25">
      <c r="A2392" s="307"/>
      <c r="B2392" s="307"/>
    </row>
    <row r="2393" spans="1:2" x14ac:dyDescent="0.25">
      <c r="A2393" s="307"/>
      <c r="B2393" s="307"/>
    </row>
    <row r="2394" spans="1:2" x14ac:dyDescent="0.25">
      <c r="A2394" s="307"/>
      <c r="B2394" s="307"/>
    </row>
    <row r="2395" spans="1:2" x14ac:dyDescent="0.25">
      <c r="A2395" s="307"/>
      <c r="B2395" s="307"/>
    </row>
    <row r="2396" spans="1:2" x14ac:dyDescent="0.25">
      <c r="A2396" s="307"/>
      <c r="B2396" s="307"/>
    </row>
    <row r="2397" spans="1:2" x14ac:dyDescent="0.25">
      <c r="A2397" s="307"/>
      <c r="B2397" s="307"/>
    </row>
    <row r="2398" spans="1:2" x14ac:dyDescent="0.25">
      <c r="A2398" s="307"/>
      <c r="B2398" s="307"/>
    </row>
    <row r="2399" spans="1:2" x14ac:dyDescent="0.25">
      <c r="A2399" s="307"/>
      <c r="B2399" s="307"/>
    </row>
    <row r="2400" spans="1:2" x14ac:dyDescent="0.25">
      <c r="A2400" s="307"/>
      <c r="B2400" s="307"/>
    </row>
    <row r="2401" spans="1:2" x14ac:dyDescent="0.25">
      <c r="A2401" s="307"/>
      <c r="B2401" s="307"/>
    </row>
    <row r="2402" spans="1:2" x14ac:dyDescent="0.25">
      <c r="A2402" s="307"/>
      <c r="B2402" s="307"/>
    </row>
    <row r="2403" spans="1:2" x14ac:dyDescent="0.25">
      <c r="A2403" s="307"/>
      <c r="B2403" s="307"/>
    </row>
    <row r="2404" spans="1:2" x14ac:dyDescent="0.25">
      <c r="A2404" s="307"/>
      <c r="B2404" s="307"/>
    </row>
    <row r="2405" spans="1:2" x14ac:dyDescent="0.25">
      <c r="A2405" s="307"/>
      <c r="B2405" s="307"/>
    </row>
    <row r="2406" spans="1:2" x14ac:dyDescent="0.25">
      <c r="A2406" s="307"/>
      <c r="B2406" s="307"/>
    </row>
    <row r="2407" spans="1:2" x14ac:dyDescent="0.25">
      <c r="A2407" s="307"/>
      <c r="B2407" s="307"/>
    </row>
    <row r="2408" spans="1:2" x14ac:dyDescent="0.25">
      <c r="A2408" s="307"/>
      <c r="B2408" s="307"/>
    </row>
    <row r="2409" spans="1:2" x14ac:dyDescent="0.25">
      <c r="A2409" s="307"/>
      <c r="B2409" s="307"/>
    </row>
    <row r="2410" spans="1:2" x14ac:dyDescent="0.25">
      <c r="A2410" s="307"/>
      <c r="B2410" s="307"/>
    </row>
    <row r="2411" spans="1:2" x14ac:dyDescent="0.25">
      <c r="A2411" s="307"/>
      <c r="B2411" s="307"/>
    </row>
    <row r="2412" spans="1:2" x14ac:dyDescent="0.25">
      <c r="A2412" s="307"/>
      <c r="B2412" s="307"/>
    </row>
    <row r="2413" spans="1:2" x14ac:dyDescent="0.25">
      <c r="A2413" s="307"/>
      <c r="B2413" s="307"/>
    </row>
    <row r="2414" spans="1:2" x14ac:dyDescent="0.25">
      <c r="A2414" s="307"/>
      <c r="B2414" s="307"/>
    </row>
    <row r="2415" spans="1:2" x14ac:dyDescent="0.25">
      <c r="A2415" s="307"/>
      <c r="B2415" s="307"/>
    </row>
    <row r="2416" spans="1:2" x14ac:dyDescent="0.25">
      <c r="A2416" s="307"/>
      <c r="B2416" s="307"/>
    </row>
    <row r="2417" spans="1:2" x14ac:dyDescent="0.25">
      <c r="A2417" s="307"/>
      <c r="B2417" s="307"/>
    </row>
    <row r="2418" spans="1:2" x14ac:dyDescent="0.25">
      <c r="A2418" s="307"/>
      <c r="B2418" s="307"/>
    </row>
    <row r="2419" spans="1:2" x14ac:dyDescent="0.25">
      <c r="A2419" s="307"/>
      <c r="B2419" s="307"/>
    </row>
    <row r="2420" spans="1:2" x14ac:dyDescent="0.25">
      <c r="A2420" s="307"/>
      <c r="B2420" s="307"/>
    </row>
    <row r="2421" spans="1:2" x14ac:dyDescent="0.25">
      <c r="A2421" s="307"/>
      <c r="B2421" s="307"/>
    </row>
    <row r="2422" spans="1:2" x14ac:dyDescent="0.25">
      <c r="A2422" s="307"/>
      <c r="B2422" s="307"/>
    </row>
    <row r="2423" spans="1:2" x14ac:dyDescent="0.25">
      <c r="A2423" s="307"/>
      <c r="B2423" s="307"/>
    </row>
    <row r="2424" spans="1:2" x14ac:dyDescent="0.25">
      <c r="A2424" s="307"/>
      <c r="B2424" s="307"/>
    </row>
    <row r="2425" spans="1:2" x14ac:dyDescent="0.25">
      <c r="A2425" s="307"/>
      <c r="B2425" s="307"/>
    </row>
    <row r="2426" spans="1:2" x14ac:dyDescent="0.25">
      <c r="A2426" s="307"/>
      <c r="B2426" s="307"/>
    </row>
    <row r="2427" spans="1:2" x14ac:dyDescent="0.25">
      <c r="A2427" s="307"/>
      <c r="B2427" s="307"/>
    </row>
    <row r="2428" spans="1:2" x14ac:dyDescent="0.25">
      <c r="A2428" s="307"/>
      <c r="B2428" s="307"/>
    </row>
    <row r="2429" spans="1:2" x14ac:dyDescent="0.25">
      <c r="A2429" s="307"/>
      <c r="B2429" s="307"/>
    </row>
    <row r="2430" spans="1:2" x14ac:dyDescent="0.25">
      <c r="A2430" s="307"/>
      <c r="B2430" s="307"/>
    </row>
    <row r="2431" spans="1:2" x14ac:dyDescent="0.25">
      <c r="A2431" s="307"/>
      <c r="B2431" s="307"/>
    </row>
    <row r="2432" spans="1:2" x14ac:dyDescent="0.25">
      <c r="A2432" s="307"/>
      <c r="B2432" s="307"/>
    </row>
    <row r="2433" spans="1:2" x14ac:dyDescent="0.25">
      <c r="A2433" s="307"/>
      <c r="B2433" s="307"/>
    </row>
    <row r="2434" spans="1:2" x14ac:dyDescent="0.25">
      <c r="A2434" s="307"/>
      <c r="B2434" s="307"/>
    </row>
    <row r="2435" spans="1:2" x14ac:dyDescent="0.25">
      <c r="A2435" s="307"/>
      <c r="B2435" s="307"/>
    </row>
    <row r="2436" spans="1:2" x14ac:dyDescent="0.25">
      <c r="A2436" s="307"/>
      <c r="B2436" s="307"/>
    </row>
    <row r="2437" spans="1:2" x14ac:dyDescent="0.25">
      <c r="A2437" s="307"/>
      <c r="B2437" s="307"/>
    </row>
    <row r="2438" spans="1:2" x14ac:dyDescent="0.25">
      <c r="A2438" s="307"/>
      <c r="B2438" s="307"/>
    </row>
    <row r="2439" spans="1:2" x14ac:dyDescent="0.25">
      <c r="A2439" s="307"/>
      <c r="B2439" s="307"/>
    </row>
    <row r="2440" spans="1:2" x14ac:dyDescent="0.25">
      <c r="A2440" s="307"/>
      <c r="B2440" s="307"/>
    </row>
    <row r="2441" spans="1:2" x14ac:dyDescent="0.25">
      <c r="A2441" s="307"/>
      <c r="B2441" s="307"/>
    </row>
    <row r="2442" spans="1:2" x14ac:dyDescent="0.25">
      <c r="A2442" s="307"/>
      <c r="B2442" s="307"/>
    </row>
    <row r="2443" spans="1:2" x14ac:dyDescent="0.25">
      <c r="A2443" s="307"/>
      <c r="B2443" s="307"/>
    </row>
    <row r="2444" spans="1:2" x14ac:dyDescent="0.25">
      <c r="A2444" s="307"/>
      <c r="B2444" s="307"/>
    </row>
    <row r="2445" spans="1:2" x14ac:dyDescent="0.25">
      <c r="A2445" s="307"/>
      <c r="B2445" s="307"/>
    </row>
    <row r="2446" spans="1:2" x14ac:dyDescent="0.25">
      <c r="A2446" s="307"/>
      <c r="B2446" s="307"/>
    </row>
    <row r="2447" spans="1:2" x14ac:dyDescent="0.25">
      <c r="A2447" s="307"/>
      <c r="B2447" s="307"/>
    </row>
    <row r="2448" spans="1:2" x14ac:dyDescent="0.25">
      <c r="A2448" s="307"/>
      <c r="B2448" s="307"/>
    </row>
    <row r="2449" spans="1:2" x14ac:dyDescent="0.25">
      <c r="A2449" s="307"/>
      <c r="B2449" s="307"/>
    </row>
    <row r="2450" spans="1:2" x14ac:dyDescent="0.25">
      <c r="A2450" s="307"/>
      <c r="B2450" s="307"/>
    </row>
    <row r="2451" spans="1:2" x14ac:dyDescent="0.25">
      <c r="A2451" s="307"/>
      <c r="B2451" s="307"/>
    </row>
    <row r="2452" spans="1:2" x14ac:dyDescent="0.25">
      <c r="A2452" s="307"/>
      <c r="B2452" s="307"/>
    </row>
    <row r="2453" spans="1:2" x14ac:dyDescent="0.25">
      <c r="A2453" s="307"/>
      <c r="B2453" s="307"/>
    </row>
    <row r="2454" spans="1:2" x14ac:dyDescent="0.25">
      <c r="A2454" s="307"/>
      <c r="B2454" s="307"/>
    </row>
    <row r="2455" spans="1:2" x14ac:dyDescent="0.25">
      <c r="A2455" s="307"/>
      <c r="B2455" s="307"/>
    </row>
    <row r="2456" spans="1:2" x14ac:dyDescent="0.25">
      <c r="A2456" s="307"/>
      <c r="B2456" s="307"/>
    </row>
    <row r="2457" spans="1:2" x14ac:dyDescent="0.25">
      <c r="A2457" s="307"/>
      <c r="B2457" s="307"/>
    </row>
    <row r="2458" spans="1:2" x14ac:dyDescent="0.25">
      <c r="A2458" s="307"/>
      <c r="B2458" s="307"/>
    </row>
    <row r="2459" spans="1:2" x14ac:dyDescent="0.25">
      <c r="A2459" s="307"/>
      <c r="B2459" s="307"/>
    </row>
    <row r="2460" spans="1:2" x14ac:dyDescent="0.25">
      <c r="A2460" s="307"/>
      <c r="B2460" s="307"/>
    </row>
    <row r="2461" spans="1:2" x14ac:dyDescent="0.25">
      <c r="A2461" s="307"/>
      <c r="B2461" s="307"/>
    </row>
    <row r="2462" spans="1:2" x14ac:dyDescent="0.25">
      <c r="A2462" s="307"/>
      <c r="B2462" s="307"/>
    </row>
    <row r="2463" spans="1:2" x14ac:dyDescent="0.25">
      <c r="A2463" s="307"/>
      <c r="B2463" s="307"/>
    </row>
    <row r="2464" spans="1:2" x14ac:dyDescent="0.25">
      <c r="A2464" s="307"/>
      <c r="B2464" s="307"/>
    </row>
    <row r="2465" spans="1:2" x14ac:dyDescent="0.25">
      <c r="A2465" s="307"/>
      <c r="B2465" s="307"/>
    </row>
    <row r="2466" spans="1:2" x14ac:dyDescent="0.25">
      <c r="A2466" s="307"/>
      <c r="B2466" s="307"/>
    </row>
    <row r="2467" spans="1:2" x14ac:dyDescent="0.25">
      <c r="A2467" s="307"/>
      <c r="B2467" s="307"/>
    </row>
    <row r="2468" spans="1:2" x14ac:dyDescent="0.25">
      <c r="A2468" s="307"/>
      <c r="B2468" s="307"/>
    </row>
    <row r="2469" spans="1:2" x14ac:dyDescent="0.25">
      <c r="A2469" s="307"/>
      <c r="B2469" s="307"/>
    </row>
    <row r="2470" spans="1:2" x14ac:dyDescent="0.25">
      <c r="A2470" s="307"/>
      <c r="B2470" s="307"/>
    </row>
    <row r="2471" spans="1:2" x14ac:dyDescent="0.25">
      <c r="A2471" s="307"/>
      <c r="B2471" s="307"/>
    </row>
    <row r="2472" spans="1:2" x14ac:dyDescent="0.25">
      <c r="A2472" s="307"/>
      <c r="B2472" s="307"/>
    </row>
    <row r="2473" spans="1:2" x14ac:dyDescent="0.25">
      <c r="A2473" s="307"/>
      <c r="B2473" s="307"/>
    </row>
    <row r="2474" spans="1:2" x14ac:dyDescent="0.25">
      <c r="A2474" s="307"/>
      <c r="B2474" s="307"/>
    </row>
    <row r="2475" spans="1:2" x14ac:dyDescent="0.25">
      <c r="A2475" s="307"/>
      <c r="B2475" s="307"/>
    </row>
    <row r="2476" spans="1:2" x14ac:dyDescent="0.25">
      <c r="A2476" s="307"/>
      <c r="B2476" s="307"/>
    </row>
    <row r="2477" spans="1:2" x14ac:dyDescent="0.25">
      <c r="A2477" s="307"/>
      <c r="B2477" s="307"/>
    </row>
    <row r="2478" spans="1:2" x14ac:dyDescent="0.25">
      <c r="A2478" s="307"/>
      <c r="B2478" s="307"/>
    </row>
    <row r="2479" spans="1:2" x14ac:dyDescent="0.25">
      <c r="A2479" s="307"/>
      <c r="B2479" s="307"/>
    </row>
    <row r="2480" spans="1:2" x14ac:dyDescent="0.25">
      <c r="A2480" s="307"/>
      <c r="B2480" s="307"/>
    </row>
    <row r="2481" spans="1:2" x14ac:dyDescent="0.25">
      <c r="A2481" s="307"/>
      <c r="B2481" s="307"/>
    </row>
    <row r="2482" spans="1:2" x14ac:dyDescent="0.25">
      <c r="A2482" s="307"/>
      <c r="B2482" s="307"/>
    </row>
    <row r="2483" spans="1:2" x14ac:dyDescent="0.25">
      <c r="A2483" s="307"/>
      <c r="B2483" s="307"/>
    </row>
    <row r="2484" spans="1:2" x14ac:dyDescent="0.25">
      <c r="A2484" s="307"/>
      <c r="B2484" s="307"/>
    </row>
    <row r="2485" spans="1:2" x14ac:dyDescent="0.25">
      <c r="A2485" s="307"/>
      <c r="B2485" s="307"/>
    </row>
    <row r="2486" spans="1:2" x14ac:dyDescent="0.25">
      <c r="A2486" s="307"/>
      <c r="B2486" s="307"/>
    </row>
    <row r="2487" spans="1:2" x14ac:dyDescent="0.25">
      <c r="A2487" s="307"/>
      <c r="B2487" s="307"/>
    </row>
    <row r="2488" spans="1:2" x14ac:dyDescent="0.25">
      <c r="A2488" s="307"/>
      <c r="B2488" s="307"/>
    </row>
    <row r="2489" spans="1:2" x14ac:dyDescent="0.25">
      <c r="A2489" s="307"/>
      <c r="B2489" s="307"/>
    </row>
    <row r="2490" spans="1:2" x14ac:dyDescent="0.25">
      <c r="A2490" s="307"/>
      <c r="B2490" s="307"/>
    </row>
    <row r="2491" spans="1:2" x14ac:dyDescent="0.25">
      <c r="A2491" s="307"/>
      <c r="B2491" s="307"/>
    </row>
    <row r="2492" spans="1:2" x14ac:dyDescent="0.25">
      <c r="A2492" s="307"/>
      <c r="B2492" s="307"/>
    </row>
    <row r="2493" spans="1:2" x14ac:dyDescent="0.25">
      <c r="A2493" s="307"/>
      <c r="B2493" s="307"/>
    </row>
    <row r="2494" spans="1:2" x14ac:dyDescent="0.25">
      <c r="A2494" s="307"/>
      <c r="B2494" s="307"/>
    </row>
    <row r="2495" spans="1:2" x14ac:dyDescent="0.25">
      <c r="A2495" s="307"/>
      <c r="B2495" s="307"/>
    </row>
    <row r="2496" spans="1:2" x14ac:dyDescent="0.25">
      <c r="A2496" s="307"/>
      <c r="B2496" s="307"/>
    </row>
    <row r="2497" spans="1:2" x14ac:dyDescent="0.25">
      <c r="A2497" s="307"/>
      <c r="B2497" s="307"/>
    </row>
    <row r="2498" spans="1:2" x14ac:dyDescent="0.25">
      <c r="A2498" s="307"/>
      <c r="B2498" s="307"/>
    </row>
    <row r="2499" spans="1:2" x14ac:dyDescent="0.25">
      <c r="A2499" s="307"/>
      <c r="B2499" s="307"/>
    </row>
    <row r="2500" spans="1:2" x14ac:dyDescent="0.25">
      <c r="A2500" s="307"/>
      <c r="B2500" s="307"/>
    </row>
    <row r="2501" spans="1:2" x14ac:dyDescent="0.25">
      <c r="A2501" s="307"/>
      <c r="B2501" s="307"/>
    </row>
    <row r="2502" spans="1:2" x14ac:dyDescent="0.25">
      <c r="A2502" s="307"/>
      <c r="B2502" s="307"/>
    </row>
    <row r="2503" spans="1:2" x14ac:dyDescent="0.25">
      <c r="A2503" s="307"/>
      <c r="B2503" s="307"/>
    </row>
    <row r="2504" spans="1:2" x14ac:dyDescent="0.25">
      <c r="A2504" s="307"/>
      <c r="B2504" s="307"/>
    </row>
    <row r="2505" spans="1:2" x14ac:dyDescent="0.25">
      <c r="A2505" s="307"/>
      <c r="B2505" s="307"/>
    </row>
    <row r="2506" spans="1:2" x14ac:dyDescent="0.25">
      <c r="A2506" s="307"/>
      <c r="B2506" s="307"/>
    </row>
    <row r="2507" spans="1:2" x14ac:dyDescent="0.25">
      <c r="A2507" s="307"/>
      <c r="B2507" s="307"/>
    </row>
    <row r="2508" spans="1:2" x14ac:dyDescent="0.25">
      <c r="A2508" s="307"/>
      <c r="B2508" s="307"/>
    </row>
    <row r="2509" spans="1:2" x14ac:dyDescent="0.25">
      <c r="A2509" s="307"/>
      <c r="B2509" s="307"/>
    </row>
    <row r="2510" spans="1:2" x14ac:dyDescent="0.25">
      <c r="A2510" s="307"/>
      <c r="B2510" s="307"/>
    </row>
    <row r="2511" spans="1:2" x14ac:dyDescent="0.25">
      <c r="A2511" s="307"/>
      <c r="B2511" s="307"/>
    </row>
    <row r="2512" spans="1:2" x14ac:dyDescent="0.25">
      <c r="A2512" s="307"/>
      <c r="B2512" s="307"/>
    </row>
    <row r="2513" spans="1:2" x14ac:dyDescent="0.25">
      <c r="A2513" s="307"/>
      <c r="B2513" s="307"/>
    </row>
    <row r="2514" spans="1:2" x14ac:dyDescent="0.25">
      <c r="A2514" s="307"/>
      <c r="B2514" s="307"/>
    </row>
    <row r="2515" spans="1:2" x14ac:dyDescent="0.25">
      <c r="A2515" s="307"/>
      <c r="B2515" s="307"/>
    </row>
    <row r="2516" spans="1:2" x14ac:dyDescent="0.25">
      <c r="A2516" s="307"/>
      <c r="B2516" s="307"/>
    </row>
    <row r="2517" spans="1:2" x14ac:dyDescent="0.25">
      <c r="A2517" s="307"/>
      <c r="B2517" s="307"/>
    </row>
    <row r="2518" spans="1:2" x14ac:dyDescent="0.25">
      <c r="A2518" s="307"/>
      <c r="B2518" s="307"/>
    </row>
    <row r="2519" spans="1:2" x14ac:dyDescent="0.25">
      <c r="A2519" s="307"/>
      <c r="B2519" s="307"/>
    </row>
    <row r="2520" spans="1:2" x14ac:dyDescent="0.25">
      <c r="A2520" s="307"/>
      <c r="B2520" s="307"/>
    </row>
    <row r="2521" spans="1:2" x14ac:dyDescent="0.25">
      <c r="A2521" s="307"/>
      <c r="B2521" s="307"/>
    </row>
    <row r="2522" spans="1:2" x14ac:dyDescent="0.25">
      <c r="A2522" s="307"/>
      <c r="B2522" s="307"/>
    </row>
    <row r="2523" spans="1:2" x14ac:dyDescent="0.25">
      <c r="A2523" s="307"/>
      <c r="B2523" s="307"/>
    </row>
    <row r="2524" spans="1:2" x14ac:dyDescent="0.25">
      <c r="A2524" s="307"/>
      <c r="B2524" s="307"/>
    </row>
    <row r="2525" spans="1:2" x14ac:dyDescent="0.25">
      <c r="A2525" s="307"/>
      <c r="B2525" s="307"/>
    </row>
    <row r="2526" spans="1:2" x14ac:dyDescent="0.25">
      <c r="A2526" s="307"/>
      <c r="B2526" s="307"/>
    </row>
    <row r="2527" spans="1:2" x14ac:dyDescent="0.25">
      <c r="A2527" s="307"/>
      <c r="B2527" s="307"/>
    </row>
    <row r="2528" spans="1:2" x14ac:dyDescent="0.25">
      <c r="A2528" s="307"/>
      <c r="B2528" s="307"/>
    </row>
    <row r="2529" spans="1:2" x14ac:dyDescent="0.25">
      <c r="A2529" s="307"/>
      <c r="B2529" s="307"/>
    </row>
    <row r="2530" spans="1:2" x14ac:dyDescent="0.25">
      <c r="A2530" s="307"/>
      <c r="B2530" s="307"/>
    </row>
    <row r="2531" spans="1:2" x14ac:dyDescent="0.25">
      <c r="A2531" s="307"/>
      <c r="B2531" s="307"/>
    </row>
    <row r="2532" spans="1:2" x14ac:dyDescent="0.25">
      <c r="A2532" s="307"/>
      <c r="B2532" s="307"/>
    </row>
    <row r="2533" spans="1:2" x14ac:dyDescent="0.25">
      <c r="A2533" s="307"/>
      <c r="B2533" s="307"/>
    </row>
    <row r="2534" spans="1:2" x14ac:dyDescent="0.25">
      <c r="A2534" s="307"/>
      <c r="B2534" s="307"/>
    </row>
    <row r="2535" spans="1:2" x14ac:dyDescent="0.25">
      <c r="A2535" s="307"/>
      <c r="B2535" s="307"/>
    </row>
    <row r="2536" spans="1:2" x14ac:dyDescent="0.25">
      <c r="A2536" s="307"/>
      <c r="B2536" s="307"/>
    </row>
    <row r="2537" spans="1:2" x14ac:dyDescent="0.25">
      <c r="A2537" s="307"/>
      <c r="B2537" s="307"/>
    </row>
    <row r="2538" spans="1:2" x14ac:dyDescent="0.25">
      <c r="A2538" s="307"/>
      <c r="B2538" s="307"/>
    </row>
    <row r="2539" spans="1:2" x14ac:dyDescent="0.25">
      <c r="A2539" s="307"/>
      <c r="B2539" s="307"/>
    </row>
    <row r="2540" spans="1:2" x14ac:dyDescent="0.25">
      <c r="A2540" s="307"/>
      <c r="B2540" s="307"/>
    </row>
    <row r="2541" spans="1:2" x14ac:dyDescent="0.25">
      <c r="A2541" s="307"/>
      <c r="B2541" s="307"/>
    </row>
    <row r="2542" spans="1:2" x14ac:dyDescent="0.25">
      <c r="A2542" s="307"/>
      <c r="B2542" s="307"/>
    </row>
    <row r="2543" spans="1:2" x14ac:dyDescent="0.25">
      <c r="A2543" s="307"/>
      <c r="B2543" s="307"/>
    </row>
    <row r="2544" spans="1:2" x14ac:dyDescent="0.25">
      <c r="A2544" s="307"/>
      <c r="B2544" s="307"/>
    </row>
    <row r="2545" spans="1:2" x14ac:dyDescent="0.25">
      <c r="A2545" s="307"/>
      <c r="B2545" s="307"/>
    </row>
    <row r="2546" spans="1:2" x14ac:dyDescent="0.25">
      <c r="A2546" s="307"/>
      <c r="B2546" s="307"/>
    </row>
    <row r="2547" spans="1:2" x14ac:dyDescent="0.25">
      <c r="A2547" s="307"/>
      <c r="B2547" s="307"/>
    </row>
    <row r="2548" spans="1:2" x14ac:dyDescent="0.25">
      <c r="A2548" s="307"/>
      <c r="B2548" s="307"/>
    </row>
    <row r="2549" spans="1:2" x14ac:dyDescent="0.25">
      <c r="A2549" s="307"/>
      <c r="B2549" s="307"/>
    </row>
    <row r="2550" spans="1:2" x14ac:dyDescent="0.25">
      <c r="A2550" s="307"/>
      <c r="B2550" s="307"/>
    </row>
    <row r="2551" spans="1:2" x14ac:dyDescent="0.25">
      <c r="A2551" s="307"/>
      <c r="B2551" s="307"/>
    </row>
    <row r="2552" spans="1:2" x14ac:dyDescent="0.25">
      <c r="A2552" s="307"/>
      <c r="B2552" s="307"/>
    </row>
    <row r="2553" spans="1:2" x14ac:dyDescent="0.25">
      <c r="A2553" s="307"/>
      <c r="B2553" s="307"/>
    </row>
    <row r="2554" spans="1:2" x14ac:dyDescent="0.25">
      <c r="A2554" s="307"/>
      <c r="B2554" s="307"/>
    </row>
    <row r="2555" spans="1:2" x14ac:dyDescent="0.25">
      <c r="A2555" s="307"/>
      <c r="B2555" s="307"/>
    </row>
    <row r="2556" spans="1:2" x14ac:dyDescent="0.25">
      <c r="A2556" s="307"/>
      <c r="B2556" s="307"/>
    </row>
    <row r="2557" spans="1:2" x14ac:dyDescent="0.25">
      <c r="A2557" s="307"/>
      <c r="B2557" s="307"/>
    </row>
    <row r="2558" spans="1:2" x14ac:dyDescent="0.25">
      <c r="A2558" s="307"/>
      <c r="B2558" s="307"/>
    </row>
    <row r="2559" spans="1:2" x14ac:dyDescent="0.25">
      <c r="A2559" s="307"/>
      <c r="B2559" s="307"/>
    </row>
    <row r="2560" spans="1:2" x14ac:dyDescent="0.25">
      <c r="A2560" s="307"/>
      <c r="B2560" s="307"/>
    </row>
    <row r="2561" spans="1:2" x14ac:dyDescent="0.25">
      <c r="A2561" s="307"/>
      <c r="B2561" s="307"/>
    </row>
    <row r="2562" spans="1:2" x14ac:dyDescent="0.25">
      <c r="A2562" s="307"/>
      <c r="B2562" s="307"/>
    </row>
    <row r="2563" spans="1:2" x14ac:dyDescent="0.25">
      <c r="A2563" s="307"/>
      <c r="B2563" s="307"/>
    </row>
    <row r="2564" spans="1:2" x14ac:dyDescent="0.25">
      <c r="A2564" s="307"/>
      <c r="B2564" s="307"/>
    </row>
    <row r="2565" spans="1:2" x14ac:dyDescent="0.25">
      <c r="A2565" s="307"/>
      <c r="B2565" s="307"/>
    </row>
    <row r="2566" spans="1:2" x14ac:dyDescent="0.25">
      <c r="A2566" s="307"/>
      <c r="B2566" s="307"/>
    </row>
    <row r="2567" spans="1:2" x14ac:dyDescent="0.25">
      <c r="A2567" s="307"/>
      <c r="B2567" s="307"/>
    </row>
    <row r="2568" spans="1:2" x14ac:dyDescent="0.25">
      <c r="A2568" s="307"/>
      <c r="B2568" s="307"/>
    </row>
    <row r="2569" spans="1:2" x14ac:dyDescent="0.25">
      <c r="A2569" s="307"/>
      <c r="B2569" s="307"/>
    </row>
    <row r="2570" spans="1:2" x14ac:dyDescent="0.25">
      <c r="A2570" s="307"/>
      <c r="B2570" s="307"/>
    </row>
    <row r="2571" spans="1:2" x14ac:dyDescent="0.25">
      <c r="A2571" s="307"/>
      <c r="B2571" s="307"/>
    </row>
    <row r="2572" spans="1:2" x14ac:dyDescent="0.25">
      <c r="A2572" s="307"/>
      <c r="B2572" s="307"/>
    </row>
    <row r="2573" spans="1:2" x14ac:dyDescent="0.25">
      <c r="A2573" s="307"/>
      <c r="B2573" s="307"/>
    </row>
    <row r="2574" spans="1:2" x14ac:dyDescent="0.25">
      <c r="A2574" s="307"/>
      <c r="B2574" s="307"/>
    </row>
    <row r="2575" spans="1:2" x14ac:dyDescent="0.25">
      <c r="A2575" s="307"/>
      <c r="B2575" s="307"/>
    </row>
    <row r="2576" spans="1:2" x14ac:dyDescent="0.25">
      <c r="A2576" s="307"/>
      <c r="B2576" s="307"/>
    </row>
    <row r="2577" spans="1:2" x14ac:dyDescent="0.25">
      <c r="A2577" s="307"/>
      <c r="B2577" s="307"/>
    </row>
    <row r="2578" spans="1:2" x14ac:dyDescent="0.25">
      <c r="A2578" s="307"/>
      <c r="B2578" s="307"/>
    </row>
    <row r="2579" spans="1:2" x14ac:dyDescent="0.25">
      <c r="A2579" s="307"/>
      <c r="B2579" s="307"/>
    </row>
    <row r="2580" spans="1:2" x14ac:dyDescent="0.25">
      <c r="A2580" s="307"/>
      <c r="B2580" s="307"/>
    </row>
    <row r="2581" spans="1:2" x14ac:dyDescent="0.25">
      <c r="A2581" s="307"/>
      <c r="B2581" s="307"/>
    </row>
    <row r="2582" spans="1:2" x14ac:dyDescent="0.25">
      <c r="A2582" s="307"/>
      <c r="B2582" s="307"/>
    </row>
    <row r="2583" spans="1:2" x14ac:dyDescent="0.25">
      <c r="A2583" s="307"/>
      <c r="B2583" s="307"/>
    </row>
    <row r="2584" spans="1:2" x14ac:dyDescent="0.25">
      <c r="A2584" s="307"/>
      <c r="B2584" s="307"/>
    </row>
    <row r="2585" spans="1:2" x14ac:dyDescent="0.25">
      <c r="A2585" s="307"/>
      <c r="B2585" s="307"/>
    </row>
    <row r="2586" spans="1:2" x14ac:dyDescent="0.25">
      <c r="A2586" s="307"/>
      <c r="B2586" s="307"/>
    </row>
    <row r="2587" spans="1:2" x14ac:dyDescent="0.25">
      <c r="A2587" s="307"/>
      <c r="B2587" s="307"/>
    </row>
    <row r="2588" spans="1:2" x14ac:dyDescent="0.25">
      <c r="A2588" s="307"/>
      <c r="B2588" s="307"/>
    </row>
    <row r="2589" spans="1:2" x14ac:dyDescent="0.25">
      <c r="A2589" s="307"/>
      <c r="B2589" s="307"/>
    </row>
    <row r="2590" spans="1:2" x14ac:dyDescent="0.25">
      <c r="A2590" s="307"/>
      <c r="B2590" s="307"/>
    </row>
    <row r="2591" spans="1:2" x14ac:dyDescent="0.25">
      <c r="A2591" s="307"/>
      <c r="B2591" s="307"/>
    </row>
    <row r="2592" spans="1:2" x14ac:dyDescent="0.25">
      <c r="A2592" s="307"/>
      <c r="B2592" s="307"/>
    </row>
    <row r="2593" spans="1:2" x14ac:dyDescent="0.25">
      <c r="A2593" s="307"/>
      <c r="B2593" s="307"/>
    </row>
    <row r="2594" spans="1:2" x14ac:dyDescent="0.25">
      <c r="A2594" s="307"/>
      <c r="B2594" s="307"/>
    </row>
    <row r="2595" spans="1:2" x14ac:dyDescent="0.25">
      <c r="A2595" s="307"/>
      <c r="B2595" s="307"/>
    </row>
    <row r="2596" spans="1:2" x14ac:dyDescent="0.25">
      <c r="A2596" s="307"/>
      <c r="B2596" s="307"/>
    </row>
    <row r="2597" spans="1:2" x14ac:dyDescent="0.25">
      <c r="A2597" s="307"/>
      <c r="B2597" s="307"/>
    </row>
    <row r="2598" spans="1:2" x14ac:dyDescent="0.25">
      <c r="A2598" s="307"/>
      <c r="B2598" s="307"/>
    </row>
    <row r="2599" spans="1:2" x14ac:dyDescent="0.25">
      <c r="A2599" s="307"/>
      <c r="B2599" s="307"/>
    </row>
    <row r="2600" spans="1:2" x14ac:dyDescent="0.25">
      <c r="A2600" s="307"/>
      <c r="B2600" s="307"/>
    </row>
    <row r="2601" spans="1:2" x14ac:dyDescent="0.25">
      <c r="A2601" s="307"/>
      <c r="B2601" s="307"/>
    </row>
    <row r="2602" spans="1:2" x14ac:dyDescent="0.25">
      <c r="A2602" s="307"/>
      <c r="B2602" s="307"/>
    </row>
    <row r="2603" spans="1:2" x14ac:dyDescent="0.25">
      <c r="A2603" s="307"/>
      <c r="B2603" s="307"/>
    </row>
    <row r="2604" spans="1:2" x14ac:dyDescent="0.25">
      <c r="A2604" s="307"/>
      <c r="B2604" s="307"/>
    </row>
    <row r="2605" spans="1:2" x14ac:dyDescent="0.25">
      <c r="A2605" s="307"/>
      <c r="B2605" s="307"/>
    </row>
    <row r="2606" spans="1:2" x14ac:dyDescent="0.25">
      <c r="A2606" s="307"/>
      <c r="B2606" s="307"/>
    </row>
    <row r="2607" spans="1:2" x14ac:dyDescent="0.25">
      <c r="A2607" s="307"/>
      <c r="B2607" s="307"/>
    </row>
    <row r="2608" spans="1:2" x14ac:dyDescent="0.25">
      <c r="A2608" s="307"/>
      <c r="B2608" s="307"/>
    </row>
    <row r="2609" spans="1:2" x14ac:dyDescent="0.25">
      <c r="A2609" s="307"/>
      <c r="B2609" s="307"/>
    </row>
    <row r="2610" spans="1:2" x14ac:dyDescent="0.25">
      <c r="A2610" s="307"/>
      <c r="B2610" s="307"/>
    </row>
    <row r="2611" spans="1:2" x14ac:dyDescent="0.25">
      <c r="A2611" s="307"/>
      <c r="B2611" s="307"/>
    </row>
    <row r="2612" spans="1:2" x14ac:dyDescent="0.25">
      <c r="A2612" s="307"/>
      <c r="B2612" s="307"/>
    </row>
    <row r="2613" spans="1:2" x14ac:dyDescent="0.25">
      <c r="A2613" s="307"/>
      <c r="B2613" s="307"/>
    </row>
    <row r="2614" spans="1:2" x14ac:dyDescent="0.25">
      <c r="A2614" s="307"/>
      <c r="B2614" s="307"/>
    </row>
    <row r="2615" spans="1:2" x14ac:dyDescent="0.25">
      <c r="A2615" s="307"/>
      <c r="B2615" s="307"/>
    </row>
    <row r="2616" spans="1:2" x14ac:dyDescent="0.25">
      <c r="A2616" s="307"/>
      <c r="B2616" s="307"/>
    </row>
    <row r="2617" spans="1:2" x14ac:dyDescent="0.25">
      <c r="A2617" s="307"/>
      <c r="B2617" s="307"/>
    </row>
    <row r="2618" spans="1:2" x14ac:dyDescent="0.25">
      <c r="A2618" s="307"/>
      <c r="B2618" s="307"/>
    </row>
    <row r="2619" spans="1:2" x14ac:dyDescent="0.25">
      <c r="A2619" s="307"/>
      <c r="B2619" s="307"/>
    </row>
    <row r="2620" spans="1:2" x14ac:dyDescent="0.25">
      <c r="A2620" s="307"/>
      <c r="B2620" s="307"/>
    </row>
    <row r="2621" spans="1:2" x14ac:dyDescent="0.25">
      <c r="A2621" s="307"/>
      <c r="B2621" s="307"/>
    </row>
    <row r="2622" spans="1:2" x14ac:dyDescent="0.25">
      <c r="A2622" s="307"/>
      <c r="B2622" s="307"/>
    </row>
    <row r="2623" spans="1:2" x14ac:dyDescent="0.25">
      <c r="A2623" s="307"/>
      <c r="B2623" s="307"/>
    </row>
    <row r="2624" spans="1:2" x14ac:dyDescent="0.25">
      <c r="A2624" s="307"/>
      <c r="B2624" s="307"/>
    </row>
    <row r="2625" spans="1:2" x14ac:dyDescent="0.25">
      <c r="A2625" s="307"/>
      <c r="B2625" s="307"/>
    </row>
    <row r="2626" spans="1:2" x14ac:dyDescent="0.25">
      <c r="A2626" s="307"/>
      <c r="B2626" s="307"/>
    </row>
    <row r="2627" spans="1:2" x14ac:dyDescent="0.25">
      <c r="A2627" s="307"/>
      <c r="B2627" s="307"/>
    </row>
    <row r="2628" spans="1:2" x14ac:dyDescent="0.25">
      <c r="A2628" s="307"/>
      <c r="B2628" s="307"/>
    </row>
    <row r="2629" spans="1:2" x14ac:dyDescent="0.25">
      <c r="A2629" s="307"/>
      <c r="B2629" s="307"/>
    </row>
    <row r="2630" spans="1:2" x14ac:dyDescent="0.25">
      <c r="A2630" s="307"/>
      <c r="B2630" s="307"/>
    </row>
    <row r="2631" spans="1:2" x14ac:dyDescent="0.25">
      <c r="A2631" s="307"/>
      <c r="B2631" s="307"/>
    </row>
    <row r="2632" spans="1:2" x14ac:dyDescent="0.25">
      <c r="A2632" s="307"/>
      <c r="B2632" s="307"/>
    </row>
    <row r="2633" spans="1:2" x14ac:dyDescent="0.25">
      <c r="A2633" s="307"/>
      <c r="B2633" s="307"/>
    </row>
    <row r="2634" spans="1:2" x14ac:dyDescent="0.25">
      <c r="A2634" s="307"/>
      <c r="B2634" s="307"/>
    </row>
    <row r="2635" spans="1:2" x14ac:dyDescent="0.25">
      <c r="A2635" s="307"/>
      <c r="B2635" s="307"/>
    </row>
    <row r="2636" spans="1:2" x14ac:dyDescent="0.25">
      <c r="A2636" s="307"/>
      <c r="B2636" s="307"/>
    </row>
    <row r="2637" spans="1:2" x14ac:dyDescent="0.25">
      <c r="A2637" s="307"/>
      <c r="B2637" s="307"/>
    </row>
    <row r="2638" spans="1:2" x14ac:dyDescent="0.25">
      <c r="A2638" s="307"/>
      <c r="B2638" s="307"/>
    </row>
    <row r="2639" spans="1:2" x14ac:dyDescent="0.25">
      <c r="A2639" s="307"/>
      <c r="B2639" s="307"/>
    </row>
    <row r="2640" spans="1:2" x14ac:dyDescent="0.25">
      <c r="A2640" s="307"/>
      <c r="B2640" s="307"/>
    </row>
    <row r="2641" spans="1:2" x14ac:dyDescent="0.25">
      <c r="A2641" s="307"/>
      <c r="B2641" s="307"/>
    </row>
    <row r="2642" spans="1:2" x14ac:dyDescent="0.25">
      <c r="A2642" s="307"/>
      <c r="B2642" s="307"/>
    </row>
    <row r="2643" spans="1:2" x14ac:dyDescent="0.25">
      <c r="A2643" s="307"/>
      <c r="B2643" s="307"/>
    </row>
    <row r="2644" spans="1:2" x14ac:dyDescent="0.25">
      <c r="A2644" s="307"/>
      <c r="B2644" s="307"/>
    </row>
    <row r="2645" spans="1:2" x14ac:dyDescent="0.25">
      <c r="A2645" s="307"/>
      <c r="B2645" s="307"/>
    </row>
    <row r="2646" spans="1:2" x14ac:dyDescent="0.25">
      <c r="A2646" s="307"/>
      <c r="B2646" s="307"/>
    </row>
    <row r="2647" spans="1:2" x14ac:dyDescent="0.25">
      <c r="A2647" s="307"/>
      <c r="B2647" s="307"/>
    </row>
    <row r="2648" spans="1:2" x14ac:dyDescent="0.25">
      <c r="A2648" s="307"/>
      <c r="B2648" s="307"/>
    </row>
    <row r="2649" spans="1:2" x14ac:dyDescent="0.25">
      <c r="A2649" s="307"/>
      <c r="B2649" s="307"/>
    </row>
    <row r="2650" spans="1:2" x14ac:dyDescent="0.25">
      <c r="A2650" s="307"/>
      <c r="B2650" s="307"/>
    </row>
    <row r="2651" spans="1:2" x14ac:dyDescent="0.25">
      <c r="A2651" s="307"/>
      <c r="B2651" s="307"/>
    </row>
    <row r="2652" spans="1:2" x14ac:dyDescent="0.25">
      <c r="A2652" s="307"/>
      <c r="B2652" s="307"/>
    </row>
    <row r="2653" spans="1:2" x14ac:dyDescent="0.25">
      <c r="A2653" s="307"/>
      <c r="B2653" s="307"/>
    </row>
    <row r="2654" spans="1:2" x14ac:dyDescent="0.25">
      <c r="A2654" s="307"/>
      <c r="B2654" s="307"/>
    </row>
    <row r="2655" spans="1:2" x14ac:dyDescent="0.25">
      <c r="A2655" s="307"/>
      <c r="B2655" s="307"/>
    </row>
    <row r="2656" spans="1:2" x14ac:dyDescent="0.25">
      <c r="A2656" s="307"/>
      <c r="B2656" s="307"/>
    </row>
    <row r="2657" spans="1:2" x14ac:dyDescent="0.25">
      <c r="A2657" s="307"/>
      <c r="B2657" s="307"/>
    </row>
    <row r="2658" spans="1:2" x14ac:dyDescent="0.25">
      <c r="A2658" s="307"/>
      <c r="B2658" s="307"/>
    </row>
    <row r="2659" spans="1:2" x14ac:dyDescent="0.25">
      <c r="A2659" s="307"/>
      <c r="B2659" s="307"/>
    </row>
    <row r="2660" spans="1:2" x14ac:dyDescent="0.25">
      <c r="A2660" s="307"/>
      <c r="B2660" s="307"/>
    </row>
    <row r="2661" spans="1:2" x14ac:dyDescent="0.25">
      <c r="A2661" s="307"/>
      <c r="B2661" s="307"/>
    </row>
    <row r="2662" spans="1:2" x14ac:dyDescent="0.25">
      <c r="A2662" s="307"/>
      <c r="B2662" s="307"/>
    </row>
    <row r="2663" spans="1:2" x14ac:dyDescent="0.25">
      <c r="A2663" s="307"/>
      <c r="B2663" s="307"/>
    </row>
    <row r="2664" spans="1:2" x14ac:dyDescent="0.25">
      <c r="A2664" s="307"/>
      <c r="B2664" s="307"/>
    </row>
    <row r="2665" spans="1:2" x14ac:dyDescent="0.25">
      <c r="A2665" s="307"/>
      <c r="B2665" s="307"/>
    </row>
    <row r="2666" spans="1:2" x14ac:dyDescent="0.25">
      <c r="A2666" s="307"/>
      <c r="B2666" s="307"/>
    </row>
    <row r="2667" spans="1:2" x14ac:dyDescent="0.25">
      <c r="A2667" s="307"/>
      <c r="B2667" s="307"/>
    </row>
    <row r="2668" spans="1:2" x14ac:dyDescent="0.25">
      <c r="A2668" s="307"/>
      <c r="B2668" s="307"/>
    </row>
    <row r="2669" spans="1:2" x14ac:dyDescent="0.25">
      <c r="A2669" s="307"/>
      <c r="B2669" s="307"/>
    </row>
    <row r="2670" spans="1:2" x14ac:dyDescent="0.25">
      <c r="A2670" s="307"/>
      <c r="B2670" s="307"/>
    </row>
    <row r="2671" spans="1:2" x14ac:dyDescent="0.25">
      <c r="A2671" s="307"/>
      <c r="B2671" s="307"/>
    </row>
    <row r="2672" spans="1:2" x14ac:dyDescent="0.25">
      <c r="A2672" s="307"/>
      <c r="B2672" s="307"/>
    </row>
    <row r="2673" spans="1:2" x14ac:dyDescent="0.25">
      <c r="A2673" s="307"/>
      <c r="B2673" s="307"/>
    </row>
    <row r="2674" spans="1:2" x14ac:dyDescent="0.25">
      <c r="A2674" s="307"/>
      <c r="B2674" s="307"/>
    </row>
    <row r="2675" spans="1:2" x14ac:dyDescent="0.25">
      <c r="A2675" s="307"/>
      <c r="B2675" s="307"/>
    </row>
    <row r="2676" spans="1:2" x14ac:dyDescent="0.25">
      <c r="A2676" s="307"/>
      <c r="B2676" s="307"/>
    </row>
    <row r="2677" spans="1:2" x14ac:dyDescent="0.25">
      <c r="A2677" s="307"/>
      <c r="B2677" s="307"/>
    </row>
    <row r="2678" spans="1:2" x14ac:dyDescent="0.25">
      <c r="A2678" s="307"/>
      <c r="B2678" s="307"/>
    </row>
    <row r="2679" spans="1:2" x14ac:dyDescent="0.25">
      <c r="A2679" s="307"/>
      <c r="B2679" s="307"/>
    </row>
    <row r="2680" spans="1:2" x14ac:dyDescent="0.25">
      <c r="A2680" s="307"/>
      <c r="B2680" s="307"/>
    </row>
    <row r="2681" spans="1:2" x14ac:dyDescent="0.25">
      <c r="A2681" s="307"/>
      <c r="B2681" s="307"/>
    </row>
    <row r="2682" spans="1:2" x14ac:dyDescent="0.25">
      <c r="A2682" s="307"/>
      <c r="B2682" s="307"/>
    </row>
    <row r="2683" spans="1:2" x14ac:dyDescent="0.25">
      <c r="A2683" s="307"/>
      <c r="B2683" s="307"/>
    </row>
    <row r="2684" spans="1:2" x14ac:dyDescent="0.25">
      <c r="A2684" s="307"/>
      <c r="B2684" s="307"/>
    </row>
    <row r="2685" spans="1:2" x14ac:dyDescent="0.25">
      <c r="A2685" s="307"/>
      <c r="B2685" s="307"/>
    </row>
    <row r="2686" spans="1:2" x14ac:dyDescent="0.25">
      <c r="A2686" s="307"/>
      <c r="B2686" s="307"/>
    </row>
    <row r="2687" spans="1:2" x14ac:dyDescent="0.25">
      <c r="A2687" s="307"/>
      <c r="B2687" s="307"/>
    </row>
    <row r="2688" spans="1:2" x14ac:dyDescent="0.25">
      <c r="A2688" s="307"/>
      <c r="B2688" s="307"/>
    </row>
    <row r="2689" spans="1:2" x14ac:dyDescent="0.25">
      <c r="A2689" s="307"/>
      <c r="B2689" s="307"/>
    </row>
    <row r="2690" spans="1:2" x14ac:dyDescent="0.25">
      <c r="A2690" s="307"/>
      <c r="B2690" s="307"/>
    </row>
    <row r="2691" spans="1:2" x14ac:dyDescent="0.25">
      <c r="A2691" s="307"/>
      <c r="B2691" s="307"/>
    </row>
    <row r="2692" spans="1:2" x14ac:dyDescent="0.25">
      <c r="A2692" s="307"/>
      <c r="B2692" s="307"/>
    </row>
    <row r="2693" spans="1:2" x14ac:dyDescent="0.25">
      <c r="A2693" s="307"/>
      <c r="B2693" s="307"/>
    </row>
    <row r="2694" spans="1:2" x14ac:dyDescent="0.25">
      <c r="A2694" s="307"/>
      <c r="B2694" s="307"/>
    </row>
    <row r="2695" spans="1:2" x14ac:dyDescent="0.25">
      <c r="A2695" s="307"/>
      <c r="B2695" s="307"/>
    </row>
    <row r="2696" spans="1:2" x14ac:dyDescent="0.25">
      <c r="A2696" s="307"/>
      <c r="B2696" s="307"/>
    </row>
    <row r="2697" spans="1:2" x14ac:dyDescent="0.25">
      <c r="A2697" s="307"/>
      <c r="B2697" s="307"/>
    </row>
    <row r="2698" spans="1:2" x14ac:dyDescent="0.25">
      <c r="A2698" s="307"/>
      <c r="B2698" s="307"/>
    </row>
    <row r="2699" spans="1:2" x14ac:dyDescent="0.25">
      <c r="A2699" s="307"/>
      <c r="B2699" s="307"/>
    </row>
    <row r="2700" spans="1:2" x14ac:dyDescent="0.25">
      <c r="A2700" s="307"/>
      <c r="B2700" s="307"/>
    </row>
    <row r="2701" spans="1:2" x14ac:dyDescent="0.25">
      <c r="A2701" s="307"/>
      <c r="B2701" s="307"/>
    </row>
    <row r="2702" spans="1:2" x14ac:dyDescent="0.25">
      <c r="A2702" s="307"/>
      <c r="B2702" s="307"/>
    </row>
    <row r="2703" spans="1:2" x14ac:dyDescent="0.25">
      <c r="A2703" s="307"/>
      <c r="B2703" s="307"/>
    </row>
    <row r="2704" spans="1:2" x14ac:dyDescent="0.25">
      <c r="A2704" s="307"/>
      <c r="B2704" s="307"/>
    </row>
    <row r="2705" spans="1:2" x14ac:dyDescent="0.25">
      <c r="A2705" s="307"/>
      <c r="B2705" s="307"/>
    </row>
    <row r="2706" spans="1:2" x14ac:dyDescent="0.25">
      <c r="A2706" s="307"/>
      <c r="B2706" s="307"/>
    </row>
    <row r="2707" spans="1:2" x14ac:dyDescent="0.25">
      <c r="A2707" s="307"/>
      <c r="B2707" s="307"/>
    </row>
    <row r="2708" spans="1:2" x14ac:dyDescent="0.25">
      <c r="A2708" s="307"/>
      <c r="B2708" s="307"/>
    </row>
    <row r="2709" spans="1:2" x14ac:dyDescent="0.25">
      <c r="A2709" s="307"/>
      <c r="B2709" s="307"/>
    </row>
    <row r="2710" spans="1:2" x14ac:dyDescent="0.25">
      <c r="A2710" s="307"/>
      <c r="B2710" s="307"/>
    </row>
    <row r="2711" spans="1:2" x14ac:dyDescent="0.25">
      <c r="A2711" s="307"/>
      <c r="B2711" s="307"/>
    </row>
    <row r="2712" spans="1:2" x14ac:dyDescent="0.25">
      <c r="A2712" s="307"/>
      <c r="B2712" s="307"/>
    </row>
    <row r="2713" spans="1:2" x14ac:dyDescent="0.25">
      <c r="A2713" s="307"/>
      <c r="B2713" s="307"/>
    </row>
    <row r="2714" spans="1:2" x14ac:dyDescent="0.25">
      <c r="A2714" s="307"/>
      <c r="B2714" s="307"/>
    </row>
    <row r="2715" spans="1:2" x14ac:dyDescent="0.25">
      <c r="A2715" s="307"/>
      <c r="B2715" s="307"/>
    </row>
    <row r="2716" spans="1:2" x14ac:dyDescent="0.25">
      <c r="A2716" s="307"/>
      <c r="B2716" s="307"/>
    </row>
    <row r="2717" spans="1:2" x14ac:dyDescent="0.25">
      <c r="A2717" s="307"/>
      <c r="B2717" s="307"/>
    </row>
    <row r="2718" spans="1:2" x14ac:dyDescent="0.25">
      <c r="A2718" s="307"/>
      <c r="B2718" s="307"/>
    </row>
    <row r="2719" spans="1:2" x14ac:dyDescent="0.25">
      <c r="A2719" s="307"/>
      <c r="B2719" s="307"/>
    </row>
    <row r="2720" spans="1:2" x14ac:dyDescent="0.25">
      <c r="A2720" s="307"/>
      <c r="B2720" s="307"/>
    </row>
    <row r="2721" spans="1:2" x14ac:dyDescent="0.25">
      <c r="A2721" s="307"/>
      <c r="B2721" s="307"/>
    </row>
    <row r="2722" spans="1:2" x14ac:dyDescent="0.25">
      <c r="A2722" s="307"/>
      <c r="B2722" s="307"/>
    </row>
    <row r="2723" spans="1:2" x14ac:dyDescent="0.25">
      <c r="A2723" s="307"/>
      <c r="B2723" s="307"/>
    </row>
    <row r="2724" spans="1:2" x14ac:dyDescent="0.25">
      <c r="A2724" s="307"/>
      <c r="B2724" s="307"/>
    </row>
    <row r="2725" spans="1:2" x14ac:dyDescent="0.25">
      <c r="A2725" s="307"/>
      <c r="B2725" s="307"/>
    </row>
    <row r="2726" spans="1:2" x14ac:dyDescent="0.25">
      <c r="A2726" s="307"/>
      <c r="B2726" s="307"/>
    </row>
    <row r="2727" spans="1:2" x14ac:dyDescent="0.25">
      <c r="A2727" s="307"/>
      <c r="B2727" s="307"/>
    </row>
    <row r="2728" spans="1:2" x14ac:dyDescent="0.25">
      <c r="A2728" s="307"/>
      <c r="B2728" s="307"/>
    </row>
    <row r="2729" spans="1:2" x14ac:dyDescent="0.25">
      <c r="A2729" s="307"/>
      <c r="B2729" s="307"/>
    </row>
    <row r="2730" spans="1:2" x14ac:dyDescent="0.25">
      <c r="A2730" s="307"/>
      <c r="B2730" s="307"/>
    </row>
    <row r="2731" spans="1:2" x14ac:dyDescent="0.25">
      <c r="A2731" s="307"/>
      <c r="B2731" s="307"/>
    </row>
    <row r="2732" spans="1:2" x14ac:dyDescent="0.25">
      <c r="A2732" s="307"/>
      <c r="B2732" s="307"/>
    </row>
    <row r="2733" spans="1:2" x14ac:dyDescent="0.25">
      <c r="A2733" s="307"/>
      <c r="B2733" s="307"/>
    </row>
    <row r="2734" spans="1:2" x14ac:dyDescent="0.25">
      <c r="A2734" s="307"/>
      <c r="B2734" s="307"/>
    </row>
    <row r="2735" spans="1:2" x14ac:dyDescent="0.25">
      <c r="A2735" s="307"/>
      <c r="B2735" s="307"/>
    </row>
    <row r="2736" spans="1:2" x14ac:dyDescent="0.25">
      <c r="A2736" s="307"/>
      <c r="B2736" s="307"/>
    </row>
    <row r="2737" spans="1:2" x14ac:dyDescent="0.25">
      <c r="A2737" s="307"/>
      <c r="B2737" s="307"/>
    </row>
    <row r="2738" spans="1:2" x14ac:dyDescent="0.25">
      <c r="A2738" s="307"/>
      <c r="B2738" s="307"/>
    </row>
    <row r="2739" spans="1:2" x14ac:dyDescent="0.25">
      <c r="A2739" s="307"/>
      <c r="B2739" s="307"/>
    </row>
    <row r="2740" spans="1:2" x14ac:dyDescent="0.25">
      <c r="A2740" s="307"/>
      <c r="B2740" s="307"/>
    </row>
    <row r="2741" spans="1:2" x14ac:dyDescent="0.25">
      <c r="A2741" s="307"/>
      <c r="B2741" s="307"/>
    </row>
    <row r="2742" spans="1:2" x14ac:dyDescent="0.25">
      <c r="A2742" s="307"/>
      <c r="B2742" s="307"/>
    </row>
    <row r="2743" spans="1:2" x14ac:dyDescent="0.25">
      <c r="A2743" s="307"/>
      <c r="B2743" s="307"/>
    </row>
    <row r="2744" spans="1:2" x14ac:dyDescent="0.25">
      <c r="A2744" s="307"/>
      <c r="B2744" s="307"/>
    </row>
    <row r="2745" spans="1:2" x14ac:dyDescent="0.25">
      <c r="A2745" s="307"/>
      <c r="B2745" s="307"/>
    </row>
    <row r="2746" spans="1:2" x14ac:dyDescent="0.25">
      <c r="A2746" s="307"/>
      <c r="B2746" s="307"/>
    </row>
    <row r="2747" spans="1:2" x14ac:dyDescent="0.25">
      <c r="A2747" s="307"/>
      <c r="B2747" s="307"/>
    </row>
    <row r="2748" spans="1:2" x14ac:dyDescent="0.25">
      <c r="A2748" s="307"/>
      <c r="B2748" s="307"/>
    </row>
    <row r="2749" spans="1:2" x14ac:dyDescent="0.25">
      <c r="A2749" s="307"/>
      <c r="B2749" s="307"/>
    </row>
    <row r="2750" spans="1:2" x14ac:dyDescent="0.25">
      <c r="A2750" s="307"/>
      <c r="B2750" s="307"/>
    </row>
    <row r="2751" spans="1:2" x14ac:dyDescent="0.25">
      <c r="A2751" s="307"/>
      <c r="B2751" s="307"/>
    </row>
    <row r="2752" spans="1:2" x14ac:dyDescent="0.25">
      <c r="A2752" s="307"/>
      <c r="B2752" s="307"/>
    </row>
    <row r="2753" spans="1:2" x14ac:dyDescent="0.25">
      <c r="A2753" s="307"/>
      <c r="B2753" s="307"/>
    </row>
    <row r="2754" spans="1:2" x14ac:dyDescent="0.25">
      <c r="A2754" s="307"/>
      <c r="B2754" s="307"/>
    </row>
    <row r="2755" spans="1:2" x14ac:dyDescent="0.25">
      <c r="A2755" s="307"/>
      <c r="B2755" s="307"/>
    </row>
    <row r="2756" spans="1:2" x14ac:dyDescent="0.25">
      <c r="A2756" s="307"/>
      <c r="B2756" s="307"/>
    </row>
    <row r="2757" spans="1:2" x14ac:dyDescent="0.25">
      <c r="A2757" s="307"/>
      <c r="B2757" s="307"/>
    </row>
    <row r="2758" spans="1:2" x14ac:dyDescent="0.25">
      <c r="A2758" s="307"/>
      <c r="B2758" s="307"/>
    </row>
    <row r="2759" spans="1:2" x14ac:dyDescent="0.25">
      <c r="A2759" s="307"/>
      <c r="B2759" s="307"/>
    </row>
    <row r="2760" spans="1:2" x14ac:dyDescent="0.25">
      <c r="A2760" s="307"/>
      <c r="B2760" s="307"/>
    </row>
    <row r="2761" spans="1:2" x14ac:dyDescent="0.25">
      <c r="A2761" s="307"/>
      <c r="B2761" s="307"/>
    </row>
    <row r="2762" spans="1:2" x14ac:dyDescent="0.25">
      <c r="A2762" s="307"/>
      <c r="B2762" s="307"/>
    </row>
    <row r="2763" spans="1:2" x14ac:dyDescent="0.25">
      <c r="A2763" s="307"/>
      <c r="B2763" s="307"/>
    </row>
    <row r="2764" spans="1:2" x14ac:dyDescent="0.25">
      <c r="A2764" s="307"/>
      <c r="B2764" s="307"/>
    </row>
    <row r="2765" spans="1:2" x14ac:dyDescent="0.25">
      <c r="A2765" s="307"/>
      <c r="B2765" s="307"/>
    </row>
    <row r="2766" spans="1:2" x14ac:dyDescent="0.25">
      <c r="A2766" s="307"/>
      <c r="B2766" s="307"/>
    </row>
    <row r="2767" spans="1:2" x14ac:dyDescent="0.25">
      <c r="A2767" s="307"/>
      <c r="B2767" s="307"/>
    </row>
    <row r="2768" spans="1:2" x14ac:dyDescent="0.25">
      <c r="A2768" s="307"/>
      <c r="B2768" s="307"/>
    </row>
    <row r="2769" spans="1:2" x14ac:dyDescent="0.25">
      <c r="A2769" s="307"/>
      <c r="B2769" s="307"/>
    </row>
    <row r="2770" spans="1:2" x14ac:dyDescent="0.25">
      <c r="A2770" s="307"/>
      <c r="B2770" s="307"/>
    </row>
    <row r="2771" spans="1:2" x14ac:dyDescent="0.25">
      <c r="A2771" s="307"/>
      <c r="B2771" s="307"/>
    </row>
    <row r="2772" spans="1:2" x14ac:dyDescent="0.25">
      <c r="A2772" s="307"/>
      <c r="B2772" s="307"/>
    </row>
    <row r="2773" spans="1:2" x14ac:dyDescent="0.25">
      <c r="A2773" s="307"/>
      <c r="B2773" s="307"/>
    </row>
    <row r="2774" spans="1:2" x14ac:dyDescent="0.25">
      <c r="A2774" s="307"/>
      <c r="B2774" s="307"/>
    </row>
    <row r="2775" spans="1:2" x14ac:dyDescent="0.25">
      <c r="A2775" s="307"/>
      <c r="B2775" s="307"/>
    </row>
    <row r="2776" spans="1:2" x14ac:dyDescent="0.25">
      <c r="A2776" s="307"/>
      <c r="B2776" s="307"/>
    </row>
    <row r="2777" spans="1:2" x14ac:dyDescent="0.25">
      <c r="A2777" s="307"/>
      <c r="B2777" s="307"/>
    </row>
    <row r="2778" spans="1:2" x14ac:dyDescent="0.25">
      <c r="A2778" s="307"/>
      <c r="B2778" s="307"/>
    </row>
    <row r="2779" spans="1:2" x14ac:dyDescent="0.25">
      <c r="A2779" s="307"/>
      <c r="B2779" s="307"/>
    </row>
    <row r="2780" spans="1:2" x14ac:dyDescent="0.25">
      <c r="A2780" s="307"/>
      <c r="B2780" s="307"/>
    </row>
    <row r="2781" spans="1:2" x14ac:dyDescent="0.25">
      <c r="A2781" s="307"/>
      <c r="B2781" s="307"/>
    </row>
    <row r="2782" spans="1:2" x14ac:dyDescent="0.25">
      <c r="A2782" s="307"/>
      <c r="B2782" s="307"/>
    </row>
    <row r="2783" spans="1:2" x14ac:dyDescent="0.25">
      <c r="A2783" s="307"/>
      <c r="B2783" s="307"/>
    </row>
    <row r="2784" spans="1:2" x14ac:dyDescent="0.25">
      <c r="A2784" s="307"/>
      <c r="B2784" s="307"/>
    </row>
    <row r="2785" spans="1:2" x14ac:dyDescent="0.25">
      <c r="A2785" s="307"/>
      <c r="B2785" s="307"/>
    </row>
    <row r="2786" spans="1:2" x14ac:dyDescent="0.25">
      <c r="A2786" s="307"/>
      <c r="B2786" s="307"/>
    </row>
    <row r="2787" spans="1:2" x14ac:dyDescent="0.25">
      <c r="A2787" s="307"/>
      <c r="B2787" s="307"/>
    </row>
    <row r="2788" spans="1:2" x14ac:dyDescent="0.25">
      <c r="A2788" s="307"/>
      <c r="B2788" s="307"/>
    </row>
    <row r="2789" spans="1:2" x14ac:dyDescent="0.25">
      <c r="A2789" s="307"/>
      <c r="B2789" s="307"/>
    </row>
    <row r="2790" spans="1:2" x14ac:dyDescent="0.25">
      <c r="A2790" s="307"/>
      <c r="B2790" s="307"/>
    </row>
    <row r="2791" spans="1:2" x14ac:dyDescent="0.25">
      <c r="A2791" s="307"/>
      <c r="B2791" s="307"/>
    </row>
    <row r="2792" spans="1:2" x14ac:dyDescent="0.25">
      <c r="A2792" s="307"/>
      <c r="B2792" s="307"/>
    </row>
    <row r="2793" spans="1:2" x14ac:dyDescent="0.25">
      <c r="A2793" s="307"/>
      <c r="B2793" s="307"/>
    </row>
    <row r="2794" spans="1:2" x14ac:dyDescent="0.25">
      <c r="A2794" s="307"/>
      <c r="B2794" s="307"/>
    </row>
    <row r="2795" spans="1:2" x14ac:dyDescent="0.25">
      <c r="A2795" s="307"/>
      <c r="B2795" s="307"/>
    </row>
    <row r="2796" spans="1:2" x14ac:dyDescent="0.25">
      <c r="A2796" s="307"/>
      <c r="B2796" s="307"/>
    </row>
    <row r="2797" spans="1:2" x14ac:dyDescent="0.25">
      <c r="A2797" s="307"/>
      <c r="B2797" s="307"/>
    </row>
    <row r="2798" spans="1:2" x14ac:dyDescent="0.25">
      <c r="A2798" s="307"/>
      <c r="B2798" s="307"/>
    </row>
    <row r="2799" spans="1:2" x14ac:dyDescent="0.25">
      <c r="A2799" s="307"/>
      <c r="B2799" s="307"/>
    </row>
    <row r="2800" spans="1:2" x14ac:dyDescent="0.25">
      <c r="A2800" s="307"/>
      <c r="B2800" s="307"/>
    </row>
    <row r="2801" spans="1:2" x14ac:dyDescent="0.25">
      <c r="A2801" s="307"/>
      <c r="B2801" s="307"/>
    </row>
    <row r="2802" spans="1:2" x14ac:dyDescent="0.25">
      <c r="A2802" s="307"/>
      <c r="B2802" s="307"/>
    </row>
    <row r="2803" spans="1:2" x14ac:dyDescent="0.25">
      <c r="A2803" s="307"/>
      <c r="B2803" s="307"/>
    </row>
    <row r="2804" spans="1:2" x14ac:dyDescent="0.25">
      <c r="A2804" s="307"/>
      <c r="B2804" s="307"/>
    </row>
    <row r="2805" spans="1:2" x14ac:dyDescent="0.25">
      <c r="A2805" s="307"/>
      <c r="B2805" s="307"/>
    </row>
    <row r="2806" spans="1:2" x14ac:dyDescent="0.25">
      <c r="A2806" s="307"/>
      <c r="B2806" s="307"/>
    </row>
    <row r="2807" spans="1:2" x14ac:dyDescent="0.25">
      <c r="A2807" s="307"/>
      <c r="B2807" s="307"/>
    </row>
    <row r="2808" spans="1:2" x14ac:dyDescent="0.25">
      <c r="A2808" s="307"/>
      <c r="B2808" s="307"/>
    </row>
    <row r="2809" spans="1:2" x14ac:dyDescent="0.25">
      <c r="A2809" s="307"/>
      <c r="B2809" s="307"/>
    </row>
    <row r="2810" spans="1:2" x14ac:dyDescent="0.25">
      <c r="A2810" s="307"/>
      <c r="B2810" s="307"/>
    </row>
    <row r="2811" spans="1:2" x14ac:dyDescent="0.25">
      <c r="A2811" s="307"/>
      <c r="B2811" s="307"/>
    </row>
    <row r="2812" spans="1:2" x14ac:dyDescent="0.25">
      <c r="A2812" s="307"/>
      <c r="B2812" s="307"/>
    </row>
    <row r="2813" spans="1:2" x14ac:dyDescent="0.25">
      <c r="A2813" s="307"/>
      <c r="B2813" s="307"/>
    </row>
    <row r="2814" spans="1:2" x14ac:dyDescent="0.25">
      <c r="A2814" s="307"/>
      <c r="B2814" s="307"/>
    </row>
    <row r="2815" spans="1:2" x14ac:dyDescent="0.25">
      <c r="A2815" s="307"/>
      <c r="B2815" s="307"/>
    </row>
    <row r="2816" spans="1:2" x14ac:dyDescent="0.25">
      <c r="A2816" s="307"/>
      <c r="B2816" s="307"/>
    </row>
    <row r="2817" spans="1:2" x14ac:dyDescent="0.25">
      <c r="A2817" s="307"/>
      <c r="B2817" s="307"/>
    </row>
    <row r="2818" spans="1:2" x14ac:dyDescent="0.25">
      <c r="A2818" s="307"/>
      <c r="B2818" s="307"/>
    </row>
    <row r="2819" spans="1:2" x14ac:dyDescent="0.25">
      <c r="A2819" s="307"/>
      <c r="B2819" s="307"/>
    </row>
    <row r="2820" spans="1:2" x14ac:dyDescent="0.25">
      <c r="A2820" s="307"/>
      <c r="B2820" s="307"/>
    </row>
    <row r="2821" spans="1:2" x14ac:dyDescent="0.25">
      <c r="A2821" s="307"/>
      <c r="B2821" s="307"/>
    </row>
    <row r="2822" spans="1:2" x14ac:dyDescent="0.25">
      <c r="A2822" s="307"/>
      <c r="B2822" s="307"/>
    </row>
    <row r="2823" spans="1:2" x14ac:dyDescent="0.25">
      <c r="A2823" s="307"/>
      <c r="B2823" s="307"/>
    </row>
    <row r="2824" spans="1:2" x14ac:dyDescent="0.25">
      <c r="A2824" s="307"/>
      <c r="B2824" s="307"/>
    </row>
    <row r="2825" spans="1:2" x14ac:dyDescent="0.25">
      <c r="A2825" s="307"/>
      <c r="B2825" s="307"/>
    </row>
    <row r="2826" spans="1:2" x14ac:dyDescent="0.25">
      <c r="A2826" s="307"/>
      <c r="B2826" s="307"/>
    </row>
    <row r="2827" spans="1:2" x14ac:dyDescent="0.25">
      <c r="A2827" s="307"/>
      <c r="B2827" s="307"/>
    </row>
    <row r="2828" spans="1:2" x14ac:dyDescent="0.25">
      <c r="A2828" s="307"/>
      <c r="B2828" s="307"/>
    </row>
    <row r="2829" spans="1:2" x14ac:dyDescent="0.25">
      <c r="A2829" s="307"/>
      <c r="B2829" s="307"/>
    </row>
    <row r="2830" spans="1:2" x14ac:dyDescent="0.25">
      <c r="A2830" s="307"/>
      <c r="B2830" s="307"/>
    </row>
    <row r="2831" spans="1:2" x14ac:dyDescent="0.25">
      <c r="A2831" s="307"/>
      <c r="B2831" s="307"/>
    </row>
    <row r="2832" spans="1:2" x14ac:dyDescent="0.25">
      <c r="A2832" s="307"/>
      <c r="B2832" s="307"/>
    </row>
    <row r="2833" spans="1:2" x14ac:dyDescent="0.25">
      <c r="A2833" s="307"/>
      <c r="B2833" s="307"/>
    </row>
    <row r="2834" spans="1:2" x14ac:dyDescent="0.25">
      <c r="A2834" s="307"/>
      <c r="B2834" s="307"/>
    </row>
    <row r="2835" spans="1:2" x14ac:dyDescent="0.25">
      <c r="A2835" s="307"/>
      <c r="B2835" s="307"/>
    </row>
    <row r="2836" spans="1:2" x14ac:dyDescent="0.25">
      <c r="A2836" s="307"/>
      <c r="B2836" s="307"/>
    </row>
    <row r="2837" spans="1:2" x14ac:dyDescent="0.25">
      <c r="A2837" s="307"/>
      <c r="B2837" s="307"/>
    </row>
    <row r="2838" spans="1:2" x14ac:dyDescent="0.25">
      <c r="A2838" s="307"/>
      <c r="B2838" s="307"/>
    </row>
    <row r="2839" spans="1:2" x14ac:dyDescent="0.25">
      <c r="A2839" s="307"/>
      <c r="B2839" s="307"/>
    </row>
    <row r="2840" spans="1:2" x14ac:dyDescent="0.25">
      <c r="A2840" s="307"/>
      <c r="B2840" s="307"/>
    </row>
    <row r="2841" spans="1:2" x14ac:dyDescent="0.25">
      <c r="A2841" s="307"/>
      <c r="B2841" s="307"/>
    </row>
    <row r="2842" spans="1:2" x14ac:dyDescent="0.25">
      <c r="A2842" s="307"/>
      <c r="B2842" s="307"/>
    </row>
    <row r="2843" spans="1:2" x14ac:dyDescent="0.25">
      <c r="A2843" s="307"/>
      <c r="B2843" s="307"/>
    </row>
    <row r="2844" spans="1:2" x14ac:dyDescent="0.25">
      <c r="A2844" s="307"/>
      <c r="B2844" s="307"/>
    </row>
    <row r="2845" spans="1:2" x14ac:dyDescent="0.25">
      <c r="A2845" s="307"/>
      <c r="B2845" s="307"/>
    </row>
    <row r="2846" spans="1:2" x14ac:dyDescent="0.25">
      <c r="A2846" s="307"/>
      <c r="B2846" s="307"/>
    </row>
    <row r="2847" spans="1:2" x14ac:dyDescent="0.25">
      <c r="A2847" s="307"/>
      <c r="B2847" s="307"/>
    </row>
    <row r="2848" spans="1:2" x14ac:dyDescent="0.25">
      <c r="A2848" s="307"/>
      <c r="B2848" s="307"/>
    </row>
    <row r="2849" spans="1:2" x14ac:dyDescent="0.25">
      <c r="A2849" s="307"/>
      <c r="B2849" s="307"/>
    </row>
    <row r="2850" spans="1:2" x14ac:dyDescent="0.25">
      <c r="A2850" s="307"/>
      <c r="B2850" s="307"/>
    </row>
    <row r="2851" spans="1:2" x14ac:dyDescent="0.25">
      <c r="A2851" s="307"/>
      <c r="B2851" s="307"/>
    </row>
    <row r="2852" spans="1:2" x14ac:dyDescent="0.25">
      <c r="A2852" s="307"/>
      <c r="B2852" s="307"/>
    </row>
    <row r="2853" spans="1:2" x14ac:dyDescent="0.25">
      <c r="A2853" s="307"/>
      <c r="B2853" s="307"/>
    </row>
    <row r="2854" spans="1:2" x14ac:dyDescent="0.25">
      <c r="A2854" s="307"/>
      <c r="B2854" s="307"/>
    </row>
    <row r="2855" spans="1:2" x14ac:dyDescent="0.25">
      <c r="A2855" s="307"/>
      <c r="B2855" s="307"/>
    </row>
    <row r="2856" spans="1:2" x14ac:dyDescent="0.25">
      <c r="A2856" s="307"/>
      <c r="B2856" s="307"/>
    </row>
    <row r="2857" spans="1:2" x14ac:dyDescent="0.25">
      <c r="A2857" s="307"/>
      <c r="B2857" s="307"/>
    </row>
    <row r="2858" spans="1:2" x14ac:dyDescent="0.25">
      <c r="A2858" s="307"/>
      <c r="B2858" s="307"/>
    </row>
    <row r="2859" spans="1:2" x14ac:dyDescent="0.25">
      <c r="A2859" s="307"/>
      <c r="B2859" s="307"/>
    </row>
    <row r="2860" spans="1:2" x14ac:dyDescent="0.25">
      <c r="A2860" s="307"/>
      <c r="B2860" s="307"/>
    </row>
    <row r="2861" spans="1:2" x14ac:dyDescent="0.25">
      <c r="A2861" s="307"/>
      <c r="B2861" s="307"/>
    </row>
    <row r="2862" spans="1:2" x14ac:dyDescent="0.25">
      <c r="A2862" s="307"/>
      <c r="B2862" s="307"/>
    </row>
    <row r="2863" spans="1:2" x14ac:dyDescent="0.25">
      <c r="A2863" s="307"/>
      <c r="B2863" s="307"/>
    </row>
    <row r="2864" spans="1:2" x14ac:dyDescent="0.25">
      <c r="A2864" s="307"/>
      <c r="B2864" s="307"/>
    </row>
    <row r="2865" spans="1:2" x14ac:dyDescent="0.25">
      <c r="A2865" s="307"/>
      <c r="B2865" s="307"/>
    </row>
    <row r="2866" spans="1:2" x14ac:dyDescent="0.25">
      <c r="A2866" s="307"/>
      <c r="B2866" s="307"/>
    </row>
    <row r="2867" spans="1:2" x14ac:dyDescent="0.25">
      <c r="A2867" s="307"/>
      <c r="B2867" s="307"/>
    </row>
    <row r="2868" spans="1:2" x14ac:dyDescent="0.25">
      <c r="A2868" s="307"/>
      <c r="B2868" s="307"/>
    </row>
    <row r="2869" spans="1:2" x14ac:dyDescent="0.25">
      <c r="A2869" s="307"/>
      <c r="B2869" s="307"/>
    </row>
    <row r="2870" spans="1:2" x14ac:dyDescent="0.25">
      <c r="A2870" s="307"/>
      <c r="B2870" s="307"/>
    </row>
    <row r="2871" spans="1:2" x14ac:dyDescent="0.25">
      <c r="A2871" s="307"/>
      <c r="B2871" s="307"/>
    </row>
    <row r="2872" spans="1:2" x14ac:dyDescent="0.25">
      <c r="A2872" s="307"/>
      <c r="B2872" s="307"/>
    </row>
    <row r="2873" spans="1:2" x14ac:dyDescent="0.25">
      <c r="A2873" s="307"/>
      <c r="B2873" s="307"/>
    </row>
    <row r="2874" spans="1:2" x14ac:dyDescent="0.25">
      <c r="A2874" s="307"/>
      <c r="B2874" s="307"/>
    </row>
    <row r="2875" spans="1:2" x14ac:dyDescent="0.25">
      <c r="A2875" s="307"/>
      <c r="B2875" s="307"/>
    </row>
    <row r="2876" spans="1:2" x14ac:dyDescent="0.25">
      <c r="A2876" s="307"/>
      <c r="B2876" s="307"/>
    </row>
    <row r="2877" spans="1:2" x14ac:dyDescent="0.25">
      <c r="A2877" s="307"/>
      <c r="B2877" s="307"/>
    </row>
    <row r="2878" spans="1:2" x14ac:dyDescent="0.25">
      <c r="A2878" s="307"/>
      <c r="B2878" s="307"/>
    </row>
    <row r="2879" spans="1:2" x14ac:dyDescent="0.25">
      <c r="A2879" s="307"/>
      <c r="B2879" s="307"/>
    </row>
    <row r="2880" spans="1:2" x14ac:dyDescent="0.25">
      <c r="A2880" s="307"/>
      <c r="B2880" s="307"/>
    </row>
    <row r="2881" spans="1:2" x14ac:dyDescent="0.25">
      <c r="A2881" s="307"/>
      <c r="B2881" s="307"/>
    </row>
    <row r="2882" spans="1:2" x14ac:dyDescent="0.25">
      <c r="A2882" s="307"/>
      <c r="B2882" s="307"/>
    </row>
    <row r="2883" spans="1:2" x14ac:dyDescent="0.25">
      <c r="A2883" s="307"/>
      <c r="B2883" s="307"/>
    </row>
    <row r="2884" spans="1:2" x14ac:dyDescent="0.25">
      <c r="A2884" s="307"/>
      <c r="B2884" s="307"/>
    </row>
    <row r="2885" spans="1:2" x14ac:dyDescent="0.25">
      <c r="A2885" s="307"/>
      <c r="B2885" s="307"/>
    </row>
    <row r="2886" spans="1:2" x14ac:dyDescent="0.25">
      <c r="A2886" s="307"/>
      <c r="B2886" s="307"/>
    </row>
    <row r="2887" spans="1:2" x14ac:dyDescent="0.25">
      <c r="A2887" s="307"/>
      <c r="B2887" s="307"/>
    </row>
    <row r="2888" spans="1:2" x14ac:dyDescent="0.25">
      <c r="A2888" s="307"/>
      <c r="B2888" s="307"/>
    </row>
    <row r="2889" spans="1:2" x14ac:dyDescent="0.25">
      <c r="A2889" s="307"/>
      <c r="B2889" s="307"/>
    </row>
    <row r="2890" spans="1:2" x14ac:dyDescent="0.25">
      <c r="A2890" s="307"/>
      <c r="B2890" s="307"/>
    </row>
    <row r="2891" spans="1:2" x14ac:dyDescent="0.25">
      <c r="A2891" s="307"/>
      <c r="B2891" s="307"/>
    </row>
    <row r="2892" spans="1:2" x14ac:dyDescent="0.25">
      <c r="A2892" s="307"/>
      <c r="B2892" s="307"/>
    </row>
    <row r="2893" spans="1:2" x14ac:dyDescent="0.25">
      <c r="A2893" s="307"/>
      <c r="B2893" s="307"/>
    </row>
    <row r="2894" spans="1:2" x14ac:dyDescent="0.25">
      <c r="A2894" s="307"/>
      <c r="B2894" s="307"/>
    </row>
    <row r="2895" spans="1:2" x14ac:dyDescent="0.25">
      <c r="A2895" s="307"/>
      <c r="B2895" s="307"/>
    </row>
    <row r="2896" spans="1:2" x14ac:dyDescent="0.25">
      <c r="A2896" s="307"/>
      <c r="B2896" s="307"/>
    </row>
    <row r="2897" spans="1:2" x14ac:dyDescent="0.25">
      <c r="A2897" s="307"/>
      <c r="B2897" s="307"/>
    </row>
    <row r="2898" spans="1:2" x14ac:dyDescent="0.25">
      <c r="A2898" s="307"/>
      <c r="B2898" s="307"/>
    </row>
    <row r="2899" spans="1:2" x14ac:dyDescent="0.25">
      <c r="A2899" s="307"/>
      <c r="B2899" s="307"/>
    </row>
    <row r="2900" spans="1:2" x14ac:dyDescent="0.25">
      <c r="A2900" s="307"/>
      <c r="B2900" s="307"/>
    </row>
    <row r="2901" spans="1:2" x14ac:dyDescent="0.25">
      <c r="A2901" s="307"/>
      <c r="B2901" s="307"/>
    </row>
    <row r="2902" spans="1:2" x14ac:dyDescent="0.25">
      <c r="A2902" s="307"/>
      <c r="B2902" s="307"/>
    </row>
    <row r="2903" spans="1:2" x14ac:dyDescent="0.25">
      <c r="A2903" s="307"/>
      <c r="B2903" s="307"/>
    </row>
    <row r="2904" spans="1:2" x14ac:dyDescent="0.25">
      <c r="A2904" s="307"/>
      <c r="B2904" s="307"/>
    </row>
    <row r="2905" spans="1:2" x14ac:dyDescent="0.25">
      <c r="A2905" s="307"/>
      <c r="B2905" s="307"/>
    </row>
    <row r="2906" spans="1:2" x14ac:dyDescent="0.25">
      <c r="A2906" s="307"/>
      <c r="B2906" s="307"/>
    </row>
    <row r="2907" spans="1:2" x14ac:dyDescent="0.25">
      <c r="A2907" s="307"/>
      <c r="B2907" s="307"/>
    </row>
    <row r="2908" spans="1:2" x14ac:dyDescent="0.25">
      <c r="A2908" s="307"/>
      <c r="B2908" s="307"/>
    </row>
    <row r="2909" spans="1:2" x14ac:dyDescent="0.25">
      <c r="A2909" s="307"/>
      <c r="B2909" s="307"/>
    </row>
    <row r="2910" spans="1:2" x14ac:dyDescent="0.25">
      <c r="A2910" s="307"/>
      <c r="B2910" s="307"/>
    </row>
    <row r="2911" spans="1:2" x14ac:dyDescent="0.25">
      <c r="A2911" s="307"/>
      <c r="B2911" s="307"/>
    </row>
    <row r="2912" spans="1:2" x14ac:dyDescent="0.25">
      <c r="A2912" s="307"/>
      <c r="B2912" s="307"/>
    </row>
    <row r="2913" spans="1:2" x14ac:dyDescent="0.25">
      <c r="A2913" s="307"/>
      <c r="B2913" s="307"/>
    </row>
    <row r="2914" spans="1:2" x14ac:dyDescent="0.25">
      <c r="A2914" s="307"/>
      <c r="B2914" s="307"/>
    </row>
    <row r="2915" spans="1:2" x14ac:dyDescent="0.25">
      <c r="A2915" s="307"/>
      <c r="B2915" s="307"/>
    </row>
    <row r="2916" spans="1:2" x14ac:dyDescent="0.25">
      <c r="A2916" s="307"/>
      <c r="B2916" s="307"/>
    </row>
    <row r="2917" spans="1:2" x14ac:dyDescent="0.25">
      <c r="A2917" s="307"/>
      <c r="B2917" s="307"/>
    </row>
    <row r="2918" spans="1:2" x14ac:dyDescent="0.25">
      <c r="A2918" s="307"/>
      <c r="B2918" s="307"/>
    </row>
    <row r="2919" spans="1:2" x14ac:dyDescent="0.25">
      <c r="A2919" s="307"/>
      <c r="B2919" s="307"/>
    </row>
    <row r="2920" spans="1:2" x14ac:dyDescent="0.25">
      <c r="A2920" s="307"/>
      <c r="B2920" s="307"/>
    </row>
    <row r="2921" spans="1:2" x14ac:dyDescent="0.25">
      <c r="A2921" s="307"/>
      <c r="B2921" s="307"/>
    </row>
    <row r="2922" spans="1:2" x14ac:dyDescent="0.25">
      <c r="A2922" s="307"/>
      <c r="B2922" s="307"/>
    </row>
    <row r="2923" spans="1:2" x14ac:dyDescent="0.25">
      <c r="A2923" s="307"/>
      <c r="B2923" s="307"/>
    </row>
    <row r="2924" spans="1:2" x14ac:dyDescent="0.25">
      <c r="A2924" s="307"/>
      <c r="B2924" s="307"/>
    </row>
    <row r="2925" spans="1:2" x14ac:dyDescent="0.25">
      <c r="A2925" s="307"/>
      <c r="B2925" s="307"/>
    </row>
    <row r="2926" spans="1:2" x14ac:dyDescent="0.25">
      <c r="A2926" s="307"/>
      <c r="B2926" s="307"/>
    </row>
    <row r="2927" spans="1:2" x14ac:dyDescent="0.25">
      <c r="A2927" s="307"/>
      <c r="B2927" s="307"/>
    </row>
    <row r="2928" spans="1:2" x14ac:dyDescent="0.25">
      <c r="A2928" s="307"/>
      <c r="B2928" s="307"/>
    </row>
    <row r="2929" spans="1:2" x14ac:dyDescent="0.25">
      <c r="A2929" s="307"/>
      <c r="B2929" s="307"/>
    </row>
    <row r="2930" spans="1:2" x14ac:dyDescent="0.25">
      <c r="A2930" s="307"/>
      <c r="B2930" s="307"/>
    </row>
    <row r="2931" spans="1:2" x14ac:dyDescent="0.25">
      <c r="A2931" s="307"/>
      <c r="B2931" s="307"/>
    </row>
    <row r="2932" spans="1:2" x14ac:dyDescent="0.25">
      <c r="A2932" s="307"/>
      <c r="B2932" s="307"/>
    </row>
    <row r="2933" spans="1:2" x14ac:dyDescent="0.25">
      <c r="A2933" s="307"/>
      <c r="B2933" s="307"/>
    </row>
    <row r="2934" spans="1:2" x14ac:dyDescent="0.25">
      <c r="A2934" s="307"/>
      <c r="B2934" s="307"/>
    </row>
    <row r="2935" spans="1:2" x14ac:dyDescent="0.25">
      <c r="A2935" s="307"/>
      <c r="B2935" s="307"/>
    </row>
    <row r="2936" spans="1:2" x14ac:dyDescent="0.25">
      <c r="A2936" s="307"/>
      <c r="B2936" s="307"/>
    </row>
    <row r="2937" spans="1:2" x14ac:dyDescent="0.25">
      <c r="A2937" s="307"/>
      <c r="B2937" s="307"/>
    </row>
    <row r="2938" spans="1:2" x14ac:dyDescent="0.25">
      <c r="A2938" s="307"/>
      <c r="B2938" s="307"/>
    </row>
    <row r="2939" spans="1:2" x14ac:dyDescent="0.25">
      <c r="A2939" s="307"/>
      <c r="B2939" s="307"/>
    </row>
    <row r="2940" spans="1:2" x14ac:dyDescent="0.25">
      <c r="A2940" s="307"/>
      <c r="B2940" s="307"/>
    </row>
    <row r="2941" spans="1:2" x14ac:dyDescent="0.25">
      <c r="A2941" s="307"/>
      <c r="B2941" s="307"/>
    </row>
    <row r="2942" spans="1:2" x14ac:dyDescent="0.25">
      <c r="A2942" s="307"/>
      <c r="B2942" s="307"/>
    </row>
    <row r="2943" spans="1:2" x14ac:dyDescent="0.25">
      <c r="A2943" s="307"/>
      <c r="B2943" s="307"/>
    </row>
    <row r="2944" spans="1:2" x14ac:dyDescent="0.25">
      <c r="A2944" s="307"/>
      <c r="B2944" s="307"/>
    </row>
    <row r="2945" spans="1:2" x14ac:dyDescent="0.25">
      <c r="A2945" s="307"/>
      <c r="B2945" s="307"/>
    </row>
    <row r="2946" spans="1:2" x14ac:dyDescent="0.25">
      <c r="A2946" s="307"/>
      <c r="B2946" s="307"/>
    </row>
    <row r="2947" spans="1:2" x14ac:dyDescent="0.25">
      <c r="A2947" s="307"/>
      <c r="B2947" s="307"/>
    </row>
    <row r="2948" spans="1:2" x14ac:dyDescent="0.25">
      <c r="A2948" s="307"/>
      <c r="B2948" s="307"/>
    </row>
    <row r="2949" spans="1:2" x14ac:dyDescent="0.25">
      <c r="A2949" s="307"/>
      <c r="B2949" s="307"/>
    </row>
    <row r="2950" spans="1:2" x14ac:dyDescent="0.25">
      <c r="A2950" s="307"/>
      <c r="B2950" s="307"/>
    </row>
    <row r="2951" spans="1:2" x14ac:dyDescent="0.25">
      <c r="A2951" s="307"/>
      <c r="B2951" s="307"/>
    </row>
    <row r="2952" spans="1:2" x14ac:dyDescent="0.25">
      <c r="A2952" s="307"/>
      <c r="B2952" s="307"/>
    </row>
    <row r="2953" spans="1:2" x14ac:dyDescent="0.25">
      <c r="A2953" s="307"/>
      <c r="B2953" s="307"/>
    </row>
    <row r="2954" spans="1:2" x14ac:dyDescent="0.25">
      <c r="A2954" s="307"/>
      <c r="B2954" s="307"/>
    </row>
    <row r="2955" spans="1:2" x14ac:dyDescent="0.25">
      <c r="A2955" s="307"/>
      <c r="B2955" s="307"/>
    </row>
    <row r="2956" spans="1:2" x14ac:dyDescent="0.25">
      <c r="A2956" s="307"/>
      <c r="B2956" s="307"/>
    </row>
    <row r="2957" spans="1:2" x14ac:dyDescent="0.25">
      <c r="A2957" s="307"/>
      <c r="B2957" s="307"/>
    </row>
    <row r="2958" spans="1:2" x14ac:dyDescent="0.25">
      <c r="A2958" s="307"/>
      <c r="B2958" s="307"/>
    </row>
    <row r="2959" spans="1:2" x14ac:dyDescent="0.25">
      <c r="A2959" s="307"/>
      <c r="B2959" s="307"/>
    </row>
    <row r="2960" spans="1:2" x14ac:dyDescent="0.25">
      <c r="A2960" s="307"/>
      <c r="B2960" s="307"/>
    </row>
    <row r="2961" spans="1:2" x14ac:dyDescent="0.25">
      <c r="A2961" s="307"/>
      <c r="B2961" s="307"/>
    </row>
    <row r="2962" spans="1:2" x14ac:dyDescent="0.25">
      <c r="A2962" s="307"/>
      <c r="B2962" s="307"/>
    </row>
    <row r="2963" spans="1:2" x14ac:dyDescent="0.25">
      <c r="A2963" s="307"/>
      <c r="B2963" s="307"/>
    </row>
    <row r="2964" spans="1:2" x14ac:dyDescent="0.25">
      <c r="A2964" s="307"/>
      <c r="B2964" s="307"/>
    </row>
    <row r="2965" spans="1:2" x14ac:dyDescent="0.25">
      <c r="A2965" s="307"/>
      <c r="B2965" s="307"/>
    </row>
    <row r="2966" spans="1:2" x14ac:dyDescent="0.25">
      <c r="A2966" s="307"/>
      <c r="B2966" s="307"/>
    </row>
    <row r="2967" spans="1:2" x14ac:dyDescent="0.25">
      <c r="A2967" s="307"/>
      <c r="B2967" s="307"/>
    </row>
    <row r="2968" spans="1:2" x14ac:dyDescent="0.25">
      <c r="A2968" s="307"/>
      <c r="B2968" s="307"/>
    </row>
    <row r="2969" spans="1:2" x14ac:dyDescent="0.25">
      <c r="A2969" s="307"/>
      <c r="B2969" s="307"/>
    </row>
    <row r="2970" spans="1:2" x14ac:dyDescent="0.25">
      <c r="A2970" s="307"/>
      <c r="B2970" s="307"/>
    </row>
    <row r="2971" spans="1:2" x14ac:dyDescent="0.25">
      <c r="A2971" s="307"/>
      <c r="B2971" s="307"/>
    </row>
    <row r="2972" spans="1:2" x14ac:dyDescent="0.25">
      <c r="A2972" s="307"/>
      <c r="B2972" s="307"/>
    </row>
    <row r="2973" spans="1:2" x14ac:dyDescent="0.25">
      <c r="A2973" s="307"/>
      <c r="B2973" s="307"/>
    </row>
    <row r="2974" spans="1:2" x14ac:dyDescent="0.25">
      <c r="A2974" s="307"/>
      <c r="B2974" s="307"/>
    </row>
    <row r="2975" spans="1:2" x14ac:dyDescent="0.25">
      <c r="A2975" s="307"/>
      <c r="B2975" s="307"/>
    </row>
    <row r="2976" spans="1:2" x14ac:dyDescent="0.25">
      <c r="A2976" s="307"/>
      <c r="B2976" s="307"/>
    </row>
    <row r="2977" spans="1:2" x14ac:dyDescent="0.25">
      <c r="A2977" s="307"/>
      <c r="B2977" s="307"/>
    </row>
    <row r="2978" spans="1:2" x14ac:dyDescent="0.25">
      <c r="A2978" s="307"/>
      <c r="B2978" s="307"/>
    </row>
    <row r="2979" spans="1:2" x14ac:dyDescent="0.25">
      <c r="A2979" s="307"/>
      <c r="B2979" s="307"/>
    </row>
    <row r="2980" spans="1:2" x14ac:dyDescent="0.25">
      <c r="A2980" s="307"/>
      <c r="B2980" s="307"/>
    </row>
    <row r="2981" spans="1:2" x14ac:dyDescent="0.25">
      <c r="A2981" s="307"/>
      <c r="B2981" s="307"/>
    </row>
    <row r="2982" spans="1:2" x14ac:dyDescent="0.25">
      <c r="A2982" s="307"/>
      <c r="B2982" s="307"/>
    </row>
    <row r="2983" spans="1:2" x14ac:dyDescent="0.25">
      <c r="A2983" s="307"/>
      <c r="B2983" s="307"/>
    </row>
    <row r="2984" spans="1:2" x14ac:dyDescent="0.25">
      <c r="A2984" s="307"/>
      <c r="B2984" s="307"/>
    </row>
    <row r="2985" spans="1:2" x14ac:dyDescent="0.25">
      <c r="A2985" s="307"/>
      <c r="B2985" s="307"/>
    </row>
    <row r="2986" spans="1:2" x14ac:dyDescent="0.25">
      <c r="A2986" s="307"/>
      <c r="B2986" s="307"/>
    </row>
    <row r="2987" spans="1:2" x14ac:dyDescent="0.25">
      <c r="A2987" s="307"/>
      <c r="B2987" s="307"/>
    </row>
    <row r="2988" spans="1:2" x14ac:dyDescent="0.25">
      <c r="A2988" s="307"/>
      <c r="B2988" s="307"/>
    </row>
    <row r="2989" spans="1:2" x14ac:dyDescent="0.25">
      <c r="A2989" s="307"/>
      <c r="B2989" s="307"/>
    </row>
    <row r="2990" spans="1:2" x14ac:dyDescent="0.25">
      <c r="A2990" s="307"/>
      <c r="B2990" s="307"/>
    </row>
    <row r="2991" spans="1:2" x14ac:dyDescent="0.25">
      <c r="A2991" s="307"/>
      <c r="B2991" s="307"/>
    </row>
    <row r="2992" spans="1:2" x14ac:dyDescent="0.25">
      <c r="A2992" s="307"/>
      <c r="B2992" s="307"/>
    </row>
    <row r="2993" spans="1:2" x14ac:dyDescent="0.25">
      <c r="A2993" s="307"/>
      <c r="B2993" s="307"/>
    </row>
    <row r="2994" spans="1:2" x14ac:dyDescent="0.25">
      <c r="A2994" s="307"/>
      <c r="B2994" s="307"/>
    </row>
    <row r="2995" spans="1:2" x14ac:dyDescent="0.25">
      <c r="A2995" s="307"/>
      <c r="B2995" s="307"/>
    </row>
    <row r="2996" spans="1:2" x14ac:dyDescent="0.25">
      <c r="A2996" s="307"/>
      <c r="B2996" s="307"/>
    </row>
    <row r="2997" spans="1:2" x14ac:dyDescent="0.25">
      <c r="A2997" s="307"/>
      <c r="B2997" s="307"/>
    </row>
    <row r="2998" spans="1:2" x14ac:dyDescent="0.25">
      <c r="A2998" s="307"/>
      <c r="B2998" s="307"/>
    </row>
    <row r="2999" spans="1:2" x14ac:dyDescent="0.25">
      <c r="A2999" s="307"/>
      <c r="B2999" s="307"/>
    </row>
    <row r="3000" spans="1:2" x14ac:dyDescent="0.25">
      <c r="A3000" s="307"/>
      <c r="B3000" s="307"/>
    </row>
    <row r="3001" spans="1:2" x14ac:dyDescent="0.25">
      <c r="A3001" s="307"/>
      <c r="B3001" s="307"/>
    </row>
    <row r="3002" spans="1:2" x14ac:dyDescent="0.25">
      <c r="A3002" s="307"/>
      <c r="B3002" s="307"/>
    </row>
    <row r="3003" spans="1:2" x14ac:dyDescent="0.25">
      <c r="A3003" s="307"/>
      <c r="B3003" s="307"/>
    </row>
    <row r="3004" spans="1:2" x14ac:dyDescent="0.25">
      <c r="A3004" s="307"/>
      <c r="B3004" s="307"/>
    </row>
    <row r="3005" spans="1:2" x14ac:dyDescent="0.25">
      <c r="A3005" s="307"/>
      <c r="B3005" s="307"/>
    </row>
    <row r="3006" spans="1:2" x14ac:dyDescent="0.25">
      <c r="A3006" s="307"/>
      <c r="B3006" s="307"/>
    </row>
    <row r="3007" spans="1:2" x14ac:dyDescent="0.25">
      <c r="A3007" s="307"/>
      <c r="B3007" s="307"/>
    </row>
    <row r="3008" spans="1:2" x14ac:dyDescent="0.25">
      <c r="A3008" s="307"/>
      <c r="B3008" s="307"/>
    </row>
    <row r="3009" spans="1:2" x14ac:dyDescent="0.25">
      <c r="A3009" s="307"/>
      <c r="B3009" s="307"/>
    </row>
    <row r="3010" spans="1:2" x14ac:dyDescent="0.25">
      <c r="A3010" s="307"/>
      <c r="B3010" s="307"/>
    </row>
    <row r="3011" spans="1:2" x14ac:dyDescent="0.25">
      <c r="A3011" s="307"/>
      <c r="B3011" s="307"/>
    </row>
    <row r="3012" spans="1:2" x14ac:dyDescent="0.25">
      <c r="A3012" s="307"/>
      <c r="B3012" s="307"/>
    </row>
    <row r="3013" spans="1:2" x14ac:dyDescent="0.25">
      <c r="A3013" s="307"/>
      <c r="B3013" s="307"/>
    </row>
    <row r="3014" spans="1:2" x14ac:dyDescent="0.25">
      <c r="A3014" s="307"/>
      <c r="B3014" s="307"/>
    </row>
    <row r="3015" spans="1:2" x14ac:dyDescent="0.25">
      <c r="A3015" s="307"/>
      <c r="B3015" s="307"/>
    </row>
    <row r="3016" spans="1:2" x14ac:dyDescent="0.25">
      <c r="A3016" s="307"/>
      <c r="B3016" s="307"/>
    </row>
    <row r="3017" spans="1:2" x14ac:dyDescent="0.25">
      <c r="A3017" s="307"/>
      <c r="B3017" s="307"/>
    </row>
    <row r="3018" spans="1:2" x14ac:dyDescent="0.25">
      <c r="A3018" s="307"/>
      <c r="B3018" s="307"/>
    </row>
    <row r="3019" spans="1:2" x14ac:dyDescent="0.25">
      <c r="A3019" s="307"/>
      <c r="B3019" s="307"/>
    </row>
    <row r="3020" spans="1:2" x14ac:dyDescent="0.25">
      <c r="A3020" s="307"/>
      <c r="B3020" s="307"/>
    </row>
    <row r="3021" spans="1:2" x14ac:dyDescent="0.25">
      <c r="A3021" s="307"/>
      <c r="B3021" s="307"/>
    </row>
    <row r="3022" spans="1:2" x14ac:dyDescent="0.25">
      <c r="A3022" s="307"/>
      <c r="B3022" s="307"/>
    </row>
    <row r="3023" spans="1:2" x14ac:dyDescent="0.25">
      <c r="A3023" s="307"/>
      <c r="B3023" s="307"/>
    </row>
    <row r="3024" spans="1:2" x14ac:dyDescent="0.25">
      <c r="A3024" s="307"/>
      <c r="B3024" s="307"/>
    </row>
    <row r="3025" spans="1:2" x14ac:dyDescent="0.25">
      <c r="A3025" s="307"/>
      <c r="B3025" s="307"/>
    </row>
    <row r="3026" spans="1:2" x14ac:dyDescent="0.25">
      <c r="A3026" s="307"/>
      <c r="B3026" s="307"/>
    </row>
    <row r="3027" spans="1:2" x14ac:dyDescent="0.25">
      <c r="A3027" s="307"/>
      <c r="B3027" s="307"/>
    </row>
    <row r="3028" spans="1:2" x14ac:dyDescent="0.25">
      <c r="A3028" s="307"/>
      <c r="B3028" s="307"/>
    </row>
    <row r="3029" spans="1:2" x14ac:dyDescent="0.25">
      <c r="A3029" s="307"/>
      <c r="B3029" s="307"/>
    </row>
    <row r="3030" spans="1:2" x14ac:dyDescent="0.25">
      <c r="A3030" s="307"/>
      <c r="B3030" s="307"/>
    </row>
    <row r="3031" spans="1:2" x14ac:dyDescent="0.25">
      <c r="A3031" s="307"/>
      <c r="B3031" s="307"/>
    </row>
    <row r="3032" spans="1:2" x14ac:dyDescent="0.25">
      <c r="A3032" s="307"/>
      <c r="B3032" s="307"/>
    </row>
    <row r="3033" spans="1:2" x14ac:dyDescent="0.25">
      <c r="A3033" s="307"/>
      <c r="B3033" s="307"/>
    </row>
    <row r="3034" spans="1:2" x14ac:dyDescent="0.25">
      <c r="A3034" s="307"/>
      <c r="B3034" s="307"/>
    </row>
    <row r="3035" spans="1:2" x14ac:dyDescent="0.25">
      <c r="A3035" s="307"/>
      <c r="B3035" s="307"/>
    </row>
    <row r="3036" spans="1:2" x14ac:dyDescent="0.25">
      <c r="A3036" s="307"/>
      <c r="B3036" s="307"/>
    </row>
    <row r="3037" spans="1:2" x14ac:dyDescent="0.25">
      <c r="A3037" s="307"/>
      <c r="B3037" s="307"/>
    </row>
    <row r="3038" spans="1:2" x14ac:dyDescent="0.25">
      <c r="A3038" s="307"/>
      <c r="B3038" s="307"/>
    </row>
    <row r="3039" spans="1:2" x14ac:dyDescent="0.25">
      <c r="A3039" s="307"/>
      <c r="B3039" s="307"/>
    </row>
    <row r="3040" spans="1:2" x14ac:dyDescent="0.25">
      <c r="A3040" s="307"/>
      <c r="B3040" s="307"/>
    </row>
    <row r="3041" spans="1:2" x14ac:dyDescent="0.25">
      <c r="A3041" s="307"/>
      <c r="B3041" s="307"/>
    </row>
    <row r="3042" spans="1:2" x14ac:dyDescent="0.25">
      <c r="A3042" s="307"/>
      <c r="B3042" s="307"/>
    </row>
    <row r="3043" spans="1:2" x14ac:dyDescent="0.25">
      <c r="A3043" s="307"/>
      <c r="B3043" s="307"/>
    </row>
    <row r="3044" spans="1:2" x14ac:dyDescent="0.25">
      <c r="A3044" s="307"/>
      <c r="B3044" s="307"/>
    </row>
    <row r="3045" spans="1:2" x14ac:dyDescent="0.25">
      <c r="A3045" s="307"/>
      <c r="B3045" s="307"/>
    </row>
    <row r="3046" spans="1:2" x14ac:dyDescent="0.25">
      <c r="A3046" s="307"/>
      <c r="B3046" s="307"/>
    </row>
    <row r="3047" spans="1:2" x14ac:dyDescent="0.25">
      <c r="A3047" s="307"/>
      <c r="B3047" s="307"/>
    </row>
    <row r="3048" spans="1:2" x14ac:dyDescent="0.25">
      <c r="A3048" s="307"/>
      <c r="B3048" s="307"/>
    </row>
    <row r="3049" spans="1:2" x14ac:dyDescent="0.25">
      <c r="A3049" s="307"/>
      <c r="B3049" s="307"/>
    </row>
    <row r="3050" spans="1:2" x14ac:dyDescent="0.25">
      <c r="A3050" s="307"/>
      <c r="B3050" s="307"/>
    </row>
    <row r="3051" spans="1:2" x14ac:dyDescent="0.25">
      <c r="A3051" s="307"/>
      <c r="B3051" s="307"/>
    </row>
    <row r="3052" spans="1:2" x14ac:dyDescent="0.25">
      <c r="A3052" s="307"/>
      <c r="B3052" s="307"/>
    </row>
    <row r="3053" spans="1:2" x14ac:dyDescent="0.25">
      <c r="A3053" s="307"/>
      <c r="B3053" s="307"/>
    </row>
    <row r="3054" spans="1:2" x14ac:dyDescent="0.25">
      <c r="A3054" s="307"/>
      <c r="B3054" s="307"/>
    </row>
    <row r="3055" spans="1:2" x14ac:dyDescent="0.25">
      <c r="A3055" s="307"/>
      <c r="B3055" s="307"/>
    </row>
    <row r="3056" spans="1:2" x14ac:dyDescent="0.25">
      <c r="A3056" s="307"/>
      <c r="B3056" s="307"/>
    </row>
    <row r="3057" spans="1:2" x14ac:dyDescent="0.25">
      <c r="A3057" s="307"/>
      <c r="B3057" s="307"/>
    </row>
    <row r="3058" spans="1:2" x14ac:dyDescent="0.25">
      <c r="A3058" s="307"/>
      <c r="B3058" s="307"/>
    </row>
    <row r="3059" spans="1:2" x14ac:dyDescent="0.25">
      <c r="A3059" s="307"/>
      <c r="B3059" s="307"/>
    </row>
    <row r="3060" spans="1:2" x14ac:dyDescent="0.25">
      <c r="A3060" s="307"/>
      <c r="B3060" s="307"/>
    </row>
    <row r="3061" spans="1:2" x14ac:dyDescent="0.25">
      <c r="A3061" s="307"/>
      <c r="B3061" s="307"/>
    </row>
    <row r="3062" spans="1:2" x14ac:dyDescent="0.25">
      <c r="A3062" s="307"/>
      <c r="B3062" s="307"/>
    </row>
    <row r="3063" spans="1:2" x14ac:dyDescent="0.25">
      <c r="A3063" s="307"/>
      <c r="B3063" s="307"/>
    </row>
    <row r="3064" spans="1:2" x14ac:dyDescent="0.25">
      <c r="A3064" s="307"/>
      <c r="B3064" s="307"/>
    </row>
    <row r="3065" spans="1:2" x14ac:dyDescent="0.25">
      <c r="A3065" s="307"/>
      <c r="B3065" s="307"/>
    </row>
    <row r="3066" spans="1:2" x14ac:dyDescent="0.25">
      <c r="A3066" s="307"/>
      <c r="B3066" s="307"/>
    </row>
    <row r="3067" spans="1:2" x14ac:dyDescent="0.25">
      <c r="A3067" s="307"/>
      <c r="B3067" s="307"/>
    </row>
    <row r="3068" spans="1:2" x14ac:dyDescent="0.25">
      <c r="A3068" s="307"/>
      <c r="B3068" s="307"/>
    </row>
    <row r="3069" spans="1:2" x14ac:dyDescent="0.25">
      <c r="A3069" s="307"/>
      <c r="B3069" s="307"/>
    </row>
    <row r="3070" spans="1:2" x14ac:dyDescent="0.25">
      <c r="A3070" s="307"/>
      <c r="B3070" s="307"/>
    </row>
    <row r="3071" spans="1:2" x14ac:dyDescent="0.25">
      <c r="A3071" s="307"/>
      <c r="B3071" s="307"/>
    </row>
    <row r="3072" spans="1:2" x14ac:dyDescent="0.25">
      <c r="A3072" s="307"/>
      <c r="B3072" s="307"/>
    </row>
    <row r="3073" spans="1:2" x14ac:dyDescent="0.25">
      <c r="A3073" s="307"/>
      <c r="B3073" s="307"/>
    </row>
    <row r="3074" spans="1:2" x14ac:dyDescent="0.25">
      <c r="A3074" s="307"/>
      <c r="B3074" s="307"/>
    </row>
    <row r="3075" spans="1:2" x14ac:dyDescent="0.25">
      <c r="A3075" s="307"/>
      <c r="B3075" s="307"/>
    </row>
    <row r="3076" spans="1:2" x14ac:dyDescent="0.25">
      <c r="A3076" s="307"/>
      <c r="B3076" s="307"/>
    </row>
    <row r="3077" spans="1:2" x14ac:dyDescent="0.25">
      <c r="A3077" s="307"/>
      <c r="B3077" s="307"/>
    </row>
    <row r="3078" spans="1:2" x14ac:dyDescent="0.25">
      <c r="A3078" s="307"/>
      <c r="B3078" s="307"/>
    </row>
    <row r="3079" spans="1:2" x14ac:dyDescent="0.25">
      <c r="A3079" s="307"/>
      <c r="B3079" s="307"/>
    </row>
    <row r="3080" spans="1:2" x14ac:dyDescent="0.25">
      <c r="A3080" s="307"/>
      <c r="B3080" s="307"/>
    </row>
    <row r="3081" spans="1:2" x14ac:dyDescent="0.25">
      <c r="A3081" s="307"/>
      <c r="B3081" s="307"/>
    </row>
    <row r="3082" spans="1:2" x14ac:dyDescent="0.25">
      <c r="A3082" s="307"/>
      <c r="B3082" s="307"/>
    </row>
    <row r="3083" spans="1:2" x14ac:dyDescent="0.25">
      <c r="A3083" s="307"/>
      <c r="B3083" s="307"/>
    </row>
    <row r="3084" spans="1:2" x14ac:dyDescent="0.25">
      <c r="A3084" s="307"/>
      <c r="B3084" s="307"/>
    </row>
    <row r="3085" spans="1:2" x14ac:dyDescent="0.25">
      <c r="A3085" s="307"/>
      <c r="B3085" s="307"/>
    </row>
    <row r="3086" spans="1:2" x14ac:dyDescent="0.25">
      <c r="A3086" s="307"/>
      <c r="B3086" s="307"/>
    </row>
    <row r="3087" spans="1:2" x14ac:dyDescent="0.25">
      <c r="A3087" s="307"/>
      <c r="B3087" s="307"/>
    </row>
    <row r="3088" spans="1:2" x14ac:dyDescent="0.25">
      <c r="A3088" s="307"/>
      <c r="B3088" s="307"/>
    </row>
    <row r="3089" spans="1:2" x14ac:dyDescent="0.25">
      <c r="A3089" s="307"/>
      <c r="B3089" s="307"/>
    </row>
    <row r="3090" spans="1:2" x14ac:dyDescent="0.25">
      <c r="A3090" s="307"/>
      <c r="B3090" s="307"/>
    </row>
    <row r="3091" spans="1:2" x14ac:dyDescent="0.25">
      <c r="A3091" s="307"/>
      <c r="B3091" s="307"/>
    </row>
    <row r="3092" spans="1:2" x14ac:dyDescent="0.25">
      <c r="A3092" s="307"/>
      <c r="B3092" s="307"/>
    </row>
    <row r="3093" spans="1:2" x14ac:dyDescent="0.25">
      <c r="A3093" s="307"/>
      <c r="B3093" s="307"/>
    </row>
    <row r="3094" spans="1:2" x14ac:dyDescent="0.25">
      <c r="A3094" s="307"/>
      <c r="B3094" s="307"/>
    </row>
    <row r="3095" spans="1:2" x14ac:dyDescent="0.25">
      <c r="A3095" s="307"/>
      <c r="B3095" s="307"/>
    </row>
    <row r="3096" spans="1:2" x14ac:dyDescent="0.25">
      <c r="A3096" s="307"/>
      <c r="B3096" s="307"/>
    </row>
    <row r="3097" spans="1:2" x14ac:dyDescent="0.25">
      <c r="A3097" s="307"/>
      <c r="B3097" s="307"/>
    </row>
    <row r="3098" spans="1:2" x14ac:dyDescent="0.25">
      <c r="A3098" s="307"/>
      <c r="B3098" s="307"/>
    </row>
    <row r="3099" spans="1:2" x14ac:dyDescent="0.25">
      <c r="A3099" s="307"/>
      <c r="B3099" s="307"/>
    </row>
    <row r="3100" spans="1:2" x14ac:dyDescent="0.25">
      <c r="A3100" s="307"/>
      <c r="B3100" s="307"/>
    </row>
    <row r="3101" spans="1:2" x14ac:dyDescent="0.25">
      <c r="A3101" s="307"/>
      <c r="B3101" s="307"/>
    </row>
    <row r="3102" spans="1:2" x14ac:dyDescent="0.25">
      <c r="A3102" s="307"/>
      <c r="B3102" s="307"/>
    </row>
    <row r="3103" spans="1:2" x14ac:dyDescent="0.25">
      <c r="A3103" s="307"/>
      <c r="B3103" s="307"/>
    </row>
    <row r="3104" spans="1:2" x14ac:dyDescent="0.25">
      <c r="A3104" s="307"/>
      <c r="B3104" s="307"/>
    </row>
    <row r="3105" spans="1:2" x14ac:dyDescent="0.25">
      <c r="A3105" s="307"/>
      <c r="B3105" s="307"/>
    </row>
    <row r="3106" spans="1:2" x14ac:dyDescent="0.25">
      <c r="A3106" s="307"/>
      <c r="B3106" s="307"/>
    </row>
    <row r="3107" spans="1:2" x14ac:dyDescent="0.25">
      <c r="A3107" s="307"/>
      <c r="B3107" s="307"/>
    </row>
    <row r="3108" spans="1:2" x14ac:dyDescent="0.25">
      <c r="A3108" s="307"/>
      <c r="B3108" s="307"/>
    </row>
    <row r="3109" spans="1:2" x14ac:dyDescent="0.25">
      <c r="A3109" s="307"/>
      <c r="B3109" s="307"/>
    </row>
    <row r="3110" spans="1:2" x14ac:dyDescent="0.25">
      <c r="A3110" s="307"/>
      <c r="B3110" s="307"/>
    </row>
    <row r="3111" spans="1:2" x14ac:dyDescent="0.25">
      <c r="A3111" s="307"/>
      <c r="B3111" s="307"/>
    </row>
    <row r="3112" spans="1:2" x14ac:dyDescent="0.25">
      <c r="A3112" s="307"/>
      <c r="B3112" s="307"/>
    </row>
    <row r="3113" spans="1:2" x14ac:dyDescent="0.25">
      <c r="A3113" s="307"/>
      <c r="B3113" s="307"/>
    </row>
    <row r="3114" spans="1:2" x14ac:dyDescent="0.25">
      <c r="A3114" s="307"/>
      <c r="B3114" s="307"/>
    </row>
    <row r="3115" spans="1:2" x14ac:dyDescent="0.25">
      <c r="A3115" s="307"/>
      <c r="B3115" s="307"/>
    </row>
    <row r="3116" spans="1:2" x14ac:dyDescent="0.25">
      <c r="A3116" s="307"/>
      <c r="B3116" s="307"/>
    </row>
    <row r="3117" spans="1:2" x14ac:dyDescent="0.25">
      <c r="A3117" s="307"/>
      <c r="B3117" s="307"/>
    </row>
    <row r="3118" spans="1:2" x14ac:dyDescent="0.25">
      <c r="A3118" s="307"/>
      <c r="B3118" s="307"/>
    </row>
    <row r="3119" spans="1:2" x14ac:dyDescent="0.25">
      <c r="A3119" s="307"/>
      <c r="B3119" s="307"/>
    </row>
    <row r="3120" spans="1:2" x14ac:dyDescent="0.25">
      <c r="A3120" s="307"/>
      <c r="B3120" s="307"/>
    </row>
    <row r="3121" spans="1:2" x14ac:dyDescent="0.25">
      <c r="A3121" s="307"/>
      <c r="B3121" s="307"/>
    </row>
    <row r="3122" spans="1:2" x14ac:dyDescent="0.25">
      <c r="A3122" s="307"/>
      <c r="B3122" s="307"/>
    </row>
    <row r="3123" spans="1:2" x14ac:dyDescent="0.25">
      <c r="A3123" s="307"/>
      <c r="B3123" s="307"/>
    </row>
    <row r="3124" spans="1:2" x14ac:dyDescent="0.25">
      <c r="A3124" s="307"/>
      <c r="B3124" s="307"/>
    </row>
    <row r="3125" spans="1:2" x14ac:dyDescent="0.25">
      <c r="A3125" s="307"/>
      <c r="B3125" s="307"/>
    </row>
    <row r="3126" spans="1:2" x14ac:dyDescent="0.25">
      <c r="A3126" s="307"/>
      <c r="B3126" s="307"/>
    </row>
    <row r="3127" spans="1:2" x14ac:dyDescent="0.25">
      <c r="A3127" s="307"/>
      <c r="B3127" s="307"/>
    </row>
    <row r="3128" spans="1:2" x14ac:dyDescent="0.25">
      <c r="A3128" s="307"/>
      <c r="B3128" s="307"/>
    </row>
    <row r="3129" spans="1:2" x14ac:dyDescent="0.25">
      <c r="A3129" s="307"/>
      <c r="B3129" s="307"/>
    </row>
    <row r="3130" spans="1:2" x14ac:dyDescent="0.25">
      <c r="A3130" s="307"/>
      <c r="B3130" s="307"/>
    </row>
    <row r="3131" spans="1:2" x14ac:dyDescent="0.25">
      <c r="A3131" s="307"/>
      <c r="B3131" s="307"/>
    </row>
    <row r="3132" spans="1:2" x14ac:dyDescent="0.25">
      <c r="A3132" s="307"/>
      <c r="B3132" s="307"/>
    </row>
    <row r="3133" spans="1:2" x14ac:dyDescent="0.25">
      <c r="A3133" s="307"/>
      <c r="B3133" s="307"/>
    </row>
    <row r="3134" spans="1:2" x14ac:dyDescent="0.25">
      <c r="A3134" s="307"/>
      <c r="B3134" s="307"/>
    </row>
    <row r="3135" spans="1:2" x14ac:dyDescent="0.25">
      <c r="A3135" s="307"/>
      <c r="B3135" s="307"/>
    </row>
    <row r="3136" spans="1:2" x14ac:dyDescent="0.25">
      <c r="A3136" s="307"/>
      <c r="B3136" s="307"/>
    </row>
    <row r="3137" spans="1:2" x14ac:dyDescent="0.25">
      <c r="A3137" s="307"/>
      <c r="B3137" s="307"/>
    </row>
    <row r="3138" spans="1:2" x14ac:dyDescent="0.25">
      <c r="A3138" s="307"/>
      <c r="B3138" s="307"/>
    </row>
    <row r="3139" spans="1:2" x14ac:dyDescent="0.25">
      <c r="A3139" s="307"/>
      <c r="B3139" s="307"/>
    </row>
    <row r="3140" spans="1:2" x14ac:dyDescent="0.25">
      <c r="A3140" s="307"/>
      <c r="B3140" s="307"/>
    </row>
    <row r="3141" spans="1:2" x14ac:dyDescent="0.25">
      <c r="A3141" s="307"/>
      <c r="B3141" s="307"/>
    </row>
    <row r="3142" spans="1:2" x14ac:dyDescent="0.25">
      <c r="A3142" s="307"/>
      <c r="B3142" s="307"/>
    </row>
    <row r="3143" spans="1:2" x14ac:dyDescent="0.25">
      <c r="A3143" s="307"/>
      <c r="B3143" s="307"/>
    </row>
    <row r="3144" spans="1:2" x14ac:dyDescent="0.25">
      <c r="A3144" s="307"/>
      <c r="B3144" s="307"/>
    </row>
    <row r="3145" spans="1:2" x14ac:dyDescent="0.25">
      <c r="A3145" s="307"/>
      <c r="B3145" s="307"/>
    </row>
    <row r="3146" spans="1:2" x14ac:dyDescent="0.25">
      <c r="A3146" s="307"/>
      <c r="B3146" s="307"/>
    </row>
    <row r="3147" spans="1:2" x14ac:dyDescent="0.25">
      <c r="A3147" s="307"/>
      <c r="B3147" s="307"/>
    </row>
    <row r="3148" spans="1:2" x14ac:dyDescent="0.25">
      <c r="A3148" s="307"/>
      <c r="B3148" s="307"/>
    </row>
    <row r="3149" spans="1:2" x14ac:dyDescent="0.25">
      <c r="A3149" s="307"/>
      <c r="B3149" s="307"/>
    </row>
    <row r="3150" spans="1:2" x14ac:dyDescent="0.25">
      <c r="A3150" s="307"/>
      <c r="B3150" s="307"/>
    </row>
    <row r="3151" spans="1:2" x14ac:dyDescent="0.25">
      <c r="A3151" s="307"/>
      <c r="B3151" s="307"/>
    </row>
    <row r="3152" spans="1:2" x14ac:dyDescent="0.25">
      <c r="A3152" s="307"/>
      <c r="B3152" s="307"/>
    </row>
    <row r="3153" spans="1:2" x14ac:dyDescent="0.25">
      <c r="A3153" s="307"/>
      <c r="B3153" s="307"/>
    </row>
    <row r="3154" spans="1:2" x14ac:dyDescent="0.25">
      <c r="A3154" s="307"/>
      <c r="B3154" s="307"/>
    </row>
    <row r="3155" spans="1:2" x14ac:dyDescent="0.25">
      <c r="A3155" s="307"/>
      <c r="B3155" s="307"/>
    </row>
    <row r="3156" spans="1:2" x14ac:dyDescent="0.25">
      <c r="A3156" s="307"/>
      <c r="B3156" s="307"/>
    </row>
    <row r="3157" spans="1:2" x14ac:dyDescent="0.25">
      <c r="A3157" s="307"/>
      <c r="B3157" s="307"/>
    </row>
    <row r="3158" spans="1:2" x14ac:dyDescent="0.25">
      <c r="A3158" s="307"/>
      <c r="B3158" s="307"/>
    </row>
    <row r="3159" spans="1:2" x14ac:dyDescent="0.25">
      <c r="A3159" s="307"/>
      <c r="B3159" s="307"/>
    </row>
    <row r="3160" spans="1:2" x14ac:dyDescent="0.25">
      <c r="A3160" s="307"/>
      <c r="B3160" s="307"/>
    </row>
    <row r="3161" spans="1:2" x14ac:dyDescent="0.25">
      <c r="A3161" s="307"/>
      <c r="B3161" s="307"/>
    </row>
    <row r="3162" spans="1:2" x14ac:dyDescent="0.25">
      <c r="A3162" s="307"/>
      <c r="B3162" s="307"/>
    </row>
    <row r="3163" spans="1:2" x14ac:dyDescent="0.25">
      <c r="A3163" s="307"/>
      <c r="B3163" s="307"/>
    </row>
    <row r="3164" spans="1:2" x14ac:dyDescent="0.25">
      <c r="A3164" s="307"/>
      <c r="B3164" s="307"/>
    </row>
    <row r="3165" spans="1:2" x14ac:dyDescent="0.25">
      <c r="A3165" s="307"/>
      <c r="B3165" s="307"/>
    </row>
    <row r="3166" spans="1:2" x14ac:dyDescent="0.25">
      <c r="A3166" s="307"/>
      <c r="B3166" s="307"/>
    </row>
    <row r="3167" spans="1:2" x14ac:dyDescent="0.25">
      <c r="A3167" s="307"/>
      <c r="B3167" s="307"/>
    </row>
    <row r="3168" spans="1:2" x14ac:dyDescent="0.25">
      <c r="A3168" s="307"/>
      <c r="B3168" s="307"/>
    </row>
    <row r="3169" spans="1:2" x14ac:dyDescent="0.25">
      <c r="A3169" s="307"/>
      <c r="B3169" s="307"/>
    </row>
    <row r="3170" spans="1:2" x14ac:dyDescent="0.25">
      <c r="A3170" s="307"/>
      <c r="B3170" s="307"/>
    </row>
    <row r="3171" spans="1:2" x14ac:dyDescent="0.25">
      <c r="A3171" s="307"/>
      <c r="B3171" s="307"/>
    </row>
    <row r="3172" spans="1:2" x14ac:dyDescent="0.25">
      <c r="A3172" s="307"/>
      <c r="B3172" s="307"/>
    </row>
    <row r="3173" spans="1:2" x14ac:dyDescent="0.25">
      <c r="A3173" s="307"/>
      <c r="B3173" s="307"/>
    </row>
    <row r="3174" spans="1:2" x14ac:dyDescent="0.25">
      <c r="A3174" s="307"/>
      <c r="B3174" s="307"/>
    </row>
    <row r="3175" spans="1:2" x14ac:dyDescent="0.25">
      <c r="A3175" s="307"/>
      <c r="B3175" s="307"/>
    </row>
    <row r="3176" spans="1:2" x14ac:dyDescent="0.25">
      <c r="A3176" s="307"/>
      <c r="B3176" s="307"/>
    </row>
    <row r="3177" spans="1:2" x14ac:dyDescent="0.25">
      <c r="A3177" s="307"/>
      <c r="B3177" s="307"/>
    </row>
    <row r="3178" spans="1:2" x14ac:dyDescent="0.25">
      <c r="A3178" s="307"/>
      <c r="B3178" s="307"/>
    </row>
    <row r="3179" spans="1:2" x14ac:dyDescent="0.25">
      <c r="A3179" s="307"/>
      <c r="B3179" s="307"/>
    </row>
    <row r="3180" spans="1:2" x14ac:dyDescent="0.25">
      <c r="A3180" s="307"/>
      <c r="B3180" s="307"/>
    </row>
    <row r="3181" spans="1:2" x14ac:dyDescent="0.25">
      <c r="A3181" s="307"/>
      <c r="B3181" s="307"/>
    </row>
    <row r="3182" spans="1:2" x14ac:dyDescent="0.25">
      <c r="A3182" s="307"/>
      <c r="B3182" s="307"/>
    </row>
    <row r="3183" spans="1:2" x14ac:dyDescent="0.25">
      <c r="A3183" s="307"/>
      <c r="B3183" s="307"/>
    </row>
    <row r="3184" spans="1:2" x14ac:dyDescent="0.25">
      <c r="A3184" s="307"/>
      <c r="B3184" s="307"/>
    </row>
    <row r="3185" spans="1:2" x14ac:dyDescent="0.25">
      <c r="A3185" s="307"/>
      <c r="B3185" s="307"/>
    </row>
    <row r="3186" spans="1:2" x14ac:dyDescent="0.25">
      <c r="A3186" s="307"/>
      <c r="B3186" s="307"/>
    </row>
    <row r="3187" spans="1:2" x14ac:dyDescent="0.25">
      <c r="A3187" s="307"/>
      <c r="B3187" s="307"/>
    </row>
    <row r="3188" spans="1:2" x14ac:dyDescent="0.25">
      <c r="A3188" s="307"/>
      <c r="B3188" s="307"/>
    </row>
    <row r="3189" spans="1:2" x14ac:dyDescent="0.25">
      <c r="A3189" s="307"/>
      <c r="B3189" s="307"/>
    </row>
    <row r="3190" spans="1:2" x14ac:dyDescent="0.25">
      <c r="A3190" s="307"/>
      <c r="B3190" s="307"/>
    </row>
    <row r="3191" spans="1:2" x14ac:dyDescent="0.25">
      <c r="A3191" s="307"/>
      <c r="B3191" s="307"/>
    </row>
    <row r="3192" spans="1:2" x14ac:dyDescent="0.25">
      <c r="A3192" s="307"/>
      <c r="B3192" s="307"/>
    </row>
    <row r="3193" spans="1:2" x14ac:dyDescent="0.25">
      <c r="A3193" s="307"/>
      <c r="B3193" s="307"/>
    </row>
    <row r="3194" spans="1:2" x14ac:dyDescent="0.25">
      <c r="A3194" s="307"/>
      <c r="B3194" s="307"/>
    </row>
    <row r="3195" spans="1:2" x14ac:dyDescent="0.25">
      <c r="A3195" s="307"/>
      <c r="B3195" s="307"/>
    </row>
    <row r="3196" spans="1:2" x14ac:dyDescent="0.25">
      <c r="A3196" s="307"/>
      <c r="B3196" s="307"/>
    </row>
    <row r="3197" spans="1:2" x14ac:dyDescent="0.25">
      <c r="A3197" s="307"/>
      <c r="B3197" s="307"/>
    </row>
    <row r="3198" spans="1:2" x14ac:dyDescent="0.25">
      <c r="A3198" s="307"/>
      <c r="B3198" s="307"/>
    </row>
    <row r="3199" spans="1:2" x14ac:dyDescent="0.25">
      <c r="A3199" s="307"/>
      <c r="B3199" s="307"/>
    </row>
    <row r="3200" spans="1:2" x14ac:dyDescent="0.25">
      <c r="A3200" s="307"/>
      <c r="B3200" s="307"/>
    </row>
    <row r="3201" spans="1:2" x14ac:dyDescent="0.25">
      <c r="A3201" s="307"/>
      <c r="B3201" s="307"/>
    </row>
    <row r="3202" spans="1:2" x14ac:dyDescent="0.25">
      <c r="A3202" s="307"/>
      <c r="B3202" s="307"/>
    </row>
    <row r="3203" spans="1:2" x14ac:dyDescent="0.25">
      <c r="A3203" s="307"/>
      <c r="B3203" s="307"/>
    </row>
    <row r="3204" spans="1:2" x14ac:dyDescent="0.25">
      <c r="A3204" s="307"/>
      <c r="B3204" s="307"/>
    </row>
    <row r="3205" spans="1:2" x14ac:dyDescent="0.25">
      <c r="A3205" s="307"/>
      <c r="B3205" s="307"/>
    </row>
    <row r="3206" spans="1:2" x14ac:dyDescent="0.25">
      <c r="A3206" s="307"/>
      <c r="B3206" s="307"/>
    </row>
    <row r="3207" spans="1:2" x14ac:dyDescent="0.25">
      <c r="A3207" s="307"/>
      <c r="B3207" s="307"/>
    </row>
    <row r="3208" spans="1:2" x14ac:dyDescent="0.25">
      <c r="A3208" s="307"/>
      <c r="B3208" s="307"/>
    </row>
    <row r="3209" spans="1:2" x14ac:dyDescent="0.25">
      <c r="A3209" s="307"/>
      <c r="B3209" s="307"/>
    </row>
    <row r="3210" spans="1:2" x14ac:dyDescent="0.25">
      <c r="A3210" s="307"/>
      <c r="B3210" s="307"/>
    </row>
    <row r="3211" spans="1:2" x14ac:dyDescent="0.25">
      <c r="A3211" s="307"/>
      <c r="B3211" s="307"/>
    </row>
    <row r="3212" spans="1:2" x14ac:dyDescent="0.25">
      <c r="A3212" s="307"/>
      <c r="B3212" s="307"/>
    </row>
    <row r="3213" spans="1:2" x14ac:dyDescent="0.25">
      <c r="A3213" s="307"/>
      <c r="B3213" s="307"/>
    </row>
    <row r="3214" spans="1:2" x14ac:dyDescent="0.25">
      <c r="A3214" s="307"/>
      <c r="B3214" s="307"/>
    </row>
    <row r="3215" spans="1:2" x14ac:dyDescent="0.25">
      <c r="A3215" s="307"/>
      <c r="B3215" s="307"/>
    </row>
    <row r="3216" spans="1:2" x14ac:dyDescent="0.25">
      <c r="A3216" s="307"/>
      <c r="B3216" s="307"/>
    </row>
    <row r="3217" spans="1:2" x14ac:dyDescent="0.25">
      <c r="A3217" s="307"/>
      <c r="B3217" s="307"/>
    </row>
    <row r="3218" spans="1:2" x14ac:dyDescent="0.25">
      <c r="A3218" s="307"/>
      <c r="B3218" s="307"/>
    </row>
    <row r="3219" spans="1:2" x14ac:dyDescent="0.25">
      <c r="A3219" s="307"/>
      <c r="B3219" s="307"/>
    </row>
    <row r="3220" spans="1:2" x14ac:dyDescent="0.25">
      <c r="A3220" s="307"/>
      <c r="B3220" s="307"/>
    </row>
    <row r="3221" spans="1:2" x14ac:dyDescent="0.25">
      <c r="A3221" s="307"/>
      <c r="B3221" s="307"/>
    </row>
    <row r="3222" spans="1:2" x14ac:dyDescent="0.25">
      <c r="A3222" s="307"/>
      <c r="B3222" s="307"/>
    </row>
    <row r="3223" spans="1:2" x14ac:dyDescent="0.25">
      <c r="A3223" s="307"/>
      <c r="B3223" s="307"/>
    </row>
    <row r="3224" spans="1:2" x14ac:dyDescent="0.25">
      <c r="A3224" s="307"/>
      <c r="B3224" s="307"/>
    </row>
    <row r="3225" spans="1:2" x14ac:dyDescent="0.25">
      <c r="A3225" s="307"/>
      <c r="B3225" s="307"/>
    </row>
    <row r="3226" spans="1:2" x14ac:dyDescent="0.25">
      <c r="A3226" s="307"/>
      <c r="B3226" s="307"/>
    </row>
    <row r="3227" spans="1:2" x14ac:dyDescent="0.25">
      <c r="A3227" s="307"/>
      <c r="B3227" s="307"/>
    </row>
    <row r="3228" spans="1:2" x14ac:dyDescent="0.25">
      <c r="A3228" s="307"/>
      <c r="B3228" s="307"/>
    </row>
    <row r="3229" spans="1:2" x14ac:dyDescent="0.25">
      <c r="A3229" s="307"/>
      <c r="B3229" s="307"/>
    </row>
    <row r="3230" spans="1:2" x14ac:dyDescent="0.25">
      <c r="A3230" s="307"/>
      <c r="B3230" s="307"/>
    </row>
    <row r="3231" spans="1:2" x14ac:dyDescent="0.25">
      <c r="A3231" s="307"/>
      <c r="B3231" s="307"/>
    </row>
    <row r="3232" spans="1:2" x14ac:dyDescent="0.25">
      <c r="A3232" s="307"/>
      <c r="B3232" s="307"/>
    </row>
    <row r="3233" spans="1:2" x14ac:dyDescent="0.25">
      <c r="A3233" s="307"/>
      <c r="B3233" s="307"/>
    </row>
    <row r="3234" spans="1:2" x14ac:dyDescent="0.25">
      <c r="A3234" s="307"/>
      <c r="B3234" s="307"/>
    </row>
    <row r="3235" spans="1:2" x14ac:dyDescent="0.25">
      <c r="A3235" s="307"/>
      <c r="B3235" s="307"/>
    </row>
    <row r="3236" spans="1:2" x14ac:dyDescent="0.25">
      <c r="A3236" s="307"/>
      <c r="B3236" s="307"/>
    </row>
    <row r="3237" spans="1:2" x14ac:dyDescent="0.25">
      <c r="A3237" s="307"/>
      <c r="B3237" s="307"/>
    </row>
    <row r="3238" spans="1:2" x14ac:dyDescent="0.25">
      <c r="A3238" s="307"/>
      <c r="B3238" s="307"/>
    </row>
    <row r="3239" spans="1:2" x14ac:dyDescent="0.25">
      <c r="A3239" s="307"/>
      <c r="B3239" s="307"/>
    </row>
    <row r="3240" spans="1:2" x14ac:dyDescent="0.25">
      <c r="A3240" s="307"/>
      <c r="B3240" s="307"/>
    </row>
    <row r="3241" spans="1:2" x14ac:dyDescent="0.25">
      <c r="A3241" s="307"/>
      <c r="B3241" s="307"/>
    </row>
    <row r="3242" spans="1:2" x14ac:dyDescent="0.25">
      <c r="A3242" s="307"/>
      <c r="B3242" s="307"/>
    </row>
    <row r="3243" spans="1:2" x14ac:dyDescent="0.25">
      <c r="A3243" s="307"/>
      <c r="B3243" s="307"/>
    </row>
    <row r="3244" spans="1:2" x14ac:dyDescent="0.25">
      <c r="A3244" s="307"/>
      <c r="B3244" s="307"/>
    </row>
    <row r="3245" spans="1:2" x14ac:dyDescent="0.25">
      <c r="A3245" s="307"/>
      <c r="B3245" s="307"/>
    </row>
    <row r="3246" spans="1:2" x14ac:dyDescent="0.25">
      <c r="A3246" s="307"/>
      <c r="B3246" s="307"/>
    </row>
    <row r="3247" spans="1:2" x14ac:dyDescent="0.25">
      <c r="A3247" s="307"/>
      <c r="B3247" s="307"/>
    </row>
    <row r="3248" spans="1:2" x14ac:dyDescent="0.25">
      <c r="A3248" s="307"/>
      <c r="B3248" s="307"/>
    </row>
    <row r="3249" spans="1:2" x14ac:dyDescent="0.25">
      <c r="A3249" s="307"/>
      <c r="B3249" s="307"/>
    </row>
    <row r="3250" spans="1:2" x14ac:dyDescent="0.25">
      <c r="A3250" s="307"/>
      <c r="B3250" s="307"/>
    </row>
    <row r="3251" spans="1:2" x14ac:dyDescent="0.25">
      <c r="A3251" s="307"/>
      <c r="B3251" s="307"/>
    </row>
    <row r="3252" spans="1:2" x14ac:dyDescent="0.25">
      <c r="A3252" s="307"/>
      <c r="B3252" s="307"/>
    </row>
    <row r="3253" spans="1:2" x14ac:dyDescent="0.25">
      <c r="A3253" s="307"/>
      <c r="B3253" s="307"/>
    </row>
    <row r="3254" spans="1:2" x14ac:dyDescent="0.25">
      <c r="A3254" s="307"/>
      <c r="B3254" s="307"/>
    </row>
    <row r="3255" spans="1:2" x14ac:dyDescent="0.25">
      <c r="A3255" s="307"/>
      <c r="B3255" s="307"/>
    </row>
    <row r="3256" spans="1:2" x14ac:dyDescent="0.25">
      <c r="A3256" s="307"/>
      <c r="B3256" s="307"/>
    </row>
    <row r="3257" spans="1:2" x14ac:dyDescent="0.25">
      <c r="A3257" s="307"/>
      <c r="B3257" s="307"/>
    </row>
    <row r="3258" spans="1:2" x14ac:dyDescent="0.25">
      <c r="A3258" s="307"/>
      <c r="B3258" s="307"/>
    </row>
    <row r="3259" spans="1:2" x14ac:dyDescent="0.25">
      <c r="A3259" s="307"/>
      <c r="B3259" s="307"/>
    </row>
    <row r="3260" spans="1:2" x14ac:dyDescent="0.25">
      <c r="A3260" s="307"/>
      <c r="B3260" s="307"/>
    </row>
    <row r="3261" spans="1:2" x14ac:dyDescent="0.25">
      <c r="A3261" s="307"/>
      <c r="B3261" s="307"/>
    </row>
    <row r="3262" spans="1:2" x14ac:dyDescent="0.25">
      <c r="A3262" s="307"/>
      <c r="B3262" s="307"/>
    </row>
    <row r="3263" spans="1:2" x14ac:dyDescent="0.25">
      <c r="A3263" s="307"/>
      <c r="B3263" s="307"/>
    </row>
    <row r="3264" spans="1:2" x14ac:dyDescent="0.25">
      <c r="A3264" s="307"/>
      <c r="B3264" s="307"/>
    </row>
    <row r="3265" spans="1:2" x14ac:dyDescent="0.25">
      <c r="A3265" s="307"/>
      <c r="B3265" s="307"/>
    </row>
    <row r="3266" spans="1:2" x14ac:dyDescent="0.25">
      <c r="A3266" s="307"/>
      <c r="B3266" s="307"/>
    </row>
    <row r="3267" spans="1:2" x14ac:dyDescent="0.25">
      <c r="A3267" s="307"/>
      <c r="B3267" s="307"/>
    </row>
    <row r="3268" spans="1:2" x14ac:dyDescent="0.25">
      <c r="A3268" s="307"/>
      <c r="B3268" s="307"/>
    </row>
    <row r="3269" spans="1:2" x14ac:dyDescent="0.25">
      <c r="A3269" s="307"/>
      <c r="B3269" s="307"/>
    </row>
    <row r="3270" spans="1:2" x14ac:dyDescent="0.25">
      <c r="A3270" s="307"/>
      <c r="B3270" s="307"/>
    </row>
    <row r="3271" spans="1:2" x14ac:dyDescent="0.25">
      <c r="A3271" s="307"/>
      <c r="B3271" s="307"/>
    </row>
    <row r="3272" spans="1:2" x14ac:dyDescent="0.25">
      <c r="A3272" s="307"/>
      <c r="B3272" s="307"/>
    </row>
    <row r="3273" spans="1:2" x14ac:dyDescent="0.25">
      <c r="A3273" s="307"/>
      <c r="B3273" s="307"/>
    </row>
    <row r="3274" spans="1:2" x14ac:dyDescent="0.25">
      <c r="A3274" s="307"/>
      <c r="B3274" s="307"/>
    </row>
    <row r="3275" spans="1:2" x14ac:dyDescent="0.25">
      <c r="A3275" s="307"/>
      <c r="B3275" s="307"/>
    </row>
    <row r="3276" spans="1:2" x14ac:dyDescent="0.25">
      <c r="A3276" s="307"/>
      <c r="B3276" s="307"/>
    </row>
    <row r="3277" spans="1:2" x14ac:dyDescent="0.25">
      <c r="A3277" s="307"/>
      <c r="B3277" s="307"/>
    </row>
    <row r="3278" spans="1:2" x14ac:dyDescent="0.25">
      <c r="A3278" s="307"/>
      <c r="B3278" s="307"/>
    </row>
    <row r="3279" spans="1:2" x14ac:dyDescent="0.25">
      <c r="A3279" s="307"/>
      <c r="B3279" s="307"/>
    </row>
    <row r="3280" spans="1:2" x14ac:dyDescent="0.25">
      <c r="A3280" s="307"/>
      <c r="B3280" s="307"/>
    </row>
    <row r="3281" spans="1:2" x14ac:dyDescent="0.25">
      <c r="A3281" s="307"/>
      <c r="B3281" s="307"/>
    </row>
    <row r="3282" spans="1:2" x14ac:dyDescent="0.25">
      <c r="A3282" s="307"/>
      <c r="B3282" s="307"/>
    </row>
    <row r="3283" spans="1:2" x14ac:dyDescent="0.25">
      <c r="A3283" s="307"/>
      <c r="B3283" s="307"/>
    </row>
    <row r="3284" spans="1:2" x14ac:dyDescent="0.25">
      <c r="A3284" s="307"/>
      <c r="B3284" s="307"/>
    </row>
    <row r="3285" spans="1:2" x14ac:dyDescent="0.25">
      <c r="A3285" s="307"/>
      <c r="B3285" s="307"/>
    </row>
    <row r="3286" spans="1:2" x14ac:dyDescent="0.25">
      <c r="A3286" s="307"/>
      <c r="B3286" s="307"/>
    </row>
    <row r="3287" spans="1:2" x14ac:dyDescent="0.25">
      <c r="A3287" s="307"/>
      <c r="B3287" s="307"/>
    </row>
    <row r="3288" spans="1:2" x14ac:dyDescent="0.25">
      <c r="A3288" s="307"/>
      <c r="B3288" s="307"/>
    </row>
    <row r="3289" spans="1:2" x14ac:dyDescent="0.25">
      <c r="A3289" s="307"/>
      <c r="B3289" s="307"/>
    </row>
    <row r="3290" spans="1:2" x14ac:dyDescent="0.25">
      <c r="A3290" s="307"/>
      <c r="B3290" s="307"/>
    </row>
    <row r="3291" spans="1:2" x14ac:dyDescent="0.25">
      <c r="A3291" s="307"/>
      <c r="B3291" s="307"/>
    </row>
    <row r="3292" spans="1:2" x14ac:dyDescent="0.25">
      <c r="A3292" s="307"/>
      <c r="B3292" s="307"/>
    </row>
    <row r="3293" spans="1:2" x14ac:dyDescent="0.25">
      <c r="A3293" s="307"/>
      <c r="B3293" s="307"/>
    </row>
    <row r="3294" spans="1:2" x14ac:dyDescent="0.25">
      <c r="A3294" s="307"/>
      <c r="B3294" s="307"/>
    </row>
    <row r="3295" spans="1:2" x14ac:dyDescent="0.25">
      <c r="A3295" s="307"/>
      <c r="B3295" s="307"/>
    </row>
    <row r="3296" spans="1:2" x14ac:dyDescent="0.25">
      <c r="A3296" s="307"/>
      <c r="B3296" s="307"/>
    </row>
    <row r="3297" spans="1:2" x14ac:dyDescent="0.25">
      <c r="A3297" s="307"/>
      <c r="B3297" s="307"/>
    </row>
    <row r="3298" spans="1:2" x14ac:dyDescent="0.25">
      <c r="A3298" s="307"/>
      <c r="B3298" s="307"/>
    </row>
    <row r="3299" spans="1:2" x14ac:dyDescent="0.25">
      <c r="A3299" s="307"/>
      <c r="B3299" s="307"/>
    </row>
    <row r="3300" spans="1:2" x14ac:dyDescent="0.25">
      <c r="A3300" s="307"/>
      <c r="B3300" s="307"/>
    </row>
    <row r="3301" spans="1:2" x14ac:dyDescent="0.25">
      <c r="A3301" s="307"/>
      <c r="B3301" s="307"/>
    </row>
    <row r="3302" spans="1:2" x14ac:dyDescent="0.25">
      <c r="A3302" s="307"/>
      <c r="B3302" s="307"/>
    </row>
    <row r="3303" spans="1:2" x14ac:dyDescent="0.25">
      <c r="A3303" s="307"/>
      <c r="B3303" s="307"/>
    </row>
    <row r="3304" spans="1:2" x14ac:dyDescent="0.25">
      <c r="A3304" s="307"/>
      <c r="B3304" s="307"/>
    </row>
    <row r="3305" spans="1:2" x14ac:dyDescent="0.25">
      <c r="A3305" s="307"/>
      <c r="B3305" s="307"/>
    </row>
    <row r="3306" spans="1:2" x14ac:dyDescent="0.25">
      <c r="A3306" s="307"/>
      <c r="B3306" s="307"/>
    </row>
    <row r="3307" spans="1:2" x14ac:dyDescent="0.25">
      <c r="A3307" s="307"/>
      <c r="B3307" s="307"/>
    </row>
    <row r="3308" spans="1:2" x14ac:dyDescent="0.25">
      <c r="A3308" s="307"/>
      <c r="B3308" s="307"/>
    </row>
    <row r="3309" spans="1:2" x14ac:dyDescent="0.25">
      <c r="A3309" s="307"/>
      <c r="B3309" s="307"/>
    </row>
    <row r="3310" spans="1:2" x14ac:dyDescent="0.25">
      <c r="A3310" s="307"/>
      <c r="B3310" s="307"/>
    </row>
    <row r="3311" spans="1:2" x14ac:dyDescent="0.25">
      <c r="A3311" s="307"/>
      <c r="B3311" s="307"/>
    </row>
    <row r="3312" spans="1:2" x14ac:dyDescent="0.25">
      <c r="A3312" s="307"/>
      <c r="B3312" s="307"/>
    </row>
    <row r="3313" spans="1:2" x14ac:dyDescent="0.25">
      <c r="A3313" s="307"/>
      <c r="B3313" s="307"/>
    </row>
    <row r="3314" spans="1:2" x14ac:dyDescent="0.25">
      <c r="A3314" s="307"/>
      <c r="B3314" s="307"/>
    </row>
    <row r="3315" spans="1:2" x14ac:dyDescent="0.25">
      <c r="A3315" s="307"/>
      <c r="B3315" s="307"/>
    </row>
    <row r="3316" spans="1:2" x14ac:dyDescent="0.25">
      <c r="A3316" s="307"/>
      <c r="B3316" s="307"/>
    </row>
    <row r="3317" spans="1:2" x14ac:dyDescent="0.25">
      <c r="A3317" s="307"/>
      <c r="B3317" s="307"/>
    </row>
    <row r="3318" spans="1:2" x14ac:dyDescent="0.25">
      <c r="A3318" s="307"/>
      <c r="B3318" s="307"/>
    </row>
    <row r="3319" spans="1:2" x14ac:dyDescent="0.25">
      <c r="A3319" s="307"/>
      <c r="B3319" s="307"/>
    </row>
    <row r="3320" spans="1:2" x14ac:dyDescent="0.25">
      <c r="A3320" s="307"/>
      <c r="B3320" s="307"/>
    </row>
    <row r="3321" spans="1:2" x14ac:dyDescent="0.25">
      <c r="A3321" s="307"/>
      <c r="B3321" s="307"/>
    </row>
    <row r="3322" spans="1:2" x14ac:dyDescent="0.25">
      <c r="A3322" s="307"/>
      <c r="B3322" s="307"/>
    </row>
    <row r="3323" spans="1:2" x14ac:dyDescent="0.25">
      <c r="A3323" s="307"/>
      <c r="B3323" s="307"/>
    </row>
    <row r="3324" spans="1:2" x14ac:dyDescent="0.25">
      <c r="A3324" s="307"/>
      <c r="B3324" s="307"/>
    </row>
    <row r="3325" spans="1:2" x14ac:dyDescent="0.25">
      <c r="A3325" s="307"/>
      <c r="B3325" s="307"/>
    </row>
    <row r="3326" spans="1:2" x14ac:dyDescent="0.25">
      <c r="A3326" s="307"/>
      <c r="B3326" s="307"/>
    </row>
    <row r="3327" spans="1:2" x14ac:dyDescent="0.25">
      <c r="A3327" s="307"/>
      <c r="B3327" s="307"/>
    </row>
    <row r="3328" spans="1:2" x14ac:dyDescent="0.25">
      <c r="A3328" s="307"/>
      <c r="B3328" s="307"/>
    </row>
    <row r="3329" spans="1:2" x14ac:dyDescent="0.25">
      <c r="A3329" s="307"/>
      <c r="B3329" s="307"/>
    </row>
    <row r="3330" spans="1:2" x14ac:dyDescent="0.25">
      <c r="A3330" s="307"/>
      <c r="B3330" s="307"/>
    </row>
    <row r="3331" spans="1:2" x14ac:dyDescent="0.25">
      <c r="A3331" s="307"/>
      <c r="B3331" s="307"/>
    </row>
    <row r="3332" spans="1:2" x14ac:dyDescent="0.25">
      <c r="A3332" s="307"/>
      <c r="B3332" s="307"/>
    </row>
    <row r="3333" spans="1:2" x14ac:dyDescent="0.25">
      <c r="A3333" s="307"/>
      <c r="B3333" s="307"/>
    </row>
    <row r="3334" spans="1:2" x14ac:dyDescent="0.25">
      <c r="A3334" s="307"/>
      <c r="B3334" s="307"/>
    </row>
    <row r="3335" spans="1:2" x14ac:dyDescent="0.25">
      <c r="A3335" s="307"/>
      <c r="B3335" s="307"/>
    </row>
    <row r="3336" spans="1:2" x14ac:dyDescent="0.25">
      <c r="A3336" s="307"/>
      <c r="B3336" s="307"/>
    </row>
    <row r="3337" spans="1:2" x14ac:dyDescent="0.25">
      <c r="A3337" s="307"/>
      <c r="B3337" s="307"/>
    </row>
    <row r="3338" spans="1:2" x14ac:dyDescent="0.25">
      <c r="A3338" s="307"/>
      <c r="B3338" s="307"/>
    </row>
    <row r="3339" spans="1:2" x14ac:dyDescent="0.25">
      <c r="A3339" s="307"/>
      <c r="B3339" s="307"/>
    </row>
    <row r="3340" spans="1:2" x14ac:dyDescent="0.25">
      <c r="A3340" s="307"/>
      <c r="B3340" s="307"/>
    </row>
    <row r="3341" spans="1:2" x14ac:dyDescent="0.25">
      <c r="A3341" s="307"/>
      <c r="B3341" s="307"/>
    </row>
    <row r="3342" spans="1:2" x14ac:dyDescent="0.25">
      <c r="A3342" s="307"/>
      <c r="B3342" s="307"/>
    </row>
    <row r="3343" spans="1:2" x14ac:dyDescent="0.25">
      <c r="A3343" s="307"/>
      <c r="B3343" s="307"/>
    </row>
    <row r="3344" spans="1:2" x14ac:dyDescent="0.25">
      <c r="A3344" s="307"/>
      <c r="B3344" s="307"/>
    </row>
    <row r="3345" spans="1:2" x14ac:dyDescent="0.25">
      <c r="A3345" s="307"/>
      <c r="B3345" s="307"/>
    </row>
    <row r="3346" spans="1:2" x14ac:dyDescent="0.25">
      <c r="A3346" s="307"/>
      <c r="B3346" s="307"/>
    </row>
    <row r="3347" spans="1:2" x14ac:dyDescent="0.25">
      <c r="A3347" s="307"/>
      <c r="B3347" s="307"/>
    </row>
    <row r="3348" spans="1:2" x14ac:dyDescent="0.25">
      <c r="A3348" s="307"/>
      <c r="B3348" s="307"/>
    </row>
    <row r="3349" spans="1:2" x14ac:dyDescent="0.25">
      <c r="A3349" s="307"/>
      <c r="B3349" s="307"/>
    </row>
    <row r="3350" spans="1:2" x14ac:dyDescent="0.25">
      <c r="A3350" s="307"/>
      <c r="B3350" s="307"/>
    </row>
    <row r="3351" spans="1:2" x14ac:dyDescent="0.25">
      <c r="A3351" s="307"/>
      <c r="B3351" s="307"/>
    </row>
    <row r="3352" spans="1:2" x14ac:dyDescent="0.25">
      <c r="A3352" s="307"/>
      <c r="B3352" s="307"/>
    </row>
    <row r="3353" spans="1:2" x14ac:dyDescent="0.25">
      <c r="A3353" s="307"/>
      <c r="B3353" s="307"/>
    </row>
    <row r="3354" spans="1:2" x14ac:dyDescent="0.25">
      <c r="A3354" s="307"/>
      <c r="B3354" s="307"/>
    </row>
    <row r="3355" spans="1:2" x14ac:dyDescent="0.25">
      <c r="A3355" s="307"/>
      <c r="B3355" s="307"/>
    </row>
    <row r="3356" spans="1:2" x14ac:dyDescent="0.25">
      <c r="A3356" s="307"/>
      <c r="B3356" s="307"/>
    </row>
    <row r="3357" spans="1:2" x14ac:dyDescent="0.25">
      <c r="A3357" s="307"/>
      <c r="B3357" s="307"/>
    </row>
    <row r="3358" spans="1:2" x14ac:dyDescent="0.25">
      <c r="A3358" s="307"/>
      <c r="B3358" s="307"/>
    </row>
    <row r="3359" spans="1:2" x14ac:dyDescent="0.25">
      <c r="A3359" s="307"/>
      <c r="B3359" s="307"/>
    </row>
    <row r="3360" spans="1:2" x14ac:dyDescent="0.25">
      <c r="A3360" s="307"/>
      <c r="B3360" s="307"/>
    </row>
    <row r="3361" spans="1:2" x14ac:dyDescent="0.25">
      <c r="A3361" s="307"/>
      <c r="B3361" s="307"/>
    </row>
    <row r="3362" spans="1:2" x14ac:dyDescent="0.25">
      <c r="A3362" s="307"/>
      <c r="B3362" s="307"/>
    </row>
    <row r="3363" spans="1:2" x14ac:dyDescent="0.25">
      <c r="A3363" s="307"/>
      <c r="B3363" s="307"/>
    </row>
    <row r="3364" spans="1:2" x14ac:dyDescent="0.25">
      <c r="A3364" s="307"/>
      <c r="B3364" s="307"/>
    </row>
    <row r="3365" spans="1:2" x14ac:dyDescent="0.25">
      <c r="A3365" s="307"/>
      <c r="B3365" s="307"/>
    </row>
    <row r="3366" spans="1:2" x14ac:dyDescent="0.25">
      <c r="A3366" s="307"/>
      <c r="B3366" s="307"/>
    </row>
    <row r="3367" spans="1:2" x14ac:dyDescent="0.25">
      <c r="A3367" s="307"/>
      <c r="B3367" s="307"/>
    </row>
    <row r="3368" spans="1:2" x14ac:dyDescent="0.25">
      <c r="A3368" s="307"/>
      <c r="B3368" s="307"/>
    </row>
    <row r="3369" spans="1:2" x14ac:dyDescent="0.25">
      <c r="A3369" s="307"/>
      <c r="B3369" s="307"/>
    </row>
    <row r="3370" spans="1:2" x14ac:dyDescent="0.25">
      <c r="A3370" s="307"/>
      <c r="B3370" s="307"/>
    </row>
    <row r="3371" spans="1:2" x14ac:dyDescent="0.25">
      <c r="A3371" s="307"/>
      <c r="B3371" s="307"/>
    </row>
    <row r="3372" spans="1:2" x14ac:dyDescent="0.25">
      <c r="A3372" s="307"/>
      <c r="B3372" s="307"/>
    </row>
    <row r="3373" spans="1:2" x14ac:dyDescent="0.25">
      <c r="A3373" s="307"/>
      <c r="B3373" s="307"/>
    </row>
    <row r="3374" spans="1:2" x14ac:dyDescent="0.25">
      <c r="A3374" s="307"/>
      <c r="B3374" s="307"/>
    </row>
    <row r="3375" spans="1:2" x14ac:dyDescent="0.25">
      <c r="A3375" s="307"/>
      <c r="B3375" s="307"/>
    </row>
    <row r="3376" spans="1:2" x14ac:dyDescent="0.25">
      <c r="A3376" s="307"/>
      <c r="B3376" s="307"/>
    </row>
    <row r="3377" spans="1:2" x14ac:dyDescent="0.25">
      <c r="A3377" s="307"/>
      <c r="B3377" s="307"/>
    </row>
    <row r="3378" spans="1:2" x14ac:dyDescent="0.25">
      <c r="A3378" s="307"/>
      <c r="B3378" s="307"/>
    </row>
    <row r="3379" spans="1:2" x14ac:dyDescent="0.25">
      <c r="A3379" s="307"/>
      <c r="B3379" s="307"/>
    </row>
    <row r="3380" spans="1:2" x14ac:dyDescent="0.25">
      <c r="A3380" s="307"/>
      <c r="B3380" s="307"/>
    </row>
    <row r="3381" spans="1:2" x14ac:dyDescent="0.25">
      <c r="A3381" s="307"/>
      <c r="B3381" s="307"/>
    </row>
    <row r="3382" spans="1:2" x14ac:dyDescent="0.25">
      <c r="A3382" s="307"/>
      <c r="B3382" s="307"/>
    </row>
    <row r="3383" spans="1:2" x14ac:dyDescent="0.25">
      <c r="A3383" s="307"/>
      <c r="B3383" s="307"/>
    </row>
    <row r="3384" spans="1:2" x14ac:dyDescent="0.25">
      <c r="A3384" s="307"/>
      <c r="B3384" s="307"/>
    </row>
    <row r="3385" spans="1:2" x14ac:dyDescent="0.25">
      <c r="A3385" s="307"/>
      <c r="B3385" s="307"/>
    </row>
    <row r="3386" spans="1:2" x14ac:dyDescent="0.25">
      <c r="A3386" s="307"/>
      <c r="B3386" s="307"/>
    </row>
    <row r="3387" spans="1:2" x14ac:dyDescent="0.25">
      <c r="A3387" s="307"/>
      <c r="B3387" s="307"/>
    </row>
    <row r="3388" spans="1:2" x14ac:dyDescent="0.25">
      <c r="A3388" s="307"/>
      <c r="B3388" s="307"/>
    </row>
    <row r="3389" spans="1:2" x14ac:dyDescent="0.25">
      <c r="A3389" s="307"/>
      <c r="B3389" s="307"/>
    </row>
    <row r="3390" spans="1:2" x14ac:dyDescent="0.25">
      <c r="A3390" s="307"/>
      <c r="B3390" s="307"/>
    </row>
    <row r="3391" spans="1:2" x14ac:dyDescent="0.25">
      <c r="A3391" s="307"/>
      <c r="B3391" s="307"/>
    </row>
    <row r="3392" spans="1:2" x14ac:dyDescent="0.25">
      <c r="A3392" s="307"/>
      <c r="B3392" s="307"/>
    </row>
    <row r="3393" spans="1:2" x14ac:dyDescent="0.25">
      <c r="A3393" s="307"/>
      <c r="B3393" s="307"/>
    </row>
    <row r="3394" spans="1:2" x14ac:dyDescent="0.25">
      <c r="A3394" s="307"/>
      <c r="B3394" s="307"/>
    </row>
    <row r="3395" spans="1:2" x14ac:dyDescent="0.25">
      <c r="A3395" s="307"/>
      <c r="B3395" s="307"/>
    </row>
    <row r="3396" spans="1:2" x14ac:dyDescent="0.25">
      <c r="A3396" s="307"/>
      <c r="B3396" s="307"/>
    </row>
    <row r="3397" spans="1:2" x14ac:dyDescent="0.25">
      <c r="A3397" s="307"/>
      <c r="B3397" s="307"/>
    </row>
    <row r="3398" spans="1:2" x14ac:dyDescent="0.25">
      <c r="A3398" s="307"/>
      <c r="B3398" s="307"/>
    </row>
    <row r="3399" spans="1:2" x14ac:dyDescent="0.25">
      <c r="A3399" s="307"/>
      <c r="B3399" s="307"/>
    </row>
    <row r="3400" spans="1:2" x14ac:dyDescent="0.25">
      <c r="A3400" s="307"/>
      <c r="B3400" s="307"/>
    </row>
    <row r="3401" spans="1:2" x14ac:dyDescent="0.25">
      <c r="A3401" s="307"/>
      <c r="B3401" s="307"/>
    </row>
    <row r="3402" spans="1:2" x14ac:dyDescent="0.25">
      <c r="A3402" s="307"/>
      <c r="B3402" s="307"/>
    </row>
    <row r="3403" spans="1:2" x14ac:dyDescent="0.25">
      <c r="A3403" s="307"/>
      <c r="B3403" s="307"/>
    </row>
    <row r="3404" spans="1:2" x14ac:dyDescent="0.25">
      <c r="A3404" s="307"/>
      <c r="B3404" s="307"/>
    </row>
    <row r="3405" spans="1:2" x14ac:dyDescent="0.25">
      <c r="A3405" s="307"/>
      <c r="B3405" s="307"/>
    </row>
    <row r="3406" spans="1:2" x14ac:dyDescent="0.25">
      <c r="A3406" s="307"/>
      <c r="B3406" s="307"/>
    </row>
    <row r="3407" spans="1:2" x14ac:dyDescent="0.25">
      <c r="A3407" s="307"/>
      <c r="B3407" s="307"/>
    </row>
    <row r="3408" spans="1:2" x14ac:dyDescent="0.25">
      <c r="A3408" s="307"/>
      <c r="B3408" s="307"/>
    </row>
    <row r="3409" spans="1:2" x14ac:dyDescent="0.25">
      <c r="A3409" s="307"/>
      <c r="B3409" s="307"/>
    </row>
    <row r="3410" spans="1:2" x14ac:dyDescent="0.25">
      <c r="A3410" s="307"/>
      <c r="B3410" s="307"/>
    </row>
    <row r="3411" spans="1:2" x14ac:dyDescent="0.25">
      <c r="A3411" s="307"/>
      <c r="B3411" s="307"/>
    </row>
    <row r="3412" spans="1:2" x14ac:dyDescent="0.25">
      <c r="A3412" s="307"/>
      <c r="B3412" s="307"/>
    </row>
    <row r="3413" spans="1:2" x14ac:dyDescent="0.25">
      <c r="A3413" s="307"/>
      <c r="B3413" s="307"/>
    </row>
    <row r="3414" spans="1:2" x14ac:dyDescent="0.25">
      <c r="A3414" s="307"/>
      <c r="B3414" s="307"/>
    </row>
    <row r="3415" spans="1:2" x14ac:dyDescent="0.25">
      <c r="A3415" s="307"/>
      <c r="B3415" s="307"/>
    </row>
    <row r="3416" spans="1:2" x14ac:dyDescent="0.25">
      <c r="A3416" s="307"/>
      <c r="B3416" s="307"/>
    </row>
    <row r="3417" spans="1:2" x14ac:dyDescent="0.25">
      <c r="A3417" s="307"/>
      <c r="B3417" s="307"/>
    </row>
    <row r="3418" spans="1:2" x14ac:dyDescent="0.25">
      <c r="A3418" s="307"/>
      <c r="B3418" s="307"/>
    </row>
    <row r="3419" spans="1:2" x14ac:dyDescent="0.25">
      <c r="A3419" s="307"/>
      <c r="B3419" s="307"/>
    </row>
    <row r="3420" spans="1:2" x14ac:dyDescent="0.25">
      <c r="A3420" s="307"/>
      <c r="B3420" s="307"/>
    </row>
    <row r="3421" spans="1:2" x14ac:dyDescent="0.25">
      <c r="A3421" s="307"/>
      <c r="B3421" s="307"/>
    </row>
    <row r="3422" spans="1:2" x14ac:dyDescent="0.25">
      <c r="A3422" s="307"/>
      <c r="B3422" s="307"/>
    </row>
    <row r="3423" spans="1:2" x14ac:dyDescent="0.25">
      <c r="A3423" s="307"/>
      <c r="B3423" s="307"/>
    </row>
    <row r="3424" spans="1:2" x14ac:dyDescent="0.25">
      <c r="A3424" s="307"/>
      <c r="B3424" s="307"/>
    </row>
    <row r="3425" spans="1:2" x14ac:dyDescent="0.25">
      <c r="A3425" s="307"/>
      <c r="B3425" s="307"/>
    </row>
    <row r="3426" spans="1:2" x14ac:dyDescent="0.25">
      <c r="A3426" s="307"/>
      <c r="B3426" s="307"/>
    </row>
    <row r="3427" spans="1:2" x14ac:dyDescent="0.25">
      <c r="A3427" s="307"/>
      <c r="B3427" s="307"/>
    </row>
    <row r="3428" spans="1:2" x14ac:dyDescent="0.25">
      <c r="A3428" s="307"/>
      <c r="B3428" s="307"/>
    </row>
    <row r="3429" spans="1:2" x14ac:dyDescent="0.25">
      <c r="A3429" s="307"/>
      <c r="B3429" s="307"/>
    </row>
    <row r="3430" spans="1:2" x14ac:dyDescent="0.25">
      <c r="A3430" s="307"/>
      <c r="B3430" s="307"/>
    </row>
    <row r="3431" spans="1:2" x14ac:dyDescent="0.25">
      <c r="A3431" s="307"/>
      <c r="B3431" s="307"/>
    </row>
    <row r="3432" spans="1:2" x14ac:dyDescent="0.25">
      <c r="A3432" s="307"/>
      <c r="B3432" s="307"/>
    </row>
    <row r="3433" spans="1:2" x14ac:dyDescent="0.25">
      <c r="A3433" s="307"/>
      <c r="B3433" s="307"/>
    </row>
    <row r="3434" spans="1:2" x14ac:dyDescent="0.25">
      <c r="A3434" s="307"/>
      <c r="B3434" s="307"/>
    </row>
    <row r="3435" spans="1:2" x14ac:dyDescent="0.25">
      <c r="A3435" s="307"/>
      <c r="B3435" s="307"/>
    </row>
    <row r="3436" spans="1:2" x14ac:dyDescent="0.25">
      <c r="A3436" s="307"/>
      <c r="B3436" s="307"/>
    </row>
    <row r="3437" spans="1:2" x14ac:dyDescent="0.25">
      <c r="A3437" s="307"/>
      <c r="B3437" s="307"/>
    </row>
    <row r="3438" spans="1:2" x14ac:dyDescent="0.25">
      <c r="A3438" s="307"/>
      <c r="B3438" s="307"/>
    </row>
    <row r="3439" spans="1:2" x14ac:dyDescent="0.25">
      <c r="A3439" s="307"/>
      <c r="B3439" s="307"/>
    </row>
    <row r="3440" spans="1:2" x14ac:dyDescent="0.25">
      <c r="A3440" s="307"/>
      <c r="B3440" s="307"/>
    </row>
    <row r="3441" spans="1:2" x14ac:dyDescent="0.25">
      <c r="A3441" s="307"/>
      <c r="B3441" s="307"/>
    </row>
    <row r="3442" spans="1:2" x14ac:dyDescent="0.25">
      <c r="A3442" s="307"/>
      <c r="B3442" s="307"/>
    </row>
    <row r="3443" spans="1:2" x14ac:dyDescent="0.25">
      <c r="A3443" s="307"/>
      <c r="B3443" s="307"/>
    </row>
    <row r="3444" spans="1:2" x14ac:dyDescent="0.25">
      <c r="A3444" s="307"/>
      <c r="B3444" s="307"/>
    </row>
    <row r="3445" spans="1:2" x14ac:dyDescent="0.25">
      <c r="A3445" s="307"/>
      <c r="B3445" s="307"/>
    </row>
    <row r="3446" spans="1:2" x14ac:dyDescent="0.25">
      <c r="A3446" s="307"/>
      <c r="B3446" s="307"/>
    </row>
    <row r="3447" spans="1:2" x14ac:dyDescent="0.25">
      <c r="A3447" s="307"/>
      <c r="B3447" s="307"/>
    </row>
    <row r="3448" spans="1:2" x14ac:dyDescent="0.25">
      <c r="A3448" s="307"/>
      <c r="B3448" s="307"/>
    </row>
    <row r="3449" spans="1:2" x14ac:dyDescent="0.25">
      <c r="A3449" s="307"/>
      <c r="B3449" s="307"/>
    </row>
    <row r="3450" spans="1:2" x14ac:dyDescent="0.25">
      <c r="A3450" s="307"/>
      <c r="B3450" s="307"/>
    </row>
    <row r="3451" spans="1:2" x14ac:dyDescent="0.25">
      <c r="A3451" s="307"/>
      <c r="B3451" s="307"/>
    </row>
    <row r="3452" spans="1:2" x14ac:dyDescent="0.25">
      <c r="A3452" s="307"/>
      <c r="B3452" s="307"/>
    </row>
    <row r="3453" spans="1:2" x14ac:dyDescent="0.25">
      <c r="A3453" s="307"/>
      <c r="B3453" s="307"/>
    </row>
    <row r="3454" spans="1:2" x14ac:dyDescent="0.25">
      <c r="A3454" s="307"/>
      <c r="B3454" s="307"/>
    </row>
    <row r="3455" spans="1:2" x14ac:dyDescent="0.25">
      <c r="A3455" s="307"/>
      <c r="B3455" s="307"/>
    </row>
    <row r="3456" spans="1:2" x14ac:dyDescent="0.25">
      <c r="A3456" s="307"/>
      <c r="B3456" s="307"/>
    </row>
    <row r="3457" spans="1:2" x14ac:dyDescent="0.25">
      <c r="A3457" s="307"/>
      <c r="B3457" s="307"/>
    </row>
    <row r="3458" spans="1:2" x14ac:dyDescent="0.25">
      <c r="A3458" s="307"/>
      <c r="B3458" s="307"/>
    </row>
    <row r="3459" spans="1:2" x14ac:dyDescent="0.25">
      <c r="A3459" s="307"/>
      <c r="B3459" s="307"/>
    </row>
    <row r="3460" spans="1:2" x14ac:dyDescent="0.25">
      <c r="A3460" s="307"/>
      <c r="B3460" s="307"/>
    </row>
    <row r="3461" spans="1:2" x14ac:dyDescent="0.25">
      <c r="A3461" s="307"/>
      <c r="B3461" s="307"/>
    </row>
    <row r="3462" spans="1:2" x14ac:dyDescent="0.25">
      <c r="A3462" s="307"/>
      <c r="B3462" s="307"/>
    </row>
    <row r="3463" spans="1:2" x14ac:dyDescent="0.25">
      <c r="A3463" s="307"/>
      <c r="B3463" s="307"/>
    </row>
    <row r="3464" spans="1:2" x14ac:dyDescent="0.25">
      <c r="A3464" s="307"/>
      <c r="B3464" s="307"/>
    </row>
    <row r="3465" spans="1:2" x14ac:dyDescent="0.25">
      <c r="A3465" s="307"/>
      <c r="B3465" s="307"/>
    </row>
    <row r="3466" spans="1:2" x14ac:dyDescent="0.25">
      <c r="A3466" s="307"/>
      <c r="B3466" s="307"/>
    </row>
    <row r="3467" spans="1:2" x14ac:dyDescent="0.25">
      <c r="A3467" s="307"/>
      <c r="B3467" s="307"/>
    </row>
    <row r="3468" spans="1:2" x14ac:dyDescent="0.25">
      <c r="A3468" s="307"/>
      <c r="B3468" s="307"/>
    </row>
    <row r="3469" spans="1:2" x14ac:dyDescent="0.25">
      <c r="A3469" s="307"/>
      <c r="B3469" s="307"/>
    </row>
    <row r="3470" spans="1:2" x14ac:dyDescent="0.25">
      <c r="A3470" s="307"/>
      <c r="B3470" s="307"/>
    </row>
    <row r="3471" spans="1:2" x14ac:dyDescent="0.25">
      <c r="A3471" s="307"/>
      <c r="B3471" s="307"/>
    </row>
    <row r="3472" spans="1:2" x14ac:dyDescent="0.25">
      <c r="A3472" s="307"/>
      <c r="B3472" s="307"/>
    </row>
    <row r="3473" spans="1:2" x14ac:dyDescent="0.25">
      <c r="A3473" s="307"/>
      <c r="B3473" s="307"/>
    </row>
    <row r="3474" spans="1:2" x14ac:dyDescent="0.25">
      <c r="A3474" s="307"/>
      <c r="B3474" s="307"/>
    </row>
    <row r="3475" spans="1:2" x14ac:dyDescent="0.25">
      <c r="A3475" s="307"/>
      <c r="B3475" s="307"/>
    </row>
    <row r="3476" spans="1:2" x14ac:dyDescent="0.25">
      <c r="A3476" s="307"/>
      <c r="B3476" s="307"/>
    </row>
    <row r="3477" spans="1:2" x14ac:dyDescent="0.25">
      <c r="A3477" s="307"/>
      <c r="B3477" s="307"/>
    </row>
    <row r="3478" spans="1:2" x14ac:dyDescent="0.25">
      <c r="A3478" s="307"/>
      <c r="B3478" s="307"/>
    </row>
    <row r="3479" spans="1:2" x14ac:dyDescent="0.25">
      <c r="A3479" s="307"/>
      <c r="B3479" s="307"/>
    </row>
    <row r="3480" spans="1:2" x14ac:dyDescent="0.25">
      <c r="A3480" s="307"/>
      <c r="B3480" s="307"/>
    </row>
    <row r="3481" spans="1:2" x14ac:dyDescent="0.25">
      <c r="A3481" s="307"/>
      <c r="B3481" s="307"/>
    </row>
    <row r="3482" spans="1:2" x14ac:dyDescent="0.25">
      <c r="A3482" s="307"/>
      <c r="B3482" s="307"/>
    </row>
    <row r="3483" spans="1:2" x14ac:dyDescent="0.25">
      <c r="A3483" s="307"/>
      <c r="B3483" s="307"/>
    </row>
    <row r="3484" spans="1:2" x14ac:dyDescent="0.25">
      <c r="A3484" s="307"/>
      <c r="B3484" s="307"/>
    </row>
    <row r="3485" spans="1:2" x14ac:dyDescent="0.25">
      <c r="A3485" s="307"/>
      <c r="B3485" s="307"/>
    </row>
    <row r="3486" spans="1:2" x14ac:dyDescent="0.25">
      <c r="A3486" s="307"/>
      <c r="B3486" s="307"/>
    </row>
    <row r="3487" spans="1:2" x14ac:dyDescent="0.25">
      <c r="A3487" s="307"/>
      <c r="B3487" s="307"/>
    </row>
    <row r="3488" spans="1:2" x14ac:dyDescent="0.25">
      <c r="A3488" s="307"/>
      <c r="B3488" s="307"/>
    </row>
    <row r="3489" spans="1:2" x14ac:dyDescent="0.25">
      <c r="A3489" s="307"/>
      <c r="B3489" s="307"/>
    </row>
    <row r="3490" spans="1:2" x14ac:dyDescent="0.25">
      <c r="A3490" s="307"/>
      <c r="B3490" s="307"/>
    </row>
    <row r="3491" spans="1:2" x14ac:dyDescent="0.25">
      <c r="A3491" s="307"/>
      <c r="B3491" s="307"/>
    </row>
    <row r="3492" spans="1:2" x14ac:dyDescent="0.25">
      <c r="A3492" s="307"/>
      <c r="B3492" s="307"/>
    </row>
    <row r="3493" spans="1:2" x14ac:dyDescent="0.25">
      <c r="A3493" s="307"/>
      <c r="B3493" s="307"/>
    </row>
    <row r="3494" spans="1:2" x14ac:dyDescent="0.25">
      <c r="A3494" s="307"/>
      <c r="B3494" s="307"/>
    </row>
    <row r="3495" spans="1:2" x14ac:dyDescent="0.25">
      <c r="A3495" s="307"/>
      <c r="B3495" s="307"/>
    </row>
    <row r="3496" spans="1:2" x14ac:dyDescent="0.25">
      <c r="A3496" s="307"/>
      <c r="B3496" s="307"/>
    </row>
    <row r="3497" spans="1:2" x14ac:dyDescent="0.25">
      <c r="A3497" s="307"/>
      <c r="B3497" s="307"/>
    </row>
    <row r="3498" spans="1:2" x14ac:dyDescent="0.25">
      <c r="A3498" s="307"/>
      <c r="B3498" s="307"/>
    </row>
    <row r="3499" spans="1:2" x14ac:dyDescent="0.25">
      <c r="A3499" s="307"/>
      <c r="B3499" s="307"/>
    </row>
    <row r="3500" spans="1:2" x14ac:dyDescent="0.25">
      <c r="A3500" s="307"/>
      <c r="B3500" s="307"/>
    </row>
    <row r="3501" spans="1:2" x14ac:dyDescent="0.25">
      <c r="A3501" s="307"/>
      <c r="B3501" s="307"/>
    </row>
    <row r="3502" spans="1:2" x14ac:dyDescent="0.25">
      <c r="A3502" s="307"/>
      <c r="B3502" s="307"/>
    </row>
    <row r="3503" spans="1:2" x14ac:dyDescent="0.25">
      <c r="A3503" s="307"/>
      <c r="B3503" s="307"/>
    </row>
    <row r="3504" spans="1:2" x14ac:dyDescent="0.25">
      <c r="A3504" s="307"/>
      <c r="B3504" s="307"/>
    </row>
    <row r="3505" spans="1:2" x14ac:dyDescent="0.25">
      <c r="A3505" s="307"/>
      <c r="B3505" s="307"/>
    </row>
    <row r="3506" spans="1:2" x14ac:dyDescent="0.25">
      <c r="A3506" s="307"/>
      <c r="B3506" s="307"/>
    </row>
    <row r="3507" spans="1:2" x14ac:dyDescent="0.25">
      <c r="A3507" s="307"/>
      <c r="B3507" s="307"/>
    </row>
    <row r="3508" spans="1:2" x14ac:dyDescent="0.25">
      <c r="A3508" s="307"/>
      <c r="B3508" s="307"/>
    </row>
    <row r="3509" spans="1:2" x14ac:dyDescent="0.25">
      <c r="A3509" s="307"/>
      <c r="B3509" s="307"/>
    </row>
    <row r="3510" spans="1:2" x14ac:dyDescent="0.25">
      <c r="A3510" s="307"/>
      <c r="B3510" s="307"/>
    </row>
    <row r="3511" spans="1:2" x14ac:dyDescent="0.25">
      <c r="A3511" s="307"/>
      <c r="B3511" s="307"/>
    </row>
    <row r="3512" spans="1:2" x14ac:dyDescent="0.25">
      <c r="A3512" s="307"/>
      <c r="B3512" s="307"/>
    </row>
    <row r="3513" spans="1:2" x14ac:dyDescent="0.25">
      <c r="A3513" s="307"/>
      <c r="B3513" s="307"/>
    </row>
    <row r="3514" spans="1:2" x14ac:dyDescent="0.25">
      <c r="A3514" s="307"/>
      <c r="B3514" s="307"/>
    </row>
    <row r="3515" spans="1:2" x14ac:dyDescent="0.25">
      <c r="A3515" s="307"/>
      <c r="B3515" s="307"/>
    </row>
    <row r="3516" spans="1:2" x14ac:dyDescent="0.25">
      <c r="A3516" s="307"/>
      <c r="B3516" s="307"/>
    </row>
    <row r="3517" spans="1:2" x14ac:dyDescent="0.25">
      <c r="A3517" s="307"/>
      <c r="B3517" s="307"/>
    </row>
    <row r="3518" spans="1:2" x14ac:dyDescent="0.25">
      <c r="A3518" s="307"/>
      <c r="B3518" s="307"/>
    </row>
    <row r="3519" spans="1:2" x14ac:dyDescent="0.25">
      <c r="A3519" s="307"/>
      <c r="B3519" s="307"/>
    </row>
    <row r="3520" spans="1:2" x14ac:dyDescent="0.25">
      <c r="A3520" s="307"/>
      <c r="B3520" s="307"/>
    </row>
    <row r="3521" spans="1:2" x14ac:dyDescent="0.25">
      <c r="A3521" s="307"/>
      <c r="B3521" s="307"/>
    </row>
    <row r="3522" spans="1:2" x14ac:dyDescent="0.25">
      <c r="A3522" s="307"/>
      <c r="B3522" s="307"/>
    </row>
    <row r="3523" spans="1:2" x14ac:dyDescent="0.25">
      <c r="A3523" s="307"/>
      <c r="B3523" s="307"/>
    </row>
    <row r="3524" spans="1:2" x14ac:dyDescent="0.25">
      <c r="A3524" s="307"/>
      <c r="B3524" s="307"/>
    </row>
    <row r="3525" spans="1:2" x14ac:dyDescent="0.25">
      <c r="A3525" s="307"/>
      <c r="B3525" s="307"/>
    </row>
    <row r="3526" spans="1:2" x14ac:dyDescent="0.25">
      <c r="A3526" s="307"/>
      <c r="B3526" s="307"/>
    </row>
    <row r="3527" spans="1:2" x14ac:dyDescent="0.25">
      <c r="A3527" s="307"/>
      <c r="B3527" s="307"/>
    </row>
    <row r="3528" spans="1:2" x14ac:dyDescent="0.25">
      <c r="A3528" s="307"/>
      <c r="B3528" s="307"/>
    </row>
    <row r="3529" spans="1:2" x14ac:dyDescent="0.25">
      <c r="A3529" s="307"/>
      <c r="B3529" s="307"/>
    </row>
    <row r="3530" spans="1:2" x14ac:dyDescent="0.25">
      <c r="A3530" s="307"/>
      <c r="B3530" s="307"/>
    </row>
    <row r="3531" spans="1:2" x14ac:dyDescent="0.25">
      <c r="A3531" s="307"/>
      <c r="B3531" s="307"/>
    </row>
    <row r="3532" spans="1:2" x14ac:dyDescent="0.25">
      <c r="A3532" s="307"/>
      <c r="B3532" s="307"/>
    </row>
    <row r="3533" spans="1:2" x14ac:dyDescent="0.25">
      <c r="A3533" s="307"/>
      <c r="B3533" s="307"/>
    </row>
    <row r="3534" spans="1:2" x14ac:dyDescent="0.25">
      <c r="A3534" s="307"/>
      <c r="B3534" s="307"/>
    </row>
    <row r="3535" spans="1:2" x14ac:dyDescent="0.25">
      <c r="A3535" s="307"/>
      <c r="B3535" s="307"/>
    </row>
    <row r="3536" spans="1:2" x14ac:dyDescent="0.25">
      <c r="A3536" s="307"/>
      <c r="B3536" s="307"/>
    </row>
    <row r="3537" spans="1:2" x14ac:dyDescent="0.25">
      <c r="A3537" s="307"/>
      <c r="B3537" s="307"/>
    </row>
    <row r="3538" spans="1:2" x14ac:dyDescent="0.25">
      <c r="A3538" s="307"/>
      <c r="B3538" s="307"/>
    </row>
    <row r="3539" spans="1:2" x14ac:dyDescent="0.25">
      <c r="A3539" s="307"/>
      <c r="B3539" s="307"/>
    </row>
    <row r="3540" spans="1:2" x14ac:dyDescent="0.25">
      <c r="A3540" s="307"/>
      <c r="B3540" s="307"/>
    </row>
    <row r="3541" spans="1:2" x14ac:dyDescent="0.25">
      <c r="A3541" s="307"/>
      <c r="B3541" s="307"/>
    </row>
    <row r="3542" spans="1:2" x14ac:dyDescent="0.25">
      <c r="A3542" s="307"/>
      <c r="B3542" s="307"/>
    </row>
    <row r="3543" spans="1:2" x14ac:dyDescent="0.25">
      <c r="A3543" s="307"/>
      <c r="B3543" s="307"/>
    </row>
    <row r="3544" spans="1:2" x14ac:dyDescent="0.25">
      <c r="A3544" s="307"/>
      <c r="B3544" s="307"/>
    </row>
    <row r="3545" spans="1:2" x14ac:dyDescent="0.25">
      <c r="A3545" s="307"/>
      <c r="B3545" s="307"/>
    </row>
    <row r="3546" spans="1:2" x14ac:dyDescent="0.25">
      <c r="A3546" s="307"/>
      <c r="B3546" s="307"/>
    </row>
    <row r="3547" spans="1:2" x14ac:dyDescent="0.25">
      <c r="A3547" s="307"/>
      <c r="B3547" s="307"/>
    </row>
    <row r="3548" spans="1:2" x14ac:dyDescent="0.25">
      <c r="A3548" s="307"/>
      <c r="B3548" s="307"/>
    </row>
    <row r="3549" spans="1:2" x14ac:dyDescent="0.25">
      <c r="A3549" s="307"/>
      <c r="B3549" s="307"/>
    </row>
    <row r="3550" spans="1:2" x14ac:dyDescent="0.25">
      <c r="A3550" s="307"/>
      <c r="B3550" s="307"/>
    </row>
    <row r="3551" spans="1:2" x14ac:dyDescent="0.25">
      <c r="A3551" s="307"/>
      <c r="B3551" s="307"/>
    </row>
    <row r="3552" spans="1:2" x14ac:dyDescent="0.25">
      <c r="A3552" s="307"/>
      <c r="B3552" s="307"/>
    </row>
    <row r="3553" spans="1:2" x14ac:dyDescent="0.25">
      <c r="A3553" s="307"/>
      <c r="B3553" s="307"/>
    </row>
    <row r="3554" spans="1:2" x14ac:dyDescent="0.25">
      <c r="A3554" s="307"/>
      <c r="B3554" s="307"/>
    </row>
    <row r="3555" spans="1:2" x14ac:dyDescent="0.25">
      <c r="A3555" s="307"/>
      <c r="B3555" s="307"/>
    </row>
    <row r="3556" spans="1:2" x14ac:dyDescent="0.25">
      <c r="A3556" s="307"/>
      <c r="B3556" s="307"/>
    </row>
    <row r="3557" spans="1:2" x14ac:dyDescent="0.25">
      <c r="A3557" s="307"/>
      <c r="B3557" s="307"/>
    </row>
    <row r="3558" spans="1:2" x14ac:dyDescent="0.25">
      <c r="A3558" s="307"/>
      <c r="B3558" s="307"/>
    </row>
    <row r="3559" spans="1:2" x14ac:dyDescent="0.25">
      <c r="A3559" s="307"/>
      <c r="B3559" s="307"/>
    </row>
    <row r="3560" spans="1:2" x14ac:dyDescent="0.25">
      <c r="A3560" s="307"/>
      <c r="B3560" s="307"/>
    </row>
    <row r="3561" spans="1:2" x14ac:dyDescent="0.25">
      <c r="A3561" s="307"/>
      <c r="B3561" s="307"/>
    </row>
    <row r="3562" spans="1:2" x14ac:dyDescent="0.25">
      <c r="A3562" s="307"/>
      <c r="B3562" s="307"/>
    </row>
    <row r="3563" spans="1:2" x14ac:dyDescent="0.25">
      <c r="A3563" s="307"/>
      <c r="B3563" s="307"/>
    </row>
    <row r="3564" spans="1:2" x14ac:dyDescent="0.25">
      <c r="A3564" s="307"/>
      <c r="B3564" s="307"/>
    </row>
    <row r="3565" spans="1:2" x14ac:dyDescent="0.25">
      <c r="A3565" s="307"/>
      <c r="B3565" s="307"/>
    </row>
    <row r="3566" spans="1:2" x14ac:dyDescent="0.25">
      <c r="A3566" s="307"/>
      <c r="B3566" s="307"/>
    </row>
    <row r="3567" spans="1:2" x14ac:dyDescent="0.25">
      <c r="A3567" s="307"/>
      <c r="B3567" s="307"/>
    </row>
    <row r="3568" spans="1:2" x14ac:dyDescent="0.25">
      <c r="A3568" s="307"/>
      <c r="B3568" s="307"/>
    </row>
    <row r="3569" spans="1:2" x14ac:dyDescent="0.25">
      <c r="A3569" s="307"/>
      <c r="B3569" s="307"/>
    </row>
    <row r="3570" spans="1:2" x14ac:dyDescent="0.25">
      <c r="A3570" s="307"/>
      <c r="B3570" s="307"/>
    </row>
    <row r="3571" spans="1:2" x14ac:dyDescent="0.25">
      <c r="A3571" s="307"/>
      <c r="B3571" s="307"/>
    </row>
    <row r="3572" spans="1:2" x14ac:dyDescent="0.25">
      <c r="A3572" s="307"/>
      <c r="B3572" s="307"/>
    </row>
    <row r="3573" spans="1:2" x14ac:dyDescent="0.25">
      <c r="A3573" s="307"/>
      <c r="B3573" s="307"/>
    </row>
    <row r="3574" spans="1:2" x14ac:dyDescent="0.25">
      <c r="A3574" s="307"/>
      <c r="B3574" s="307"/>
    </row>
    <row r="3575" spans="1:2" x14ac:dyDescent="0.25">
      <c r="A3575" s="307"/>
      <c r="B3575" s="307"/>
    </row>
    <row r="3576" spans="1:2" x14ac:dyDescent="0.25">
      <c r="A3576" s="307"/>
      <c r="B3576" s="307"/>
    </row>
    <row r="3577" spans="1:2" x14ac:dyDescent="0.25">
      <c r="A3577" s="307"/>
      <c r="B3577" s="307"/>
    </row>
    <row r="3578" spans="1:2" x14ac:dyDescent="0.25">
      <c r="A3578" s="307"/>
      <c r="B3578" s="307"/>
    </row>
    <row r="3579" spans="1:2" x14ac:dyDescent="0.25">
      <c r="A3579" s="307"/>
      <c r="B3579" s="307"/>
    </row>
    <row r="3580" spans="1:2" x14ac:dyDescent="0.25">
      <c r="A3580" s="307"/>
      <c r="B3580" s="307"/>
    </row>
    <row r="3581" spans="1:2" x14ac:dyDescent="0.25">
      <c r="A3581" s="307"/>
      <c r="B3581" s="307"/>
    </row>
    <row r="3582" spans="1:2" x14ac:dyDescent="0.25">
      <c r="A3582" s="307"/>
      <c r="B3582" s="307"/>
    </row>
    <row r="3583" spans="1:2" x14ac:dyDescent="0.25">
      <c r="A3583" s="307"/>
      <c r="B3583" s="307"/>
    </row>
    <row r="3584" spans="1:2" x14ac:dyDescent="0.25">
      <c r="A3584" s="307"/>
      <c r="B3584" s="307"/>
    </row>
    <row r="3585" spans="1:2" x14ac:dyDescent="0.25">
      <c r="A3585" s="307"/>
      <c r="B3585" s="307"/>
    </row>
    <row r="3586" spans="1:2" x14ac:dyDescent="0.25">
      <c r="A3586" s="307"/>
      <c r="B3586" s="307"/>
    </row>
    <row r="3587" spans="1:2" x14ac:dyDescent="0.25">
      <c r="A3587" s="307"/>
      <c r="B3587" s="307"/>
    </row>
    <row r="3588" spans="1:2" x14ac:dyDescent="0.25">
      <c r="A3588" s="307"/>
      <c r="B3588" s="307"/>
    </row>
    <row r="3589" spans="1:2" x14ac:dyDescent="0.25">
      <c r="A3589" s="307"/>
      <c r="B3589" s="307"/>
    </row>
    <row r="3590" spans="1:2" x14ac:dyDescent="0.25">
      <c r="A3590" s="307"/>
      <c r="B3590" s="307"/>
    </row>
    <row r="3591" spans="1:2" x14ac:dyDescent="0.25">
      <c r="A3591" s="307"/>
      <c r="B3591" s="307"/>
    </row>
    <row r="3592" spans="1:2" x14ac:dyDescent="0.25">
      <c r="A3592" s="307"/>
      <c r="B3592" s="307"/>
    </row>
    <row r="3593" spans="1:2" x14ac:dyDescent="0.25">
      <c r="A3593" s="307"/>
      <c r="B3593" s="307"/>
    </row>
    <row r="3594" spans="1:2" x14ac:dyDescent="0.25">
      <c r="A3594" s="307"/>
      <c r="B3594" s="307"/>
    </row>
    <row r="3595" spans="1:2" x14ac:dyDescent="0.25">
      <c r="A3595" s="307"/>
      <c r="B3595" s="307"/>
    </row>
    <row r="3596" spans="1:2" x14ac:dyDescent="0.25">
      <c r="A3596" s="307"/>
      <c r="B3596" s="307"/>
    </row>
    <row r="3597" spans="1:2" x14ac:dyDescent="0.25">
      <c r="A3597" s="307"/>
      <c r="B3597" s="307"/>
    </row>
    <row r="3598" spans="1:2" x14ac:dyDescent="0.25">
      <c r="A3598" s="307"/>
      <c r="B3598" s="307"/>
    </row>
    <row r="3599" spans="1:2" x14ac:dyDescent="0.25">
      <c r="A3599" s="307"/>
      <c r="B3599" s="307"/>
    </row>
    <row r="3600" spans="1:2" x14ac:dyDescent="0.25">
      <c r="A3600" s="307"/>
      <c r="B3600" s="307"/>
    </row>
    <row r="3601" spans="1:2" x14ac:dyDescent="0.25">
      <c r="A3601" s="307"/>
      <c r="B3601" s="307"/>
    </row>
    <row r="3602" spans="1:2" x14ac:dyDescent="0.25">
      <c r="A3602" s="307"/>
      <c r="B3602" s="307"/>
    </row>
    <row r="3603" spans="1:2" x14ac:dyDescent="0.25">
      <c r="A3603" s="307"/>
      <c r="B3603" s="307"/>
    </row>
    <row r="3604" spans="1:2" x14ac:dyDescent="0.25">
      <c r="A3604" s="307"/>
      <c r="B3604" s="307"/>
    </row>
    <row r="3605" spans="1:2" x14ac:dyDescent="0.25">
      <c r="A3605" s="307"/>
      <c r="B3605" s="307"/>
    </row>
    <row r="3606" spans="1:2" x14ac:dyDescent="0.25">
      <c r="A3606" s="307"/>
      <c r="B3606" s="307"/>
    </row>
    <row r="3607" spans="1:2" x14ac:dyDescent="0.25">
      <c r="A3607" s="307"/>
      <c r="B3607" s="307"/>
    </row>
    <row r="3608" spans="1:2" x14ac:dyDescent="0.25">
      <c r="A3608" s="307"/>
      <c r="B3608" s="307"/>
    </row>
    <row r="3609" spans="1:2" x14ac:dyDescent="0.25">
      <c r="A3609" s="307"/>
      <c r="B3609" s="307"/>
    </row>
    <row r="3610" spans="1:2" x14ac:dyDescent="0.25">
      <c r="A3610" s="307"/>
      <c r="B3610" s="307"/>
    </row>
    <row r="3611" spans="1:2" x14ac:dyDescent="0.25">
      <c r="A3611" s="307"/>
      <c r="B3611" s="307"/>
    </row>
    <row r="3612" spans="1:2" x14ac:dyDescent="0.25">
      <c r="A3612" s="307"/>
      <c r="B3612" s="307"/>
    </row>
    <row r="3613" spans="1:2" x14ac:dyDescent="0.25">
      <c r="A3613" s="307"/>
      <c r="B3613" s="307"/>
    </row>
    <row r="3614" spans="1:2" x14ac:dyDescent="0.25">
      <c r="A3614" s="307"/>
      <c r="B3614" s="307"/>
    </row>
    <row r="3615" spans="1:2" x14ac:dyDescent="0.25">
      <c r="A3615" s="307"/>
      <c r="B3615" s="307"/>
    </row>
    <row r="3616" spans="1:2" x14ac:dyDescent="0.25">
      <c r="A3616" s="307"/>
      <c r="B3616" s="307"/>
    </row>
    <row r="3617" spans="1:2" x14ac:dyDescent="0.25">
      <c r="A3617" s="307"/>
      <c r="B3617" s="307"/>
    </row>
    <row r="3618" spans="1:2" x14ac:dyDescent="0.25">
      <c r="A3618" s="307"/>
      <c r="B3618" s="307"/>
    </row>
    <row r="3619" spans="1:2" x14ac:dyDescent="0.25">
      <c r="A3619" s="307"/>
      <c r="B3619" s="307"/>
    </row>
    <row r="3620" spans="1:2" x14ac:dyDescent="0.25">
      <c r="A3620" s="307"/>
      <c r="B3620" s="307"/>
    </row>
    <row r="3621" spans="1:2" x14ac:dyDescent="0.25">
      <c r="A3621" s="307"/>
      <c r="B3621" s="307"/>
    </row>
    <row r="3622" spans="1:2" x14ac:dyDescent="0.25">
      <c r="A3622" s="307"/>
      <c r="B3622" s="307"/>
    </row>
    <row r="3623" spans="1:2" x14ac:dyDescent="0.25">
      <c r="A3623" s="307"/>
      <c r="B3623" s="307"/>
    </row>
    <row r="3624" spans="1:2" x14ac:dyDescent="0.25">
      <c r="A3624" s="307"/>
      <c r="B3624" s="307"/>
    </row>
    <row r="3625" spans="1:2" x14ac:dyDescent="0.25">
      <c r="A3625" s="307"/>
      <c r="B3625" s="307"/>
    </row>
    <row r="3626" spans="1:2" x14ac:dyDescent="0.25">
      <c r="A3626" s="307"/>
      <c r="B3626" s="307"/>
    </row>
    <row r="3627" spans="1:2" x14ac:dyDescent="0.25">
      <c r="A3627" s="307"/>
      <c r="B3627" s="307"/>
    </row>
    <row r="3628" spans="1:2" x14ac:dyDescent="0.25">
      <c r="A3628" s="307"/>
      <c r="B3628" s="307"/>
    </row>
    <row r="3629" spans="1:2" x14ac:dyDescent="0.25">
      <c r="A3629" s="307"/>
      <c r="B3629" s="307"/>
    </row>
    <row r="3630" spans="1:2" x14ac:dyDescent="0.25">
      <c r="A3630" s="307"/>
      <c r="B3630" s="307"/>
    </row>
    <row r="3631" spans="1:2" x14ac:dyDescent="0.25">
      <c r="A3631" s="307"/>
      <c r="B3631" s="307"/>
    </row>
    <row r="3632" spans="1:2" x14ac:dyDescent="0.25">
      <c r="A3632" s="307"/>
      <c r="B3632" s="307"/>
    </row>
    <row r="3633" spans="1:2" x14ac:dyDescent="0.25">
      <c r="A3633" s="307"/>
      <c r="B3633" s="307"/>
    </row>
    <row r="3634" spans="1:2" x14ac:dyDescent="0.25">
      <c r="A3634" s="307"/>
      <c r="B3634" s="307"/>
    </row>
    <row r="3635" spans="1:2" x14ac:dyDescent="0.25">
      <c r="A3635" s="307"/>
      <c r="B3635" s="307"/>
    </row>
    <row r="3636" spans="1:2" x14ac:dyDescent="0.25">
      <c r="A3636" s="307"/>
      <c r="B3636" s="307"/>
    </row>
    <row r="3637" spans="1:2" x14ac:dyDescent="0.25">
      <c r="A3637" s="307"/>
      <c r="B3637" s="307"/>
    </row>
    <row r="3638" spans="1:2" x14ac:dyDescent="0.25">
      <c r="A3638" s="307"/>
      <c r="B3638" s="307"/>
    </row>
    <row r="3639" spans="1:2" x14ac:dyDescent="0.25">
      <c r="A3639" s="307"/>
      <c r="B3639" s="307"/>
    </row>
    <row r="3640" spans="1:2" x14ac:dyDescent="0.25">
      <c r="A3640" s="307"/>
      <c r="B3640" s="307"/>
    </row>
    <row r="3641" spans="1:2" x14ac:dyDescent="0.25">
      <c r="A3641" s="307"/>
      <c r="B3641" s="307"/>
    </row>
    <row r="3642" spans="1:2" x14ac:dyDescent="0.25">
      <c r="A3642" s="307"/>
      <c r="B3642" s="307"/>
    </row>
    <row r="3643" spans="1:2" x14ac:dyDescent="0.25">
      <c r="A3643" s="307"/>
      <c r="B3643" s="307"/>
    </row>
    <row r="3644" spans="1:2" x14ac:dyDescent="0.25">
      <c r="A3644" s="307"/>
      <c r="B3644" s="307"/>
    </row>
    <row r="3645" spans="1:2" x14ac:dyDescent="0.25">
      <c r="A3645" s="307"/>
      <c r="B3645" s="307"/>
    </row>
    <row r="3646" spans="1:2" x14ac:dyDescent="0.25">
      <c r="A3646" s="307"/>
      <c r="B3646" s="307"/>
    </row>
    <row r="3647" spans="1:2" x14ac:dyDescent="0.25">
      <c r="A3647" s="307"/>
      <c r="B3647" s="307"/>
    </row>
    <row r="3648" spans="1:2" x14ac:dyDescent="0.25">
      <c r="A3648" s="307"/>
      <c r="B3648" s="307"/>
    </row>
    <row r="3649" spans="1:2" x14ac:dyDescent="0.25">
      <c r="A3649" s="307"/>
      <c r="B3649" s="307"/>
    </row>
    <row r="3650" spans="1:2" x14ac:dyDescent="0.25">
      <c r="A3650" s="307"/>
      <c r="B3650" s="307"/>
    </row>
    <row r="3651" spans="1:2" x14ac:dyDescent="0.25">
      <c r="A3651" s="307"/>
      <c r="B3651" s="307"/>
    </row>
    <row r="3652" spans="1:2" x14ac:dyDescent="0.25">
      <c r="A3652" s="307"/>
      <c r="B3652" s="307"/>
    </row>
    <row r="3653" spans="1:2" x14ac:dyDescent="0.25">
      <c r="A3653" s="307"/>
      <c r="B3653" s="307"/>
    </row>
    <row r="3654" spans="1:2" x14ac:dyDescent="0.25">
      <c r="A3654" s="307"/>
      <c r="B3654" s="307"/>
    </row>
    <row r="3655" spans="1:2" x14ac:dyDescent="0.25">
      <c r="A3655" s="307"/>
      <c r="B3655" s="307"/>
    </row>
    <row r="3656" spans="1:2" x14ac:dyDescent="0.25">
      <c r="A3656" s="307"/>
      <c r="B3656" s="307"/>
    </row>
    <row r="3657" spans="1:2" x14ac:dyDescent="0.25">
      <c r="A3657" s="307"/>
      <c r="B3657" s="307"/>
    </row>
    <row r="3658" spans="1:2" x14ac:dyDescent="0.25">
      <c r="A3658" s="307"/>
      <c r="B3658" s="307"/>
    </row>
    <row r="3659" spans="1:2" x14ac:dyDescent="0.25">
      <c r="A3659" s="307"/>
      <c r="B3659" s="307"/>
    </row>
    <row r="3660" spans="1:2" x14ac:dyDescent="0.25">
      <c r="A3660" s="307"/>
      <c r="B3660" s="307"/>
    </row>
    <row r="3661" spans="1:2" x14ac:dyDescent="0.25">
      <c r="A3661" s="307"/>
      <c r="B3661" s="307"/>
    </row>
    <row r="3662" spans="1:2" x14ac:dyDescent="0.25">
      <c r="A3662" s="307"/>
      <c r="B3662" s="307"/>
    </row>
    <row r="3663" spans="1:2" x14ac:dyDescent="0.25">
      <c r="A3663" s="307"/>
      <c r="B3663" s="307"/>
    </row>
    <row r="3664" spans="1:2" x14ac:dyDescent="0.25">
      <c r="A3664" s="307"/>
      <c r="B3664" s="307"/>
    </row>
    <row r="3665" spans="1:2" x14ac:dyDescent="0.25">
      <c r="A3665" s="307"/>
      <c r="B3665" s="307"/>
    </row>
    <row r="3666" spans="1:2" x14ac:dyDescent="0.25">
      <c r="A3666" s="307"/>
      <c r="B3666" s="307"/>
    </row>
    <row r="3667" spans="1:2" x14ac:dyDescent="0.25">
      <c r="A3667" s="307"/>
      <c r="B3667" s="307"/>
    </row>
    <row r="3668" spans="1:2" x14ac:dyDescent="0.25">
      <c r="A3668" s="307"/>
      <c r="B3668" s="307"/>
    </row>
    <row r="3669" spans="1:2" x14ac:dyDescent="0.25">
      <c r="A3669" s="307"/>
      <c r="B3669" s="307"/>
    </row>
    <row r="3670" spans="1:2" x14ac:dyDescent="0.25">
      <c r="A3670" s="307"/>
      <c r="B3670" s="307"/>
    </row>
    <row r="3671" spans="1:2" x14ac:dyDescent="0.25">
      <c r="A3671" s="307"/>
      <c r="B3671" s="307"/>
    </row>
    <row r="3672" spans="1:2" x14ac:dyDescent="0.25">
      <c r="A3672" s="307"/>
      <c r="B3672" s="307"/>
    </row>
    <row r="3673" spans="1:2" x14ac:dyDescent="0.25">
      <c r="A3673" s="307"/>
      <c r="B3673" s="307"/>
    </row>
    <row r="3674" spans="1:2" x14ac:dyDescent="0.25">
      <c r="A3674" s="307"/>
      <c r="B3674" s="307"/>
    </row>
    <row r="3675" spans="1:2" x14ac:dyDescent="0.25">
      <c r="A3675" s="307"/>
      <c r="B3675" s="307"/>
    </row>
    <row r="3676" spans="1:2" x14ac:dyDescent="0.25">
      <c r="A3676" s="307"/>
      <c r="B3676" s="307"/>
    </row>
    <row r="3677" spans="1:2" x14ac:dyDescent="0.25">
      <c r="A3677" s="307"/>
      <c r="B3677" s="307"/>
    </row>
    <row r="3678" spans="1:2" x14ac:dyDescent="0.25">
      <c r="A3678" s="307"/>
      <c r="B3678" s="307"/>
    </row>
    <row r="3679" spans="1:2" x14ac:dyDescent="0.25">
      <c r="A3679" s="307"/>
      <c r="B3679" s="307"/>
    </row>
    <row r="3680" spans="1:2" x14ac:dyDescent="0.25">
      <c r="A3680" s="307"/>
      <c r="B3680" s="307"/>
    </row>
    <row r="3681" spans="1:2" x14ac:dyDescent="0.25">
      <c r="A3681" s="307"/>
      <c r="B3681" s="307"/>
    </row>
    <row r="3682" spans="1:2" x14ac:dyDescent="0.25">
      <c r="A3682" s="307"/>
      <c r="B3682" s="307"/>
    </row>
    <row r="3683" spans="1:2" x14ac:dyDescent="0.25">
      <c r="A3683" s="307"/>
      <c r="B3683" s="307"/>
    </row>
    <row r="3684" spans="1:2" x14ac:dyDescent="0.25">
      <c r="A3684" s="307"/>
      <c r="B3684" s="307"/>
    </row>
    <row r="3685" spans="1:2" x14ac:dyDescent="0.25">
      <c r="A3685" s="307"/>
      <c r="B3685" s="307"/>
    </row>
    <row r="3686" spans="1:2" x14ac:dyDescent="0.25">
      <c r="A3686" s="307"/>
      <c r="B3686" s="307"/>
    </row>
    <row r="3687" spans="1:2" x14ac:dyDescent="0.25">
      <c r="A3687" s="307"/>
      <c r="B3687" s="307"/>
    </row>
    <row r="3688" spans="1:2" x14ac:dyDescent="0.25">
      <c r="A3688" s="307"/>
      <c r="B3688" s="307"/>
    </row>
    <row r="3689" spans="1:2" x14ac:dyDescent="0.25">
      <c r="A3689" s="307"/>
      <c r="B3689" s="307"/>
    </row>
    <row r="3690" spans="1:2" x14ac:dyDescent="0.25">
      <c r="A3690" s="307"/>
      <c r="B3690" s="307"/>
    </row>
    <row r="3691" spans="1:2" x14ac:dyDescent="0.25">
      <c r="A3691" s="307"/>
      <c r="B3691" s="307"/>
    </row>
    <row r="3692" spans="1:2" x14ac:dyDescent="0.25">
      <c r="A3692" s="307"/>
      <c r="B3692" s="307"/>
    </row>
    <row r="3693" spans="1:2" x14ac:dyDescent="0.25">
      <c r="A3693" s="307"/>
      <c r="B3693" s="307"/>
    </row>
    <row r="3694" spans="1:2" x14ac:dyDescent="0.25">
      <c r="A3694" s="307"/>
      <c r="B3694" s="307"/>
    </row>
    <row r="3695" spans="1:2" x14ac:dyDescent="0.25">
      <c r="A3695" s="307"/>
      <c r="B3695" s="307"/>
    </row>
    <row r="3696" spans="1:2" x14ac:dyDescent="0.25">
      <c r="A3696" s="307"/>
      <c r="B3696" s="307"/>
    </row>
    <row r="3697" spans="1:2" x14ac:dyDescent="0.25">
      <c r="A3697" s="307"/>
      <c r="B3697" s="307"/>
    </row>
    <row r="3698" spans="1:2" x14ac:dyDescent="0.25">
      <c r="A3698" s="307"/>
      <c r="B3698" s="307"/>
    </row>
    <row r="3699" spans="1:2" x14ac:dyDescent="0.25">
      <c r="A3699" s="307"/>
      <c r="B3699" s="307"/>
    </row>
    <row r="3700" spans="1:2" x14ac:dyDescent="0.25">
      <c r="A3700" s="307"/>
      <c r="B3700" s="307"/>
    </row>
    <row r="3701" spans="1:2" x14ac:dyDescent="0.25">
      <c r="A3701" s="307"/>
      <c r="B3701" s="307"/>
    </row>
    <row r="3702" spans="1:2" x14ac:dyDescent="0.25">
      <c r="A3702" s="307"/>
      <c r="B3702" s="307"/>
    </row>
    <row r="3703" spans="1:2" x14ac:dyDescent="0.25">
      <c r="A3703" s="307"/>
      <c r="B3703" s="307"/>
    </row>
    <row r="3704" spans="1:2" x14ac:dyDescent="0.25">
      <c r="A3704" s="307"/>
      <c r="B3704" s="307"/>
    </row>
    <row r="3705" spans="1:2" x14ac:dyDescent="0.25">
      <c r="A3705" s="307"/>
      <c r="B3705" s="307"/>
    </row>
    <row r="3706" spans="1:2" x14ac:dyDescent="0.25">
      <c r="A3706" s="307"/>
      <c r="B3706" s="307"/>
    </row>
    <row r="3707" spans="1:2" x14ac:dyDescent="0.25">
      <c r="A3707" s="307"/>
      <c r="B3707" s="307"/>
    </row>
    <row r="3708" spans="1:2" x14ac:dyDescent="0.25">
      <c r="A3708" s="307"/>
      <c r="B3708" s="307"/>
    </row>
    <row r="3709" spans="1:2" x14ac:dyDescent="0.25">
      <c r="A3709" s="307"/>
      <c r="B3709" s="307"/>
    </row>
    <row r="3710" spans="1:2" x14ac:dyDescent="0.25">
      <c r="A3710" s="307"/>
      <c r="B3710" s="307"/>
    </row>
    <row r="3711" spans="1:2" x14ac:dyDescent="0.25">
      <c r="A3711" s="307"/>
      <c r="B3711" s="307"/>
    </row>
    <row r="3712" spans="1:2" x14ac:dyDescent="0.25">
      <c r="A3712" s="307"/>
      <c r="B3712" s="307"/>
    </row>
    <row r="3713" spans="1:2" x14ac:dyDescent="0.25">
      <c r="A3713" s="307"/>
      <c r="B3713" s="307"/>
    </row>
    <row r="3714" spans="1:2" x14ac:dyDescent="0.25">
      <c r="A3714" s="307"/>
      <c r="B3714" s="307"/>
    </row>
    <row r="3715" spans="1:2" x14ac:dyDescent="0.25">
      <c r="A3715" s="307"/>
      <c r="B3715" s="307"/>
    </row>
    <row r="3716" spans="1:2" x14ac:dyDescent="0.25">
      <c r="A3716" s="307"/>
      <c r="B3716" s="307"/>
    </row>
    <row r="3717" spans="1:2" x14ac:dyDescent="0.25">
      <c r="A3717" s="307"/>
      <c r="B3717" s="307"/>
    </row>
    <row r="3718" spans="1:2" x14ac:dyDescent="0.25">
      <c r="A3718" s="307"/>
      <c r="B3718" s="307"/>
    </row>
    <row r="3719" spans="1:2" x14ac:dyDescent="0.25">
      <c r="A3719" s="307"/>
      <c r="B3719" s="307"/>
    </row>
    <row r="3720" spans="1:2" x14ac:dyDescent="0.25">
      <c r="A3720" s="307"/>
      <c r="B3720" s="307"/>
    </row>
    <row r="3721" spans="1:2" x14ac:dyDescent="0.25">
      <c r="A3721" s="307"/>
      <c r="B3721" s="307"/>
    </row>
    <row r="3722" spans="1:2" x14ac:dyDescent="0.25">
      <c r="A3722" s="307"/>
      <c r="B3722" s="307"/>
    </row>
    <row r="3723" spans="1:2" x14ac:dyDescent="0.25">
      <c r="A3723" s="307"/>
      <c r="B3723" s="307"/>
    </row>
    <row r="3724" spans="1:2" x14ac:dyDescent="0.25">
      <c r="A3724" s="307"/>
      <c r="B3724" s="307"/>
    </row>
    <row r="3725" spans="1:2" x14ac:dyDescent="0.25">
      <c r="A3725" s="307"/>
      <c r="B3725" s="307"/>
    </row>
    <row r="3726" spans="1:2" x14ac:dyDescent="0.25">
      <c r="A3726" s="307"/>
      <c r="B3726" s="307"/>
    </row>
    <row r="3727" spans="1:2" x14ac:dyDescent="0.25">
      <c r="A3727" s="307"/>
      <c r="B3727" s="307"/>
    </row>
    <row r="3728" spans="1:2" x14ac:dyDescent="0.25">
      <c r="A3728" s="307"/>
      <c r="B3728" s="307"/>
    </row>
    <row r="3729" spans="1:2" x14ac:dyDescent="0.25">
      <c r="A3729" s="307"/>
      <c r="B3729" s="307"/>
    </row>
    <row r="3730" spans="1:2" x14ac:dyDescent="0.25">
      <c r="A3730" s="307"/>
      <c r="B3730" s="307"/>
    </row>
    <row r="3731" spans="1:2" x14ac:dyDescent="0.25">
      <c r="A3731" s="307"/>
      <c r="B3731" s="307"/>
    </row>
    <row r="3732" spans="1:2" x14ac:dyDescent="0.25">
      <c r="A3732" s="307"/>
      <c r="B3732" s="307"/>
    </row>
    <row r="3733" spans="1:2" x14ac:dyDescent="0.25">
      <c r="A3733" s="307"/>
      <c r="B3733" s="307"/>
    </row>
    <row r="3734" spans="1:2" x14ac:dyDescent="0.25">
      <c r="A3734" s="307"/>
      <c r="B3734" s="307"/>
    </row>
    <row r="3735" spans="1:2" x14ac:dyDescent="0.25">
      <c r="A3735" s="307"/>
      <c r="B3735" s="307"/>
    </row>
    <row r="3736" spans="1:2" x14ac:dyDescent="0.25">
      <c r="A3736" s="307"/>
      <c r="B3736" s="307"/>
    </row>
    <row r="3737" spans="1:2" x14ac:dyDescent="0.25">
      <c r="A3737" s="307"/>
      <c r="B3737" s="307"/>
    </row>
    <row r="3738" spans="1:2" x14ac:dyDescent="0.25">
      <c r="A3738" s="307"/>
      <c r="B3738" s="307"/>
    </row>
    <row r="3739" spans="1:2" x14ac:dyDescent="0.25">
      <c r="A3739" s="307"/>
      <c r="B3739" s="307"/>
    </row>
    <row r="3740" spans="1:2" x14ac:dyDescent="0.25">
      <c r="A3740" s="307"/>
      <c r="B3740" s="307"/>
    </row>
    <row r="3741" spans="1:2" x14ac:dyDescent="0.25">
      <c r="A3741" s="307"/>
      <c r="B3741" s="307"/>
    </row>
    <row r="3742" spans="1:2" x14ac:dyDescent="0.25">
      <c r="A3742" s="307"/>
      <c r="B3742" s="307"/>
    </row>
    <row r="3743" spans="1:2" x14ac:dyDescent="0.25">
      <c r="A3743" s="307"/>
      <c r="B3743" s="307"/>
    </row>
    <row r="3744" spans="1:2" x14ac:dyDescent="0.25">
      <c r="A3744" s="307"/>
      <c r="B3744" s="307"/>
    </row>
    <row r="3745" spans="1:2" x14ac:dyDescent="0.25">
      <c r="A3745" s="307"/>
      <c r="B3745" s="307"/>
    </row>
    <row r="3746" spans="1:2" x14ac:dyDescent="0.25">
      <c r="A3746" s="307"/>
      <c r="B3746" s="307"/>
    </row>
    <row r="3747" spans="1:2" x14ac:dyDescent="0.25">
      <c r="A3747" s="307"/>
      <c r="B3747" s="307"/>
    </row>
    <row r="3748" spans="1:2" x14ac:dyDescent="0.25">
      <c r="A3748" s="307"/>
      <c r="B3748" s="307"/>
    </row>
    <row r="3749" spans="1:2" x14ac:dyDescent="0.25">
      <c r="A3749" s="307"/>
      <c r="B3749" s="307"/>
    </row>
    <row r="3750" spans="1:2" x14ac:dyDescent="0.25">
      <c r="A3750" s="307"/>
      <c r="B3750" s="307"/>
    </row>
    <row r="3751" spans="1:2" x14ac:dyDescent="0.25">
      <c r="A3751" s="307"/>
      <c r="B3751" s="307"/>
    </row>
    <row r="3752" spans="1:2" x14ac:dyDescent="0.25">
      <c r="A3752" s="307"/>
      <c r="B3752" s="307"/>
    </row>
    <row r="3753" spans="1:2" x14ac:dyDescent="0.25">
      <c r="A3753" s="307"/>
      <c r="B3753" s="307"/>
    </row>
    <row r="3754" spans="1:2" x14ac:dyDescent="0.25">
      <c r="A3754" s="307"/>
      <c r="B3754" s="307"/>
    </row>
    <row r="3755" spans="1:2" x14ac:dyDescent="0.25">
      <c r="A3755" s="307"/>
      <c r="B3755" s="307"/>
    </row>
    <row r="3756" spans="1:2" x14ac:dyDescent="0.25">
      <c r="A3756" s="307"/>
      <c r="B3756" s="307"/>
    </row>
    <row r="3757" spans="1:2" x14ac:dyDescent="0.25">
      <c r="A3757" s="307"/>
      <c r="B3757" s="307"/>
    </row>
    <row r="3758" spans="1:2" x14ac:dyDescent="0.25">
      <c r="A3758" s="307"/>
      <c r="B3758" s="307"/>
    </row>
    <row r="3759" spans="1:2" x14ac:dyDescent="0.25">
      <c r="A3759" s="307"/>
      <c r="B3759" s="307"/>
    </row>
    <row r="3760" spans="1:2" x14ac:dyDescent="0.25">
      <c r="A3760" s="307"/>
      <c r="B3760" s="307"/>
    </row>
    <row r="3761" spans="1:2" x14ac:dyDescent="0.25">
      <c r="A3761" s="307"/>
      <c r="B3761" s="307"/>
    </row>
    <row r="3762" spans="1:2" x14ac:dyDescent="0.25">
      <c r="A3762" s="307"/>
      <c r="B3762" s="307"/>
    </row>
    <row r="3763" spans="1:2" x14ac:dyDescent="0.25">
      <c r="A3763" s="307"/>
      <c r="B3763" s="307"/>
    </row>
    <row r="3764" spans="1:2" x14ac:dyDescent="0.25">
      <c r="A3764" s="307"/>
      <c r="B3764" s="307"/>
    </row>
    <row r="3765" spans="1:2" x14ac:dyDescent="0.25">
      <c r="A3765" s="307"/>
      <c r="B3765" s="307"/>
    </row>
    <row r="3766" spans="1:2" x14ac:dyDescent="0.25">
      <c r="A3766" s="307"/>
      <c r="B3766" s="307"/>
    </row>
    <row r="3767" spans="1:2" x14ac:dyDescent="0.25">
      <c r="A3767" s="307"/>
      <c r="B3767" s="307"/>
    </row>
    <row r="3768" spans="1:2" x14ac:dyDescent="0.25">
      <c r="A3768" s="307"/>
      <c r="B3768" s="307"/>
    </row>
    <row r="3769" spans="1:2" x14ac:dyDescent="0.25">
      <c r="A3769" s="307"/>
      <c r="B3769" s="307"/>
    </row>
    <row r="3770" spans="1:2" x14ac:dyDescent="0.25">
      <c r="A3770" s="307"/>
      <c r="B3770" s="307"/>
    </row>
    <row r="3771" spans="1:2" x14ac:dyDescent="0.25">
      <c r="A3771" s="307"/>
      <c r="B3771" s="307"/>
    </row>
    <row r="3772" spans="1:2" x14ac:dyDescent="0.25">
      <c r="A3772" s="307"/>
      <c r="B3772" s="307"/>
    </row>
    <row r="3773" spans="1:2" x14ac:dyDescent="0.25">
      <c r="A3773" s="307"/>
      <c r="B3773" s="307"/>
    </row>
    <row r="3774" spans="1:2" x14ac:dyDescent="0.25">
      <c r="A3774" s="307"/>
      <c r="B3774" s="307"/>
    </row>
    <row r="3775" spans="1:2" x14ac:dyDescent="0.25">
      <c r="A3775" s="307"/>
      <c r="B3775" s="307"/>
    </row>
    <row r="3776" spans="1:2" x14ac:dyDescent="0.25">
      <c r="A3776" s="307"/>
      <c r="B3776" s="307"/>
    </row>
    <row r="3777" spans="1:2" x14ac:dyDescent="0.25">
      <c r="A3777" s="307"/>
      <c r="B3777" s="307"/>
    </row>
    <row r="3778" spans="1:2" x14ac:dyDescent="0.25">
      <c r="A3778" s="307"/>
      <c r="B3778" s="307"/>
    </row>
    <row r="3779" spans="1:2" x14ac:dyDescent="0.25">
      <c r="A3779" s="307"/>
      <c r="B3779" s="307"/>
    </row>
    <row r="3780" spans="1:2" x14ac:dyDescent="0.25">
      <c r="A3780" s="307"/>
      <c r="B3780" s="307"/>
    </row>
    <row r="3781" spans="1:2" x14ac:dyDescent="0.25">
      <c r="A3781" s="307"/>
      <c r="B3781" s="307"/>
    </row>
    <row r="3782" spans="1:2" x14ac:dyDescent="0.25">
      <c r="A3782" s="307"/>
      <c r="B3782" s="307"/>
    </row>
    <row r="3783" spans="1:2" x14ac:dyDescent="0.25">
      <c r="A3783" s="307"/>
      <c r="B3783" s="307"/>
    </row>
    <row r="3784" spans="1:2" x14ac:dyDescent="0.25">
      <c r="A3784" s="307"/>
      <c r="B3784" s="307"/>
    </row>
    <row r="3785" spans="1:2" x14ac:dyDescent="0.25">
      <c r="A3785" s="307"/>
      <c r="B3785" s="307"/>
    </row>
    <row r="3786" spans="1:2" x14ac:dyDescent="0.25">
      <c r="A3786" s="307"/>
      <c r="B3786" s="307"/>
    </row>
    <row r="3787" spans="1:2" x14ac:dyDescent="0.25">
      <c r="A3787" s="307"/>
      <c r="B3787" s="307"/>
    </row>
    <row r="3788" spans="1:2" x14ac:dyDescent="0.25">
      <c r="A3788" s="307"/>
      <c r="B3788" s="307"/>
    </row>
    <row r="3789" spans="1:2" x14ac:dyDescent="0.25">
      <c r="A3789" s="307"/>
      <c r="B3789" s="307"/>
    </row>
    <row r="3790" spans="1:2" x14ac:dyDescent="0.25">
      <c r="A3790" s="307"/>
      <c r="B3790" s="307"/>
    </row>
    <row r="3791" spans="1:2" x14ac:dyDescent="0.25">
      <c r="A3791" s="307"/>
      <c r="B3791" s="307"/>
    </row>
    <row r="3792" spans="1:2" x14ac:dyDescent="0.25">
      <c r="A3792" s="307"/>
      <c r="B3792" s="307"/>
    </row>
    <row r="3793" spans="1:2" x14ac:dyDescent="0.25">
      <c r="A3793" s="307"/>
      <c r="B3793" s="307"/>
    </row>
    <row r="3794" spans="1:2" x14ac:dyDescent="0.25">
      <c r="A3794" s="307"/>
      <c r="B3794" s="307"/>
    </row>
    <row r="3795" spans="1:2" x14ac:dyDescent="0.25">
      <c r="A3795" s="307"/>
      <c r="B3795" s="307"/>
    </row>
    <row r="3796" spans="1:2" x14ac:dyDescent="0.25">
      <c r="A3796" s="307"/>
      <c r="B3796" s="307"/>
    </row>
    <row r="3797" spans="1:2" x14ac:dyDescent="0.25">
      <c r="A3797" s="307"/>
      <c r="B3797" s="307"/>
    </row>
    <row r="3798" spans="1:2" x14ac:dyDescent="0.25">
      <c r="A3798" s="307"/>
      <c r="B3798" s="307"/>
    </row>
    <row r="3799" spans="1:2" x14ac:dyDescent="0.25">
      <c r="A3799" s="307"/>
      <c r="B3799" s="307"/>
    </row>
    <row r="3800" spans="1:2" x14ac:dyDescent="0.25">
      <c r="A3800" s="307"/>
      <c r="B3800" s="307"/>
    </row>
    <row r="3801" spans="1:2" x14ac:dyDescent="0.25">
      <c r="A3801" s="307"/>
      <c r="B3801" s="307"/>
    </row>
    <row r="3802" spans="1:2" x14ac:dyDescent="0.25">
      <c r="A3802" s="307"/>
      <c r="B3802" s="307"/>
    </row>
    <row r="3803" spans="1:2" x14ac:dyDescent="0.25">
      <c r="A3803" s="307"/>
      <c r="B3803" s="307"/>
    </row>
    <row r="3804" spans="1:2" x14ac:dyDescent="0.25">
      <c r="A3804" s="307"/>
      <c r="B3804" s="307"/>
    </row>
    <row r="3805" spans="1:2" x14ac:dyDescent="0.25">
      <c r="A3805" s="307"/>
      <c r="B3805" s="307"/>
    </row>
    <row r="3806" spans="1:2" x14ac:dyDescent="0.25">
      <c r="A3806" s="307"/>
      <c r="B3806" s="307"/>
    </row>
    <row r="3807" spans="1:2" x14ac:dyDescent="0.25">
      <c r="A3807" s="307"/>
      <c r="B3807" s="307"/>
    </row>
    <row r="3808" spans="1:2" x14ac:dyDescent="0.25">
      <c r="A3808" s="307"/>
      <c r="B3808" s="307"/>
    </row>
    <row r="3809" spans="1:2" x14ac:dyDescent="0.25">
      <c r="A3809" s="307"/>
      <c r="B3809" s="307"/>
    </row>
    <row r="3810" spans="1:2" x14ac:dyDescent="0.25">
      <c r="A3810" s="307"/>
      <c r="B3810" s="307"/>
    </row>
    <row r="3811" spans="1:2" x14ac:dyDescent="0.25">
      <c r="A3811" s="307"/>
      <c r="B3811" s="307"/>
    </row>
    <row r="3812" spans="1:2" x14ac:dyDescent="0.25">
      <c r="A3812" s="307"/>
      <c r="B3812" s="307"/>
    </row>
    <row r="3813" spans="1:2" x14ac:dyDescent="0.25">
      <c r="A3813" s="307"/>
      <c r="B3813" s="307"/>
    </row>
    <row r="3814" spans="1:2" x14ac:dyDescent="0.25">
      <c r="A3814" s="307"/>
      <c r="B3814" s="307"/>
    </row>
    <row r="3815" spans="1:2" x14ac:dyDescent="0.25">
      <c r="A3815" s="307"/>
      <c r="B3815" s="307"/>
    </row>
    <row r="3816" spans="1:2" x14ac:dyDescent="0.25">
      <c r="A3816" s="307"/>
      <c r="B3816" s="307"/>
    </row>
    <row r="3817" spans="1:2" x14ac:dyDescent="0.25">
      <c r="A3817" s="307"/>
      <c r="B3817" s="307"/>
    </row>
    <row r="3818" spans="1:2" x14ac:dyDescent="0.25">
      <c r="A3818" s="307"/>
      <c r="B3818" s="307"/>
    </row>
    <row r="3819" spans="1:2" x14ac:dyDescent="0.25">
      <c r="A3819" s="307"/>
      <c r="B3819" s="307"/>
    </row>
    <row r="3820" spans="1:2" x14ac:dyDescent="0.25">
      <c r="A3820" s="307"/>
      <c r="B3820" s="307"/>
    </row>
    <row r="3821" spans="1:2" x14ac:dyDescent="0.25">
      <c r="A3821" s="307"/>
      <c r="B3821" s="307"/>
    </row>
    <row r="3822" spans="1:2" x14ac:dyDescent="0.25">
      <c r="A3822" s="307"/>
      <c r="B3822" s="307"/>
    </row>
    <row r="3823" spans="1:2" x14ac:dyDescent="0.25">
      <c r="A3823" s="307"/>
      <c r="B3823" s="307"/>
    </row>
    <row r="3824" spans="1:2" x14ac:dyDescent="0.25">
      <c r="A3824" s="307"/>
      <c r="B3824" s="307"/>
    </row>
    <row r="3825" spans="1:2" x14ac:dyDescent="0.25">
      <c r="A3825" s="307"/>
      <c r="B3825" s="307"/>
    </row>
    <row r="3826" spans="1:2" x14ac:dyDescent="0.25">
      <c r="A3826" s="307"/>
      <c r="B3826" s="307"/>
    </row>
    <row r="3827" spans="1:2" x14ac:dyDescent="0.25">
      <c r="A3827" s="307"/>
      <c r="B3827" s="307"/>
    </row>
    <row r="3828" spans="1:2" x14ac:dyDescent="0.25">
      <c r="A3828" s="307"/>
      <c r="B3828" s="307"/>
    </row>
    <row r="3829" spans="1:2" x14ac:dyDescent="0.25">
      <c r="A3829" s="307"/>
      <c r="B3829" s="307"/>
    </row>
    <row r="3830" spans="1:2" x14ac:dyDescent="0.25">
      <c r="A3830" s="307"/>
      <c r="B3830" s="307"/>
    </row>
    <row r="3831" spans="1:2" x14ac:dyDescent="0.25">
      <c r="A3831" s="307"/>
      <c r="B3831" s="307"/>
    </row>
    <row r="3832" spans="1:2" x14ac:dyDescent="0.25">
      <c r="A3832" s="307"/>
      <c r="B3832" s="307"/>
    </row>
    <row r="3833" spans="1:2" x14ac:dyDescent="0.25">
      <c r="A3833" s="307"/>
      <c r="B3833" s="307"/>
    </row>
    <row r="3834" spans="1:2" x14ac:dyDescent="0.25">
      <c r="A3834" s="307"/>
      <c r="B3834" s="307"/>
    </row>
    <row r="3835" spans="1:2" x14ac:dyDescent="0.25">
      <c r="A3835" s="307"/>
      <c r="B3835" s="307"/>
    </row>
    <row r="3836" spans="1:2" x14ac:dyDescent="0.25">
      <c r="A3836" s="307"/>
      <c r="B3836" s="307"/>
    </row>
    <row r="3837" spans="1:2" x14ac:dyDescent="0.25">
      <c r="A3837" s="307"/>
      <c r="B3837" s="307"/>
    </row>
    <row r="3838" spans="1:2" x14ac:dyDescent="0.25">
      <c r="A3838" s="307"/>
      <c r="B3838" s="307"/>
    </row>
    <row r="3839" spans="1:2" x14ac:dyDescent="0.25">
      <c r="A3839" s="307"/>
      <c r="B3839" s="307"/>
    </row>
    <row r="3840" spans="1:2" x14ac:dyDescent="0.25">
      <c r="A3840" s="307"/>
      <c r="B3840" s="307"/>
    </row>
    <row r="3841" spans="1:2" x14ac:dyDescent="0.25">
      <c r="A3841" s="307"/>
      <c r="B3841" s="307"/>
    </row>
    <row r="3842" spans="1:2" x14ac:dyDescent="0.25">
      <c r="A3842" s="307"/>
      <c r="B3842" s="307"/>
    </row>
    <row r="3843" spans="1:2" x14ac:dyDescent="0.25">
      <c r="A3843" s="307"/>
      <c r="B3843" s="307"/>
    </row>
    <row r="3844" spans="1:2" x14ac:dyDescent="0.25">
      <c r="A3844" s="307"/>
      <c r="B3844" s="307"/>
    </row>
    <row r="3845" spans="1:2" x14ac:dyDescent="0.25">
      <c r="A3845" s="307"/>
      <c r="B3845" s="307"/>
    </row>
    <row r="3846" spans="1:2" x14ac:dyDescent="0.25">
      <c r="A3846" s="307"/>
      <c r="B3846" s="307"/>
    </row>
    <row r="3847" spans="1:2" x14ac:dyDescent="0.25">
      <c r="A3847" s="307"/>
      <c r="B3847" s="307"/>
    </row>
    <row r="3848" spans="1:2" x14ac:dyDescent="0.25">
      <c r="A3848" s="307"/>
      <c r="B3848" s="307"/>
    </row>
    <row r="3849" spans="1:2" x14ac:dyDescent="0.25">
      <c r="A3849" s="307"/>
      <c r="B3849" s="307"/>
    </row>
    <row r="3850" spans="1:2" x14ac:dyDescent="0.25">
      <c r="A3850" s="307"/>
      <c r="B3850" s="307"/>
    </row>
    <row r="3851" spans="1:2" x14ac:dyDescent="0.25">
      <c r="A3851" s="307"/>
      <c r="B3851" s="307"/>
    </row>
    <row r="3852" spans="1:2" x14ac:dyDescent="0.25">
      <c r="A3852" s="307"/>
      <c r="B3852" s="307"/>
    </row>
    <row r="3853" spans="1:2" x14ac:dyDescent="0.25">
      <c r="A3853" s="307"/>
      <c r="B3853" s="307"/>
    </row>
    <row r="3854" spans="1:2" x14ac:dyDescent="0.25">
      <c r="A3854" s="307"/>
      <c r="B3854" s="307"/>
    </row>
    <row r="3855" spans="1:2" x14ac:dyDescent="0.25">
      <c r="A3855" s="307"/>
      <c r="B3855" s="307"/>
    </row>
    <row r="3856" spans="1:2" x14ac:dyDescent="0.25">
      <c r="A3856" s="307"/>
      <c r="B3856" s="307"/>
    </row>
    <row r="3857" spans="1:2" x14ac:dyDescent="0.25">
      <c r="A3857" s="307"/>
      <c r="B3857" s="307"/>
    </row>
    <row r="3858" spans="1:2" x14ac:dyDescent="0.25">
      <c r="A3858" s="307"/>
      <c r="B3858" s="307"/>
    </row>
    <row r="3859" spans="1:2" x14ac:dyDescent="0.25">
      <c r="A3859" s="307"/>
      <c r="B3859" s="307"/>
    </row>
    <row r="3860" spans="1:2" x14ac:dyDescent="0.25">
      <c r="A3860" s="307"/>
      <c r="B3860" s="307"/>
    </row>
    <row r="3861" spans="1:2" x14ac:dyDescent="0.25">
      <c r="A3861" s="307"/>
      <c r="B3861" s="307"/>
    </row>
    <row r="3862" spans="1:2" x14ac:dyDescent="0.25">
      <c r="A3862" s="307"/>
      <c r="B3862" s="307"/>
    </row>
    <row r="3863" spans="1:2" x14ac:dyDescent="0.25">
      <c r="A3863" s="307"/>
      <c r="B3863" s="307"/>
    </row>
    <row r="3864" spans="1:2" x14ac:dyDescent="0.25">
      <c r="A3864" s="307"/>
      <c r="B3864" s="307"/>
    </row>
    <row r="3865" spans="1:2" x14ac:dyDescent="0.25">
      <c r="A3865" s="307"/>
      <c r="B3865" s="307"/>
    </row>
    <row r="3866" spans="1:2" x14ac:dyDescent="0.25">
      <c r="A3866" s="307"/>
      <c r="B3866" s="307"/>
    </row>
    <row r="3867" spans="1:2" x14ac:dyDescent="0.25">
      <c r="A3867" s="307"/>
      <c r="B3867" s="307"/>
    </row>
    <row r="3868" spans="1:2" x14ac:dyDescent="0.25">
      <c r="A3868" s="307"/>
      <c r="B3868" s="307"/>
    </row>
    <row r="3869" spans="1:2" x14ac:dyDescent="0.25">
      <c r="A3869" s="307"/>
      <c r="B3869" s="307"/>
    </row>
    <row r="3870" spans="1:2" x14ac:dyDescent="0.25">
      <c r="A3870" s="307"/>
      <c r="B3870" s="307"/>
    </row>
    <row r="3871" spans="1:2" x14ac:dyDescent="0.25">
      <c r="A3871" s="307"/>
      <c r="B3871" s="307"/>
    </row>
    <row r="3872" spans="1:2" x14ac:dyDescent="0.25">
      <c r="A3872" s="307"/>
      <c r="B3872" s="307"/>
    </row>
    <row r="3873" spans="1:2" x14ac:dyDescent="0.25">
      <c r="A3873" s="307"/>
      <c r="B3873" s="307"/>
    </row>
    <row r="3874" spans="1:2" x14ac:dyDescent="0.25">
      <c r="A3874" s="307"/>
      <c r="B3874" s="307"/>
    </row>
    <row r="3875" spans="1:2" x14ac:dyDescent="0.25">
      <c r="A3875" s="307"/>
      <c r="B3875" s="307"/>
    </row>
    <row r="3876" spans="1:2" x14ac:dyDescent="0.25">
      <c r="A3876" s="307"/>
      <c r="B3876" s="307"/>
    </row>
    <row r="3877" spans="1:2" x14ac:dyDescent="0.25">
      <c r="A3877" s="307"/>
      <c r="B3877" s="307"/>
    </row>
    <row r="3878" spans="1:2" x14ac:dyDescent="0.25">
      <c r="A3878" s="307"/>
      <c r="B3878" s="307"/>
    </row>
    <row r="3879" spans="1:2" x14ac:dyDescent="0.25">
      <c r="A3879" s="307"/>
      <c r="B3879" s="307"/>
    </row>
    <row r="3880" spans="1:2" x14ac:dyDescent="0.25">
      <c r="A3880" s="307"/>
      <c r="B3880" s="307"/>
    </row>
    <row r="3881" spans="1:2" x14ac:dyDescent="0.25">
      <c r="A3881" s="307"/>
      <c r="B3881" s="307"/>
    </row>
    <row r="3882" spans="1:2" x14ac:dyDescent="0.25">
      <c r="A3882" s="307"/>
      <c r="B3882" s="307"/>
    </row>
    <row r="3883" spans="1:2" x14ac:dyDescent="0.25">
      <c r="A3883" s="307"/>
      <c r="B3883" s="307"/>
    </row>
    <row r="3884" spans="1:2" x14ac:dyDescent="0.25">
      <c r="A3884" s="307"/>
      <c r="B3884" s="307"/>
    </row>
    <row r="3885" spans="1:2" x14ac:dyDescent="0.25">
      <c r="A3885" s="307"/>
      <c r="B3885" s="307"/>
    </row>
    <row r="3886" spans="1:2" x14ac:dyDescent="0.25">
      <c r="A3886" s="307"/>
      <c r="B3886" s="307"/>
    </row>
    <row r="3887" spans="1:2" x14ac:dyDescent="0.25">
      <c r="A3887" s="307"/>
      <c r="B3887" s="307"/>
    </row>
    <row r="3888" spans="1:2" x14ac:dyDescent="0.25">
      <c r="A3888" s="307"/>
      <c r="B3888" s="307"/>
    </row>
    <row r="3889" spans="1:2" x14ac:dyDescent="0.25">
      <c r="A3889" s="307"/>
      <c r="B3889" s="307"/>
    </row>
    <row r="3890" spans="1:2" x14ac:dyDescent="0.25">
      <c r="A3890" s="307"/>
      <c r="B3890" s="307"/>
    </row>
    <row r="3891" spans="1:2" x14ac:dyDescent="0.25">
      <c r="A3891" s="307"/>
      <c r="B3891" s="307"/>
    </row>
    <row r="3892" spans="1:2" x14ac:dyDescent="0.25">
      <c r="A3892" s="307"/>
      <c r="B3892" s="307"/>
    </row>
    <row r="3893" spans="1:2" x14ac:dyDescent="0.25">
      <c r="A3893" s="307"/>
      <c r="B3893" s="307"/>
    </row>
    <row r="3894" spans="1:2" x14ac:dyDescent="0.25">
      <c r="A3894" s="307"/>
      <c r="B3894" s="307"/>
    </row>
    <row r="3895" spans="1:2" x14ac:dyDescent="0.25">
      <c r="A3895" s="307"/>
      <c r="B3895" s="307"/>
    </row>
    <row r="3896" spans="1:2" x14ac:dyDescent="0.25">
      <c r="A3896" s="307"/>
      <c r="B3896" s="307"/>
    </row>
    <row r="3897" spans="1:2" x14ac:dyDescent="0.25">
      <c r="A3897" s="307"/>
      <c r="B3897" s="307"/>
    </row>
    <row r="3898" spans="1:2" x14ac:dyDescent="0.25">
      <c r="A3898" s="307"/>
      <c r="B3898" s="307"/>
    </row>
    <row r="3899" spans="1:2" x14ac:dyDescent="0.25">
      <c r="A3899" s="307"/>
      <c r="B3899" s="307"/>
    </row>
    <row r="3900" spans="1:2" x14ac:dyDescent="0.25">
      <c r="A3900" s="307"/>
      <c r="B3900" s="307"/>
    </row>
    <row r="3901" spans="1:2" x14ac:dyDescent="0.25">
      <c r="A3901" s="307"/>
      <c r="B3901" s="307"/>
    </row>
    <row r="3902" spans="1:2" x14ac:dyDescent="0.25">
      <c r="A3902" s="307"/>
      <c r="B3902" s="307"/>
    </row>
    <row r="3903" spans="1:2" x14ac:dyDescent="0.25">
      <c r="A3903" s="307"/>
      <c r="B3903" s="307"/>
    </row>
    <row r="3904" spans="1:2" x14ac:dyDescent="0.25">
      <c r="A3904" s="307"/>
      <c r="B3904" s="307"/>
    </row>
    <row r="3905" spans="1:2" x14ac:dyDescent="0.25">
      <c r="A3905" s="307"/>
      <c r="B3905" s="307"/>
    </row>
    <row r="3906" spans="1:2" x14ac:dyDescent="0.25">
      <c r="A3906" s="307"/>
      <c r="B3906" s="307"/>
    </row>
    <row r="3907" spans="1:2" x14ac:dyDescent="0.25">
      <c r="A3907" s="307"/>
      <c r="B3907" s="307"/>
    </row>
    <row r="3908" spans="1:2" x14ac:dyDescent="0.25">
      <c r="A3908" s="307"/>
      <c r="B3908" s="307"/>
    </row>
    <row r="3909" spans="1:2" x14ac:dyDescent="0.25">
      <c r="A3909" s="307"/>
      <c r="B3909" s="307"/>
    </row>
    <row r="3910" spans="1:2" x14ac:dyDescent="0.25">
      <c r="A3910" s="307"/>
      <c r="B3910" s="307"/>
    </row>
    <row r="3911" spans="1:2" x14ac:dyDescent="0.25">
      <c r="A3911" s="307"/>
      <c r="B3911" s="307"/>
    </row>
    <row r="3912" spans="1:2" x14ac:dyDescent="0.25">
      <c r="A3912" s="307"/>
      <c r="B3912" s="307"/>
    </row>
    <row r="3913" spans="1:2" x14ac:dyDescent="0.25">
      <c r="A3913" s="307"/>
      <c r="B3913" s="307"/>
    </row>
    <row r="3914" spans="1:2" x14ac:dyDescent="0.25">
      <c r="A3914" s="307"/>
      <c r="B3914" s="307"/>
    </row>
    <row r="3915" spans="1:2" x14ac:dyDescent="0.25">
      <c r="A3915" s="307"/>
      <c r="B3915" s="307"/>
    </row>
    <row r="3916" spans="1:2" x14ac:dyDescent="0.25">
      <c r="A3916" s="307"/>
      <c r="B3916" s="307"/>
    </row>
    <row r="3917" spans="1:2" x14ac:dyDescent="0.25">
      <c r="A3917" s="307"/>
      <c r="B3917" s="307"/>
    </row>
    <row r="3918" spans="1:2" x14ac:dyDescent="0.25">
      <c r="A3918" s="307"/>
      <c r="B3918" s="307"/>
    </row>
    <row r="3919" spans="1:2" x14ac:dyDescent="0.25">
      <c r="A3919" s="307"/>
      <c r="B3919" s="307"/>
    </row>
    <row r="3920" spans="1:2" x14ac:dyDescent="0.25">
      <c r="A3920" s="307"/>
      <c r="B3920" s="307"/>
    </row>
    <row r="3921" spans="1:2" x14ac:dyDescent="0.25">
      <c r="A3921" s="307"/>
      <c r="B3921" s="307"/>
    </row>
    <row r="3922" spans="1:2" x14ac:dyDescent="0.25">
      <c r="A3922" s="307"/>
      <c r="B3922" s="307"/>
    </row>
    <row r="3923" spans="1:2" x14ac:dyDescent="0.25">
      <c r="A3923" s="307"/>
      <c r="B3923" s="307"/>
    </row>
    <row r="3924" spans="1:2" x14ac:dyDescent="0.25">
      <c r="A3924" s="307"/>
      <c r="B3924" s="307"/>
    </row>
    <row r="3925" spans="1:2" x14ac:dyDescent="0.25">
      <c r="A3925" s="307"/>
      <c r="B3925" s="307"/>
    </row>
    <row r="3926" spans="1:2" x14ac:dyDescent="0.25">
      <c r="A3926" s="307"/>
      <c r="B3926" s="307"/>
    </row>
    <row r="3927" spans="1:2" x14ac:dyDescent="0.25">
      <c r="A3927" s="307"/>
      <c r="B3927" s="307"/>
    </row>
    <row r="3928" spans="1:2" x14ac:dyDescent="0.25">
      <c r="A3928" s="307"/>
      <c r="B3928" s="307"/>
    </row>
    <row r="3929" spans="1:2" x14ac:dyDescent="0.25">
      <c r="A3929" s="307"/>
      <c r="B3929" s="307"/>
    </row>
    <row r="3930" spans="1:2" x14ac:dyDescent="0.25">
      <c r="A3930" s="307"/>
      <c r="B3930" s="307"/>
    </row>
    <row r="3931" spans="1:2" x14ac:dyDescent="0.25">
      <c r="A3931" s="307"/>
      <c r="B3931" s="307"/>
    </row>
    <row r="3932" spans="1:2" x14ac:dyDescent="0.25">
      <c r="A3932" s="307"/>
      <c r="B3932" s="307"/>
    </row>
    <row r="3933" spans="1:2" x14ac:dyDescent="0.25">
      <c r="A3933" s="307"/>
      <c r="B3933" s="307"/>
    </row>
    <row r="3934" spans="1:2" x14ac:dyDescent="0.25">
      <c r="A3934" s="307"/>
      <c r="B3934" s="307"/>
    </row>
    <row r="3935" spans="1:2" x14ac:dyDescent="0.25">
      <c r="A3935" s="307"/>
      <c r="B3935" s="307"/>
    </row>
    <row r="3936" spans="1:2" x14ac:dyDescent="0.25">
      <c r="A3936" s="307"/>
      <c r="B3936" s="307"/>
    </row>
    <row r="3937" spans="1:2" x14ac:dyDescent="0.25">
      <c r="A3937" s="307"/>
      <c r="B3937" s="307"/>
    </row>
    <row r="3938" spans="1:2" x14ac:dyDescent="0.25">
      <c r="A3938" s="307"/>
      <c r="B3938" s="307"/>
    </row>
    <row r="3939" spans="1:2" x14ac:dyDescent="0.25">
      <c r="A3939" s="307"/>
      <c r="B3939" s="307"/>
    </row>
    <row r="3940" spans="1:2" x14ac:dyDescent="0.25">
      <c r="A3940" s="307"/>
      <c r="B3940" s="307"/>
    </row>
    <row r="3941" spans="1:2" x14ac:dyDescent="0.25">
      <c r="A3941" s="307"/>
      <c r="B3941" s="307"/>
    </row>
    <row r="3942" spans="1:2" x14ac:dyDescent="0.25">
      <c r="A3942" s="307"/>
      <c r="B3942" s="307"/>
    </row>
    <row r="3943" spans="1:2" x14ac:dyDescent="0.25">
      <c r="A3943" s="307"/>
      <c r="B3943" s="307"/>
    </row>
    <row r="3944" spans="1:2" x14ac:dyDescent="0.25">
      <c r="A3944" s="307"/>
      <c r="B3944" s="307"/>
    </row>
    <row r="3945" spans="1:2" x14ac:dyDescent="0.25">
      <c r="A3945" s="307"/>
      <c r="B3945" s="307"/>
    </row>
    <row r="3946" spans="1:2" x14ac:dyDescent="0.25">
      <c r="A3946" s="307"/>
      <c r="B3946" s="307"/>
    </row>
    <row r="3947" spans="1:2" x14ac:dyDescent="0.25">
      <c r="A3947" s="307"/>
      <c r="B3947" s="307"/>
    </row>
    <row r="3948" spans="1:2" x14ac:dyDescent="0.25">
      <c r="A3948" s="307"/>
      <c r="B3948" s="307"/>
    </row>
    <row r="3949" spans="1:2" x14ac:dyDescent="0.25">
      <c r="A3949" s="307"/>
      <c r="B3949" s="307"/>
    </row>
    <row r="3950" spans="1:2" x14ac:dyDescent="0.25">
      <c r="A3950" s="307"/>
      <c r="B3950" s="307"/>
    </row>
    <row r="3951" spans="1:2" x14ac:dyDescent="0.25">
      <c r="A3951" s="307"/>
      <c r="B3951" s="307"/>
    </row>
    <row r="3952" spans="1:2" x14ac:dyDescent="0.25">
      <c r="A3952" s="307"/>
      <c r="B3952" s="307"/>
    </row>
    <row r="3953" spans="1:2" x14ac:dyDescent="0.25">
      <c r="A3953" s="307"/>
      <c r="B3953" s="307"/>
    </row>
    <row r="3954" spans="1:2" x14ac:dyDescent="0.25">
      <c r="A3954" s="307"/>
      <c r="B3954" s="307"/>
    </row>
    <row r="3955" spans="1:2" x14ac:dyDescent="0.25">
      <c r="A3955" s="307"/>
      <c r="B3955" s="307"/>
    </row>
    <row r="3956" spans="1:2" x14ac:dyDescent="0.25">
      <c r="A3956" s="307"/>
      <c r="B3956" s="307"/>
    </row>
    <row r="3957" spans="1:2" x14ac:dyDescent="0.25">
      <c r="A3957" s="307"/>
      <c r="B3957" s="307"/>
    </row>
    <row r="3958" spans="1:2" x14ac:dyDescent="0.25">
      <c r="A3958" s="307"/>
      <c r="B3958" s="307"/>
    </row>
    <row r="3959" spans="1:2" x14ac:dyDescent="0.25">
      <c r="A3959" s="307"/>
      <c r="B3959" s="307"/>
    </row>
    <row r="3960" spans="1:2" x14ac:dyDescent="0.25">
      <c r="A3960" s="307"/>
      <c r="B3960" s="307"/>
    </row>
    <row r="3961" spans="1:2" x14ac:dyDescent="0.25">
      <c r="A3961" s="307"/>
      <c r="B3961" s="307"/>
    </row>
    <row r="3962" spans="1:2" x14ac:dyDescent="0.25">
      <c r="A3962" s="307"/>
      <c r="B3962" s="307"/>
    </row>
    <row r="3963" spans="1:2" x14ac:dyDescent="0.25">
      <c r="A3963" s="307"/>
      <c r="B3963" s="307"/>
    </row>
    <row r="3964" spans="1:2" x14ac:dyDescent="0.25">
      <c r="A3964" s="307"/>
      <c r="B3964" s="307"/>
    </row>
    <row r="3965" spans="1:2" x14ac:dyDescent="0.25">
      <c r="A3965" s="307"/>
      <c r="B3965" s="307"/>
    </row>
    <row r="3966" spans="1:2" x14ac:dyDescent="0.25">
      <c r="A3966" s="307"/>
      <c r="B3966" s="307"/>
    </row>
    <row r="3967" spans="1:2" x14ac:dyDescent="0.25">
      <c r="A3967" s="307"/>
      <c r="B3967" s="307"/>
    </row>
    <row r="3968" spans="1:2" x14ac:dyDescent="0.25">
      <c r="A3968" s="307"/>
      <c r="B3968" s="307"/>
    </row>
    <row r="3969" spans="1:2" x14ac:dyDescent="0.25">
      <c r="A3969" s="307"/>
      <c r="B3969" s="307"/>
    </row>
    <row r="3970" spans="1:2" x14ac:dyDescent="0.25">
      <c r="A3970" s="307"/>
      <c r="B3970" s="307"/>
    </row>
    <row r="3971" spans="1:2" x14ac:dyDescent="0.25">
      <c r="A3971" s="307"/>
      <c r="B3971" s="307"/>
    </row>
    <row r="3972" spans="1:2" x14ac:dyDescent="0.25">
      <c r="A3972" s="307"/>
      <c r="B3972" s="307"/>
    </row>
    <row r="3973" spans="1:2" x14ac:dyDescent="0.25">
      <c r="A3973" s="307"/>
      <c r="B3973" s="307"/>
    </row>
    <row r="3974" spans="1:2" x14ac:dyDescent="0.25">
      <c r="A3974" s="307"/>
      <c r="B3974" s="307"/>
    </row>
    <row r="3975" spans="1:2" x14ac:dyDescent="0.25">
      <c r="A3975" s="307"/>
      <c r="B3975" s="307"/>
    </row>
    <row r="3976" spans="1:2" x14ac:dyDescent="0.25">
      <c r="A3976" s="307"/>
      <c r="B3976" s="307"/>
    </row>
    <row r="3977" spans="1:2" x14ac:dyDescent="0.25">
      <c r="A3977" s="307"/>
      <c r="B3977" s="307"/>
    </row>
    <row r="3978" spans="1:2" x14ac:dyDescent="0.25">
      <c r="A3978" s="307"/>
      <c r="B3978" s="307"/>
    </row>
    <row r="3979" spans="1:2" x14ac:dyDescent="0.25">
      <c r="A3979" s="307"/>
      <c r="B3979" s="307"/>
    </row>
    <row r="3980" spans="1:2" x14ac:dyDescent="0.25">
      <c r="A3980" s="307"/>
      <c r="B3980" s="307"/>
    </row>
    <row r="3981" spans="1:2" x14ac:dyDescent="0.25">
      <c r="A3981" s="307"/>
      <c r="B3981" s="307"/>
    </row>
    <row r="3982" spans="1:2" x14ac:dyDescent="0.25">
      <c r="A3982" s="307"/>
      <c r="B3982" s="307"/>
    </row>
    <row r="3983" spans="1:2" x14ac:dyDescent="0.25">
      <c r="A3983" s="307"/>
      <c r="B3983" s="307"/>
    </row>
    <row r="3984" spans="1:2" x14ac:dyDescent="0.25">
      <c r="A3984" s="307"/>
      <c r="B3984" s="307"/>
    </row>
    <row r="3985" spans="1:2" x14ac:dyDescent="0.25">
      <c r="A3985" s="307"/>
      <c r="B3985" s="307"/>
    </row>
    <row r="3986" spans="1:2" x14ac:dyDescent="0.25">
      <c r="A3986" s="307"/>
      <c r="B3986" s="307"/>
    </row>
    <row r="3987" spans="1:2" x14ac:dyDescent="0.25">
      <c r="A3987" s="307"/>
      <c r="B3987" s="307"/>
    </row>
    <row r="3988" spans="1:2" x14ac:dyDescent="0.25">
      <c r="A3988" s="307"/>
      <c r="B3988" s="307"/>
    </row>
    <row r="3989" spans="1:2" x14ac:dyDescent="0.25">
      <c r="A3989" s="307"/>
      <c r="B3989" s="307"/>
    </row>
    <row r="3990" spans="1:2" x14ac:dyDescent="0.25">
      <c r="A3990" s="307"/>
      <c r="B3990" s="307"/>
    </row>
    <row r="3991" spans="1:2" x14ac:dyDescent="0.25">
      <c r="A3991" s="307"/>
      <c r="B3991" s="307"/>
    </row>
    <row r="3992" spans="1:2" x14ac:dyDescent="0.25">
      <c r="A3992" s="307"/>
      <c r="B3992" s="307"/>
    </row>
    <row r="3993" spans="1:2" x14ac:dyDescent="0.25">
      <c r="A3993" s="307"/>
      <c r="B3993" s="307"/>
    </row>
    <row r="3994" spans="1:2" x14ac:dyDescent="0.25">
      <c r="A3994" s="307"/>
      <c r="B3994" s="307"/>
    </row>
    <row r="3995" spans="1:2" x14ac:dyDescent="0.25">
      <c r="A3995" s="307"/>
      <c r="B3995" s="307"/>
    </row>
    <row r="3996" spans="1:2" x14ac:dyDescent="0.25">
      <c r="A3996" s="307"/>
      <c r="B3996" s="307"/>
    </row>
    <row r="3997" spans="1:2" x14ac:dyDescent="0.25">
      <c r="A3997" s="307"/>
      <c r="B3997" s="307"/>
    </row>
    <row r="3998" spans="1:2" x14ac:dyDescent="0.25">
      <c r="A3998" s="307"/>
      <c r="B3998" s="307"/>
    </row>
    <row r="3999" spans="1:2" x14ac:dyDescent="0.25">
      <c r="A3999" s="307"/>
      <c r="B3999" s="307"/>
    </row>
    <row r="4000" spans="1:2" x14ac:dyDescent="0.25">
      <c r="A4000" s="307"/>
      <c r="B4000" s="307"/>
    </row>
    <row r="4001" spans="1:2" x14ac:dyDescent="0.25">
      <c r="A4001" s="307"/>
      <c r="B4001" s="307"/>
    </row>
    <row r="4002" spans="1:2" x14ac:dyDescent="0.25">
      <c r="A4002" s="307"/>
      <c r="B4002" s="307"/>
    </row>
    <row r="4003" spans="1:2" x14ac:dyDescent="0.25">
      <c r="A4003" s="307"/>
      <c r="B4003" s="307"/>
    </row>
    <row r="4004" spans="1:2" x14ac:dyDescent="0.25">
      <c r="A4004" s="307"/>
      <c r="B4004" s="307"/>
    </row>
    <row r="4005" spans="1:2" x14ac:dyDescent="0.25">
      <c r="A4005" s="307"/>
      <c r="B4005" s="307"/>
    </row>
    <row r="4006" spans="1:2" x14ac:dyDescent="0.25">
      <c r="A4006" s="307"/>
      <c r="B4006" s="307"/>
    </row>
    <row r="4007" spans="1:2" x14ac:dyDescent="0.25">
      <c r="A4007" s="307"/>
      <c r="B4007" s="307"/>
    </row>
    <row r="4008" spans="1:2" x14ac:dyDescent="0.25">
      <c r="A4008" s="307"/>
      <c r="B4008" s="307"/>
    </row>
    <row r="4009" spans="1:2" x14ac:dyDescent="0.25">
      <c r="A4009" s="307"/>
      <c r="B4009" s="307"/>
    </row>
    <row r="4010" spans="1:2" x14ac:dyDescent="0.25">
      <c r="A4010" s="307"/>
      <c r="B4010" s="307"/>
    </row>
    <row r="4011" spans="1:2" x14ac:dyDescent="0.25">
      <c r="A4011" s="307"/>
      <c r="B4011" s="307"/>
    </row>
    <row r="4012" spans="1:2" x14ac:dyDescent="0.25">
      <c r="A4012" s="307"/>
      <c r="B4012" s="307"/>
    </row>
    <row r="4013" spans="1:2" x14ac:dyDescent="0.25">
      <c r="A4013" s="307"/>
      <c r="B4013" s="307"/>
    </row>
    <row r="4014" spans="1:2" x14ac:dyDescent="0.25">
      <c r="A4014" s="307"/>
      <c r="B4014" s="307"/>
    </row>
    <row r="4015" spans="1:2" x14ac:dyDescent="0.25">
      <c r="A4015" s="307"/>
      <c r="B4015" s="307"/>
    </row>
    <row r="4016" spans="1:2" x14ac:dyDescent="0.25">
      <c r="A4016" s="307"/>
      <c r="B4016" s="307"/>
    </row>
    <row r="4017" spans="1:2" x14ac:dyDescent="0.25">
      <c r="A4017" s="307"/>
      <c r="B4017" s="307"/>
    </row>
    <row r="4018" spans="1:2" x14ac:dyDescent="0.25">
      <c r="A4018" s="307"/>
      <c r="B4018" s="307"/>
    </row>
    <row r="4019" spans="1:2" x14ac:dyDescent="0.25">
      <c r="A4019" s="307"/>
      <c r="B4019" s="307"/>
    </row>
    <row r="4020" spans="1:2" x14ac:dyDescent="0.25">
      <c r="A4020" s="307"/>
      <c r="B4020" s="307"/>
    </row>
    <row r="4021" spans="1:2" x14ac:dyDescent="0.25">
      <c r="A4021" s="307"/>
      <c r="B4021" s="307"/>
    </row>
    <row r="4022" spans="1:2" x14ac:dyDescent="0.25">
      <c r="A4022" s="307"/>
      <c r="B4022" s="307"/>
    </row>
    <row r="4023" spans="1:2" x14ac:dyDescent="0.25">
      <c r="A4023" s="307"/>
      <c r="B4023" s="307"/>
    </row>
    <row r="4024" spans="1:2" x14ac:dyDescent="0.25">
      <c r="A4024" s="307"/>
      <c r="B4024" s="307"/>
    </row>
    <row r="4025" spans="1:2" x14ac:dyDescent="0.25">
      <c r="A4025" s="307"/>
      <c r="B4025" s="307"/>
    </row>
    <row r="4026" spans="1:2" x14ac:dyDescent="0.25">
      <c r="A4026" s="307"/>
      <c r="B4026" s="307"/>
    </row>
    <row r="4027" spans="1:2" x14ac:dyDescent="0.25">
      <c r="A4027" s="307"/>
      <c r="B4027" s="307"/>
    </row>
    <row r="4028" spans="1:2" x14ac:dyDescent="0.25">
      <c r="A4028" s="307"/>
      <c r="B4028" s="307"/>
    </row>
    <row r="4029" spans="1:2" x14ac:dyDescent="0.25">
      <c r="A4029" s="307"/>
      <c r="B4029" s="307"/>
    </row>
    <row r="4030" spans="1:2" x14ac:dyDescent="0.25">
      <c r="A4030" s="307"/>
      <c r="B4030" s="307"/>
    </row>
    <row r="4031" spans="1:2" x14ac:dyDescent="0.25">
      <c r="A4031" s="307"/>
      <c r="B4031" s="307"/>
    </row>
    <row r="4032" spans="1:2" x14ac:dyDescent="0.25">
      <c r="A4032" s="307"/>
      <c r="B4032" s="307"/>
    </row>
    <row r="4033" spans="1:2" x14ac:dyDescent="0.25">
      <c r="A4033" s="307"/>
      <c r="B4033" s="307"/>
    </row>
    <row r="4034" spans="1:2" x14ac:dyDescent="0.25">
      <c r="A4034" s="307"/>
      <c r="B4034" s="307"/>
    </row>
    <row r="4035" spans="1:2" x14ac:dyDescent="0.25">
      <c r="A4035" s="307"/>
      <c r="B4035" s="307"/>
    </row>
    <row r="4036" spans="1:2" x14ac:dyDescent="0.25">
      <c r="A4036" s="307"/>
      <c r="B4036" s="307"/>
    </row>
    <row r="4037" spans="1:2" x14ac:dyDescent="0.25">
      <c r="A4037" s="307"/>
      <c r="B4037" s="307"/>
    </row>
    <row r="4038" spans="1:2" x14ac:dyDescent="0.25">
      <c r="A4038" s="307"/>
      <c r="B4038" s="307"/>
    </row>
    <row r="4039" spans="1:2" x14ac:dyDescent="0.25">
      <c r="A4039" s="307"/>
      <c r="B4039" s="307"/>
    </row>
    <row r="4040" spans="1:2" x14ac:dyDescent="0.25">
      <c r="A4040" s="307"/>
      <c r="B4040" s="307"/>
    </row>
    <row r="4041" spans="1:2" x14ac:dyDescent="0.25">
      <c r="A4041" s="307"/>
      <c r="B4041" s="307"/>
    </row>
    <row r="4042" spans="1:2" x14ac:dyDescent="0.25">
      <c r="A4042" s="307"/>
      <c r="B4042" s="307"/>
    </row>
    <row r="4043" spans="1:2" x14ac:dyDescent="0.25">
      <c r="A4043" s="307"/>
      <c r="B4043" s="307"/>
    </row>
    <row r="4044" spans="1:2" x14ac:dyDescent="0.25">
      <c r="A4044" s="307"/>
      <c r="B4044" s="307"/>
    </row>
    <row r="4045" spans="1:2" x14ac:dyDescent="0.25">
      <c r="A4045" s="307"/>
      <c r="B4045" s="307"/>
    </row>
    <row r="4046" spans="1:2" x14ac:dyDescent="0.25">
      <c r="A4046" s="307"/>
      <c r="B4046" s="307"/>
    </row>
    <row r="4047" spans="1:2" x14ac:dyDescent="0.25">
      <c r="A4047" s="307"/>
      <c r="B4047" s="307"/>
    </row>
    <row r="4048" spans="1:2" x14ac:dyDescent="0.25">
      <c r="A4048" s="307"/>
      <c r="B4048" s="307"/>
    </row>
    <row r="4049" spans="1:2" x14ac:dyDescent="0.25">
      <c r="A4049" s="307"/>
      <c r="B4049" s="307"/>
    </row>
    <row r="4050" spans="1:2" x14ac:dyDescent="0.25">
      <c r="A4050" s="307"/>
      <c r="B4050" s="307"/>
    </row>
    <row r="4051" spans="1:2" x14ac:dyDescent="0.25">
      <c r="A4051" s="307"/>
      <c r="B4051" s="307"/>
    </row>
    <row r="4052" spans="1:2" x14ac:dyDescent="0.25">
      <c r="A4052" s="307"/>
      <c r="B4052" s="307"/>
    </row>
    <row r="4053" spans="1:2" x14ac:dyDescent="0.25">
      <c r="A4053" s="307"/>
      <c r="B4053" s="307"/>
    </row>
    <row r="4054" spans="1:2" x14ac:dyDescent="0.25">
      <c r="A4054" s="307"/>
      <c r="B4054" s="307"/>
    </row>
    <row r="4055" spans="1:2" x14ac:dyDescent="0.25">
      <c r="A4055" s="307"/>
      <c r="B4055" s="307"/>
    </row>
    <row r="4056" spans="1:2" x14ac:dyDescent="0.25">
      <c r="A4056" s="307"/>
      <c r="B4056" s="307"/>
    </row>
    <row r="4057" spans="1:2" x14ac:dyDescent="0.25">
      <c r="A4057" s="307"/>
      <c r="B4057" s="307"/>
    </row>
    <row r="4058" spans="1:2" x14ac:dyDescent="0.25">
      <c r="A4058" s="307"/>
      <c r="B4058" s="307"/>
    </row>
    <row r="4059" spans="1:2" x14ac:dyDescent="0.25">
      <c r="A4059" s="307"/>
      <c r="B4059" s="307"/>
    </row>
    <row r="4060" spans="1:2" x14ac:dyDescent="0.25">
      <c r="A4060" s="307"/>
      <c r="B4060" s="307"/>
    </row>
    <row r="4061" spans="1:2" x14ac:dyDescent="0.25">
      <c r="A4061" s="307"/>
      <c r="B4061" s="307"/>
    </row>
    <row r="4062" spans="1:2" x14ac:dyDescent="0.25">
      <c r="A4062" s="307"/>
      <c r="B4062" s="307"/>
    </row>
    <row r="4063" spans="1:2" x14ac:dyDescent="0.25">
      <c r="A4063" s="307"/>
      <c r="B4063" s="307"/>
    </row>
    <row r="4064" spans="1:2" x14ac:dyDescent="0.25">
      <c r="A4064" s="307"/>
      <c r="B4064" s="307"/>
    </row>
    <row r="4065" spans="1:2" x14ac:dyDescent="0.25">
      <c r="A4065" s="307"/>
      <c r="B4065" s="307"/>
    </row>
    <row r="4066" spans="1:2" x14ac:dyDescent="0.25">
      <c r="A4066" s="307"/>
      <c r="B4066" s="307"/>
    </row>
    <row r="4067" spans="1:2" x14ac:dyDescent="0.25">
      <c r="A4067" s="307"/>
      <c r="B4067" s="307"/>
    </row>
    <row r="4068" spans="1:2" x14ac:dyDescent="0.25">
      <c r="A4068" s="307"/>
      <c r="B4068" s="307"/>
    </row>
    <row r="4069" spans="1:2" x14ac:dyDescent="0.25">
      <c r="A4069" s="307"/>
      <c r="B4069" s="307"/>
    </row>
    <row r="4070" spans="1:2" x14ac:dyDescent="0.25">
      <c r="A4070" s="307"/>
      <c r="B4070" s="307"/>
    </row>
    <row r="4071" spans="1:2" x14ac:dyDescent="0.25">
      <c r="A4071" s="307"/>
      <c r="B4071" s="307"/>
    </row>
    <row r="4072" spans="1:2" x14ac:dyDescent="0.25">
      <c r="A4072" s="307"/>
      <c r="B4072" s="307"/>
    </row>
    <row r="4073" spans="1:2" x14ac:dyDescent="0.25">
      <c r="A4073" s="307"/>
      <c r="B4073" s="307"/>
    </row>
    <row r="4074" spans="1:2" x14ac:dyDescent="0.25">
      <c r="A4074" s="307"/>
      <c r="B4074" s="307"/>
    </row>
    <row r="4075" spans="1:2" x14ac:dyDescent="0.25">
      <c r="A4075" s="307"/>
      <c r="B4075" s="307"/>
    </row>
    <row r="4076" spans="1:2" x14ac:dyDescent="0.25">
      <c r="A4076" s="307"/>
      <c r="B4076" s="307"/>
    </row>
    <row r="4077" spans="1:2" x14ac:dyDescent="0.25">
      <c r="A4077" s="307"/>
      <c r="B4077" s="307"/>
    </row>
    <row r="4078" spans="1:2" x14ac:dyDescent="0.25">
      <c r="A4078" s="307"/>
      <c r="B4078" s="307"/>
    </row>
    <row r="4079" spans="1:2" x14ac:dyDescent="0.25">
      <c r="A4079" s="307"/>
      <c r="B4079" s="307"/>
    </row>
    <row r="4080" spans="1:2" x14ac:dyDescent="0.25">
      <c r="A4080" s="307"/>
      <c r="B4080" s="307"/>
    </row>
    <row r="4081" spans="1:2" x14ac:dyDescent="0.25">
      <c r="A4081" s="307"/>
      <c r="B4081" s="307"/>
    </row>
    <row r="4082" spans="1:2" x14ac:dyDescent="0.25">
      <c r="A4082" s="307"/>
      <c r="B4082" s="307"/>
    </row>
    <row r="4083" spans="1:2" x14ac:dyDescent="0.25">
      <c r="A4083" s="307"/>
      <c r="B4083" s="307"/>
    </row>
    <row r="4084" spans="1:2" x14ac:dyDescent="0.25">
      <c r="A4084" s="307"/>
      <c r="B4084" s="307"/>
    </row>
    <row r="4085" spans="1:2" x14ac:dyDescent="0.25">
      <c r="A4085" s="307"/>
      <c r="B4085" s="307"/>
    </row>
    <row r="4086" spans="1:2" x14ac:dyDescent="0.25">
      <c r="A4086" s="307"/>
      <c r="B4086" s="307"/>
    </row>
    <row r="4087" spans="1:2" x14ac:dyDescent="0.25">
      <c r="A4087" s="307"/>
      <c r="B4087" s="307"/>
    </row>
    <row r="4088" spans="1:2" x14ac:dyDescent="0.25">
      <c r="A4088" s="307"/>
      <c r="B4088" s="307"/>
    </row>
    <row r="4089" spans="1:2" x14ac:dyDescent="0.25">
      <c r="A4089" s="307"/>
      <c r="B4089" s="307"/>
    </row>
    <row r="4090" spans="1:2" x14ac:dyDescent="0.25">
      <c r="A4090" s="307"/>
      <c r="B4090" s="307"/>
    </row>
    <row r="4091" spans="1:2" x14ac:dyDescent="0.25">
      <c r="A4091" s="307"/>
      <c r="B4091" s="307"/>
    </row>
    <row r="4092" spans="1:2" x14ac:dyDescent="0.25">
      <c r="A4092" s="307"/>
      <c r="B4092" s="307"/>
    </row>
    <row r="4093" spans="1:2" x14ac:dyDescent="0.25">
      <c r="A4093" s="307"/>
      <c r="B4093" s="307"/>
    </row>
    <row r="4094" spans="1:2" x14ac:dyDescent="0.25">
      <c r="A4094" s="307"/>
      <c r="B4094" s="307"/>
    </row>
    <row r="4095" spans="1:2" x14ac:dyDescent="0.25">
      <c r="A4095" s="307"/>
      <c r="B4095" s="307"/>
    </row>
    <row r="4096" spans="1:2" x14ac:dyDescent="0.25">
      <c r="A4096" s="307"/>
      <c r="B4096" s="307"/>
    </row>
    <row r="4097" spans="1:2" x14ac:dyDescent="0.25">
      <c r="A4097" s="307"/>
      <c r="B4097" s="307"/>
    </row>
    <row r="4098" spans="1:2" x14ac:dyDescent="0.25">
      <c r="A4098" s="307"/>
      <c r="B4098" s="307"/>
    </row>
    <row r="4099" spans="1:2" x14ac:dyDescent="0.25">
      <c r="A4099" s="307"/>
      <c r="B4099" s="307"/>
    </row>
    <row r="4100" spans="1:2" x14ac:dyDescent="0.25">
      <c r="A4100" s="307"/>
      <c r="B4100" s="307"/>
    </row>
    <row r="4101" spans="1:2" x14ac:dyDescent="0.25">
      <c r="A4101" s="307"/>
      <c r="B4101" s="307"/>
    </row>
    <row r="4102" spans="1:2" x14ac:dyDescent="0.25">
      <c r="A4102" s="307"/>
      <c r="B4102" s="307"/>
    </row>
    <row r="4103" spans="1:2" x14ac:dyDescent="0.25">
      <c r="A4103" s="307"/>
      <c r="B4103" s="307"/>
    </row>
    <row r="4104" spans="1:2" x14ac:dyDescent="0.25">
      <c r="A4104" s="307"/>
      <c r="B4104" s="307"/>
    </row>
    <row r="4105" spans="1:2" x14ac:dyDescent="0.25">
      <c r="A4105" s="307"/>
      <c r="B4105" s="307"/>
    </row>
    <row r="4106" spans="1:2" x14ac:dyDescent="0.25">
      <c r="A4106" s="307"/>
      <c r="B4106" s="307"/>
    </row>
    <row r="4107" spans="1:2" x14ac:dyDescent="0.25">
      <c r="A4107" s="307"/>
      <c r="B4107" s="307"/>
    </row>
    <row r="4108" spans="1:2" x14ac:dyDescent="0.25">
      <c r="A4108" s="307"/>
      <c r="B4108" s="307"/>
    </row>
    <row r="4109" spans="1:2" x14ac:dyDescent="0.25">
      <c r="A4109" s="307"/>
      <c r="B4109" s="307"/>
    </row>
    <row r="4110" spans="1:2" x14ac:dyDescent="0.25">
      <c r="A4110" s="307"/>
      <c r="B4110" s="307"/>
    </row>
    <row r="4111" spans="1:2" x14ac:dyDescent="0.25">
      <c r="A4111" s="307"/>
      <c r="B4111" s="307"/>
    </row>
    <row r="4112" spans="1:2" x14ac:dyDescent="0.25">
      <c r="A4112" s="307"/>
      <c r="B4112" s="307"/>
    </row>
    <row r="4113" spans="1:2" x14ac:dyDescent="0.25">
      <c r="A4113" s="307"/>
      <c r="B4113" s="307"/>
    </row>
    <row r="4114" spans="1:2" x14ac:dyDescent="0.25">
      <c r="A4114" s="307"/>
      <c r="B4114" s="307"/>
    </row>
    <row r="4115" spans="1:2" x14ac:dyDescent="0.25">
      <c r="A4115" s="307"/>
      <c r="B4115" s="307"/>
    </row>
    <row r="4116" spans="1:2" x14ac:dyDescent="0.25">
      <c r="A4116" s="307"/>
      <c r="B4116" s="307"/>
    </row>
    <row r="4117" spans="1:2" x14ac:dyDescent="0.25">
      <c r="A4117" s="307"/>
      <c r="B4117" s="307"/>
    </row>
    <row r="4118" spans="1:2" x14ac:dyDescent="0.25">
      <c r="A4118" s="307"/>
      <c r="B4118" s="307"/>
    </row>
    <row r="4119" spans="1:2" x14ac:dyDescent="0.25">
      <c r="A4119" s="307"/>
      <c r="B4119" s="307"/>
    </row>
    <row r="4120" spans="1:2" x14ac:dyDescent="0.25">
      <c r="A4120" s="307"/>
      <c r="B4120" s="307"/>
    </row>
    <row r="4121" spans="1:2" x14ac:dyDescent="0.25">
      <c r="A4121" s="307"/>
      <c r="B4121" s="307"/>
    </row>
    <row r="4122" spans="1:2" x14ac:dyDescent="0.25">
      <c r="A4122" s="307"/>
      <c r="B4122" s="307"/>
    </row>
    <row r="4123" spans="1:2" x14ac:dyDescent="0.25">
      <c r="A4123" s="307"/>
      <c r="B4123" s="307"/>
    </row>
    <row r="4124" spans="1:2" x14ac:dyDescent="0.25">
      <c r="A4124" s="307"/>
      <c r="B4124" s="307"/>
    </row>
    <row r="4125" spans="1:2" x14ac:dyDescent="0.25">
      <c r="A4125" s="307"/>
      <c r="B4125" s="307"/>
    </row>
    <row r="4126" spans="1:2" x14ac:dyDescent="0.25">
      <c r="A4126" s="307"/>
      <c r="B4126" s="307"/>
    </row>
    <row r="4127" spans="1:2" x14ac:dyDescent="0.25">
      <c r="A4127" s="307"/>
      <c r="B4127" s="307"/>
    </row>
    <row r="4128" spans="1:2" x14ac:dyDescent="0.25">
      <c r="A4128" s="307"/>
      <c r="B4128" s="307"/>
    </row>
    <row r="4129" spans="1:2" x14ac:dyDescent="0.25">
      <c r="A4129" s="307"/>
      <c r="B4129" s="307"/>
    </row>
    <row r="4130" spans="1:2" x14ac:dyDescent="0.25">
      <c r="A4130" s="307"/>
      <c r="B4130" s="307"/>
    </row>
    <row r="4131" spans="1:2" x14ac:dyDescent="0.25">
      <c r="A4131" s="307"/>
      <c r="B4131" s="307"/>
    </row>
    <row r="4132" spans="1:2" x14ac:dyDescent="0.25">
      <c r="A4132" s="307"/>
      <c r="B4132" s="307"/>
    </row>
    <row r="4133" spans="1:2" x14ac:dyDescent="0.25">
      <c r="A4133" s="307"/>
      <c r="B4133" s="307"/>
    </row>
    <row r="4134" spans="1:2" x14ac:dyDescent="0.25">
      <c r="A4134" s="307"/>
      <c r="B4134" s="307"/>
    </row>
    <row r="4135" spans="1:2" x14ac:dyDescent="0.25">
      <c r="A4135" s="307"/>
      <c r="B4135" s="307"/>
    </row>
    <row r="4136" spans="1:2" x14ac:dyDescent="0.25">
      <c r="A4136" s="307"/>
      <c r="B4136" s="307"/>
    </row>
    <row r="4137" spans="1:2" x14ac:dyDescent="0.25">
      <c r="A4137" s="307"/>
      <c r="B4137" s="307"/>
    </row>
    <row r="4138" spans="1:2" x14ac:dyDescent="0.25">
      <c r="A4138" s="307"/>
      <c r="B4138" s="307"/>
    </row>
    <row r="4139" spans="1:2" x14ac:dyDescent="0.25">
      <c r="A4139" s="307"/>
      <c r="B4139" s="307"/>
    </row>
    <row r="4140" spans="1:2" x14ac:dyDescent="0.25">
      <c r="A4140" s="307"/>
      <c r="B4140" s="307"/>
    </row>
    <row r="4141" spans="1:2" x14ac:dyDescent="0.25">
      <c r="A4141" s="307"/>
      <c r="B4141" s="307"/>
    </row>
    <row r="4142" spans="1:2" x14ac:dyDescent="0.25">
      <c r="A4142" s="307"/>
      <c r="B4142" s="307"/>
    </row>
    <row r="4143" spans="1:2" x14ac:dyDescent="0.25">
      <c r="A4143" s="307"/>
      <c r="B4143" s="307"/>
    </row>
    <row r="4144" spans="1:2" x14ac:dyDescent="0.25">
      <c r="A4144" s="307"/>
      <c r="B4144" s="307"/>
    </row>
    <row r="4145" spans="1:2" x14ac:dyDescent="0.25">
      <c r="A4145" s="307"/>
      <c r="B4145" s="307"/>
    </row>
    <row r="4146" spans="1:2" x14ac:dyDescent="0.25">
      <c r="A4146" s="307"/>
      <c r="B4146" s="307"/>
    </row>
    <row r="4147" spans="1:2" x14ac:dyDescent="0.25">
      <c r="A4147" s="307"/>
      <c r="B4147" s="307"/>
    </row>
    <row r="4148" spans="1:2" x14ac:dyDescent="0.25">
      <c r="A4148" s="307"/>
      <c r="B4148" s="307"/>
    </row>
    <row r="4149" spans="1:2" x14ac:dyDescent="0.25">
      <c r="A4149" s="307"/>
      <c r="B4149" s="307"/>
    </row>
    <row r="4150" spans="1:2" x14ac:dyDescent="0.25">
      <c r="A4150" s="307"/>
      <c r="B4150" s="307"/>
    </row>
    <row r="4151" spans="1:2" x14ac:dyDescent="0.25">
      <c r="A4151" s="307"/>
      <c r="B4151" s="307"/>
    </row>
    <row r="4152" spans="1:2" x14ac:dyDescent="0.25">
      <c r="A4152" s="307"/>
      <c r="B4152" s="307"/>
    </row>
    <row r="4153" spans="1:2" x14ac:dyDescent="0.25">
      <c r="A4153" s="307"/>
      <c r="B4153" s="307"/>
    </row>
    <row r="4154" spans="1:2" x14ac:dyDescent="0.25">
      <c r="A4154" s="307"/>
      <c r="B4154" s="307"/>
    </row>
    <row r="4155" spans="1:2" x14ac:dyDescent="0.25">
      <c r="A4155" s="307"/>
      <c r="B4155" s="307"/>
    </row>
    <row r="4156" spans="1:2" x14ac:dyDescent="0.25">
      <c r="A4156" s="307"/>
      <c r="B4156" s="307"/>
    </row>
    <row r="4157" spans="1:2" x14ac:dyDescent="0.25">
      <c r="A4157" s="307"/>
      <c r="B4157" s="307"/>
    </row>
    <row r="4158" spans="1:2" x14ac:dyDescent="0.25">
      <c r="A4158" s="307"/>
      <c r="B4158" s="307"/>
    </row>
    <row r="4159" spans="1:2" x14ac:dyDescent="0.25">
      <c r="A4159" s="307"/>
      <c r="B4159" s="307"/>
    </row>
    <row r="4160" spans="1:2" x14ac:dyDescent="0.25">
      <c r="A4160" s="307"/>
      <c r="B4160" s="307"/>
    </row>
    <row r="4161" spans="1:2" x14ac:dyDescent="0.25">
      <c r="A4161" s="307"/>
      <c r="B4161" s="307"/>
    </row>
    <row r="4162" spans="1:2" x14ac:dyDescent="0.25">
      <c r="A4162" s="307"/>
      <c r="B4162" s="307"/>
    </row>
    <row r="4163" spans="1:2" x14ac:dyDescent="0.25">
      <c r="A4163" s="307"/>
      <c r="B4163" s="307"/>
    </row>
    <row r="4164" spans="1:2" x14ac:dyDescent="0.25">
      <c r="A4164" s="307"/>
      <c r="B4164" s="307"/>
    </row>
    <row r="4165" spans="1:2" x14ac:dyDescent="0.25">
      <c r="A4165" s="307"/>
      <c r="B4165" s="307"/>
    </row>
    <row r="4166" spans="1:2" x14ac:dyDescent="0.25">
      <c r="A4166" s="307"/>
      <c r="B4166" s="307"/>
    </row>
    <row r="4167" spans="1:2" x14ac:dyDescent="0.25">
      <c r="A4167" s="307"/>
      <c r="B4167" s="307"/>
    </row>
    <row r="4168" spans="1:2" x14ac:dyDescent="0.25">
      <c r="A4168" s="307"/>
      <c r="B4168" s="307"/>
    </row>
    <row r="4169" spans="1:2" x14ac:dyDescent="0.25">
      <c r="A4169" s="307"/>
      <c r="B4169" s="307"/>
    </row>
    <row r="4170" spans="1:2" x14ac:dyDescent="0.25">
      <c r="A4170" s="307"/>
      <c r="B4170" s="307"/>
    </row>
    <row r="4171" spans="1:2" x14ac:dyDescent="0.25">
      <c r="A4171" s="307"/>
      <c r="B4171" s="307"/>
    </row>
    <row r="4172" spans="1:2" x14ac:dyDescent="0.25">
      <c r="A4172" s="307"/>
      <c r="B4172" s="307"/>
    </row>
    <row r="4173" spans="1:2" x14ac:dyDescent="0.25">
      <c r="A4173" s="307"/>
      <c r="B4173" s="307"/>
    </row>
    <row r="4174" spans="1:2" x14ac:dyDescent="0.25">
      <c r="A4174" s="307"/>
      <c r="B4174" s="307"/>
    </row>
    <row r="4175" spans="1:2" x14ac:dyDescent="0.25">
      <c r="A4175" s="307"/>
      <c r="B4175" s="307"/>
    </row>
    <row r="4176" spans="1:2" x14ac:dyDescent="0.25">
      <c r="A4176" s="307"/>
      <c r="B4176" s="307"/>
    </row>
    <row r="4177" spans="1:2" x14ac:dyDescent="0.25">
      <c r="A4177" s="307"/>
      <c r="B4177" s="307"/>
    </row>
    <row r="4178" spans="1:2" x14ac:dyDescent="0.25">
      <c r="A4178" s="307"/>
      <c r="B4178" s="307"/>
    </row>
    <row r="4179" spans="1:2" x14ac:dyDescent="0.25">
      <c r="A4179" s="307"/>
      <c r="B4179" s="307"/>
    </row>
    <row r="4180" spans="1:2" x14ac:dyDescent="0.25">
      <c r="A4180" s="307"/>
      <c r="B4180" s="307"/>
    </row>
    <row r="4181" spans="1:2" x14ac:dyDescent="0.25">
      <c r="A4181" s="307"/>
      <c r="B4181" s="307"/>
    </row>
    <row r="4182" spans="1:2" x14ac:dyDescent="0.25">
      <c r="A4182" s="307"/>
      <c r="B4182" s="307"/>
    </row>
    <row r="4183" spans="1:2" x14ac:dyDescent="0.25">
      <c r="A4183" s="307"/>
      <c r="B4183" s="307"/>
    </row>
    <row r="4184" spans="1:2" x14ac:dyDescent="0.25">
      <c r="A4184" s="307"/>
      <c r="B4184" s="307"/>
    </row>
    <row r="4185" spans="1:2" x14ac:dyDescent="0.25">
      <c r="A4185" s="307"/>
      <c r="B4185" s="307"/>
    </row>
    <row r="4186" spans="1:2" x14ac:dyDescent="0.25">
      <c r="A4186" s="307"/>
      <c r="B4186" s="307"/>
    </row>
    <row r="4187" spans="1:2" x14ac:dyDescent="0.25">
      <c r="A4187" s="307"/>
      <c r="B4187" s="307"/>
    </row>
    <row r="4188" spans="1:2" x14ac:dyDescent="0.25">
      <c r="A4188" s="307"/>
      <c r="B4188" s="307"/>
    </row>
    <row r="4189" spans="1:2" x14ac:dyDescent="0.25">
      <c r="A4189" s="307"/>
      <c r="B4189" s="307"/>
    </row>
    <row r="4190" spans="1:2" x14ac:dyDescent="0.25">
      <c r="A4190" s="307"/>
      <c r="B4190" s="307"/>
    </row>
    <row r="4191" spans="1:2" x14ac:dyDescent="0.25">
      <c r="A4191" s="307"/>
      <c r="B4191" s="307"/>
    </row>
    <row r="4192" spans="1:2" x14ac:dyDescent="0.25">
      <c r="A4192" s="307"/>
      <c r="B4192" s="307"/>
    </row>
    <row r="4193" spans="1:2" x14ac:dyDescent="0.25">
      <c r="A4193" s="307"/>
      <c r="B4193" s="307"/>
    </row>
    <row r="4194" spans="1:2" x14ac:dyDescent="0.25">
      <c r="A4194" s="307"/>
      <c r="B4194" s="307"/>
    </row>
    <row r="4195" spans="1:2" x14ac:dyDescent="0.25">
      <c r="A4195" s="307"/>
      <c r="B4195" s="307"/>
    </row>
    <row r="4196" spans="1:2" x14ac:dyDescent="0.25">
      <c r="A4196" s="307"/>
      <c r="B4196" s="307"/>
    </row>
    <row r="4197" spans="1:2" x14ac:dyDescent="0.25">
      <c r="A4197" s="307"/>
      <c r="B4197" s="307"/>
    </row>
    <row r="4198" spans="1:2" x14ac:dyDescent="0.25">
      <c r="A4198" s="307"/>
      <c r="B4198" s="307"/>
    </row>
    <row r="4199" spans="1:2" x14ac:dyDescent="0.25">
      <c r="A4199" s="307"/>
      <c r="B4199" s="307"/>
    </row>
    <row r="4200" spans="1:2" x14ac:dyDescent="0.25">
      <c r="A4200" s="307"/>
      <c r="B4200" s="307"/>
    </row>
    <row r="4201" spans="1:2" x14ac:dyDescent="0.25">
      <c r="A4201" s="307"/>
      <c r="B4201" s="307"/>
    </row>
    <row r="4202" spans="1:2" x14ac:dyDescent="0.25">
      <c r="A4202" s="307"/>
      <c r="B4202" s="307"/>
    </row>
    <row r="4203" spans="1:2" x14ac:dyDescent="0.25">
      <c r="A4203" s="307"/>
      <c r="B4203" s="307"/>
    </row>
    <row r="4204" spans="1:2" x14ac:dyDescent="0.25">
      <c r="A4204" s="307"/>
      <c r="B4204" s="307"/>
    </row>
    <row r="4205" spans="1:2" x14ac:dyDescent="0.25">
      <c r="A4205" s="307"/>
      <c r="B4205" s="307"/>
    </row>
    <row r="4206" spans="1:2" x14ac:dyDescent="0.25">
      <c r="A4206" s="307"/>
      <c r="B4206" s="307"/>
    </row>
    <row r="4207" spans="1:2" x14ac:dyDescent="0.25">
      <c r="A4207" s="307"/>
      <c r="B4207" s="307"/>
    </row>
    <row r="4208" spans="1:2" x14ac:dyDescent="0.25">
      <c r="A4208" s="307"/>
      <c r="B4208" s="307"/>
    </row>
    <row r="4209" spans="1:2" x14ac:dyDescent="0.25">
      <c r="A4209" s="307"/>
      <c r="B4209" s="307"/>
    </row>
    <row r="4210" spans="1:2" x14ac:dyDescent="0.25">
      <c r="A4210" s="307"/>
      <c r="B4210" s="307"/>
    </row>
    <row r="4211" spans="1:2" x14ac:dyDescent="0.25">
      <c r="A4211" s="307"/>
      <c r="B4211" s="307"/>
    </row>
    <row r="4212" spans="1:2" x14ac:dyDescent="0.25">
      <c r="A4212" s="307"/>
      <c r="B4212" s="307"/>
    </row>
    <row r="4213" spans="1:2" x14ac:dyDescent="0.25">
      <c r="A4213" s="307"/>
      <c r="B4213" s="307"/>
    </row>
    <row r="4214" spans="1:2" x14ac:dyDescent="0.25">
      <c r="A4214" s="307"/>
      <c r="B4214" s="307"/>
    </row>
    <row r="4215" spans="1:2" x14ac:dyDescent="0.25">
      <c r="A4215" s="307"/>
      <c r="B4215" s="307"/>
    </row>
    <row r="4216" spans="1:2" x14ac:dyDescent="0.25">
      <c r="A4216" s="307"/>
      <c r="B4216" s="307"/>
    </row>
    <row r="4217" spans="1:2" x14ac:dyDescent="0.25">
      <c r="A4217" s="307"/>
      <c r="B4217" s="307"/>
    </row>
    <row r="4218" spans="1:2" x14ac:dyDescent="0.25">
      <c r="A4218" s="307"/>
      <c r="B4218" s="307"/>
    </row>
    <row r="4219" spans="1:2" x14ac:dyDescent="0.25">
      <c r="A4219" s="307"/>
      <c r="B4219" s="307"/>
    </row>
    <row r="4220" spans="1:2" x14ac:dyDescent="0.25">
      <c r="A4220" s="307"/>
      <c r="B4220" s="307"/>
    </row>
    <row r="4221" spans="1:2" x14ac:dyDescent="0.25">
      <c r="A4221" s="307"/>
      <c r="B4221" s="307"/>
    </row>
    <row r="4222" spans="1:2" x14ac:dyDescent="0.25">
      <c r="A4222" s="307"/>
      <c r="B4222" s="307"/>
    </row>
    <row r="4223" spans="1:2" x14ac:dyDescent="0.25">
      <c r="A4223" s="307"/>
      <c r="B4223" s="307"/>
    </row>
    <row r="4224" spans="1:2" x14ac:dyDescent="0.25">
      <c r="A4224" s="307"/>
      <c r="B4224" s="307"/>
    </row>
    <row r="4225" spans="1:2" x14ac:dyDescent="0.25">
      <c r="A4225" s="307"/>
      <c r="B4225" s="307"/>
    </row>
    <row r="4226" spans="1:2" x14ac:dyDescent="0.25">
      <c r="A4226" s="307"/>
      <c r="B4226" s="307"/>
    </row>
    <row r="4227" spans="1:2" x14ac:dyDescent="0.25">
      <c r="A4227" s="307"/>
      <c r="B4227" s="307"/>
    </row>
    <row r="4228" spans="1:2" x14ac:dyDescent="0.25">
      <c r="A4228" s="307"/>
      <c r="B4228" s="307"/>
    </row>
    <row r="4229" spans="1:2" x14ac:dyDescent="0.25">
      <c r="A4229" s="307"/>
      <c r="B4229" s="307"/>
    </row>
    <row r="4230" spans="1:2" x14ac:dyDescent="0.25">
      <c r="A4230" s="307"/>
      <c r="B4230" s="307"/>
    </row>
    <row r="4231" spans="1:2" x14ac:dyDescent="0.25">
      <c r="A4231" s="307"/>
      <c r="B4231" s="307"/>
    </row>
    <row r="4232" spans="1:2" x14ac:dyDescent="0.25">
      <c r="A4232" s="307"/>
      <c r="B4232" s="307"/>
    </row>
    <row r="4233" spans="1:2" x14ac:dyDescent="0.25">
      <c r="A4233" s="307"/>
      <c r="B4233" s="307"/>
    </row>
    <row r="4234" spans="1:2" x14ac:dyDescent="0.25">
      <c r="A4234" s="307"/>
      <c r="B4234" s="307"/>
    </row>
    <row r="4235" spans="1:2" x14ac:dyDescent="0.25">
      <c r="A4235" s="307"/>
      <c r="B4235" s="307"/>
    </row>
    <row r="4236" spans="1:2" x14ac:dyDescent="0.25">
      <c r="A4236" s="307"/>
      <c r="B4236" s="307"/>
    </row>
    <row r="4237" spans="1:2" x14ac:dyDescent="0.25">
      <c r="A4237" s="307"/>
      <c r="B4237" s="307"/>
    </row>
    <row r="4238" spans="1:2" x14ac:dyDescent="0.25">
      <c r="A4238" s="307"/>
      <c r="B4238" s="307"/>
    </row>
    <row r="4239" spans="1:2" x14ac:dyDescent="0.25">
      <c r="A4239" s="307"/>
      <c r="B4239" s="307"/>
    </row>
    <row r="4240" spans="1:2" x14ac:dyDescent="0.25">
      <c r="A4240" s="307"/>
      <c r="B4240" s="307"/>
    </row>
    <row r="4241" spans="1:2" x14ac:dyDescent="0.25">
      <c r="A4241" s="307"/>
      <c r="B4241" s="307"/>
    </row>
    <row r="4242" spans="1:2" x14ac:dyDescent="0.25">
      <c r="A4242" s="307"/>
      <c r="B4242" s="307"/>
    </row>
    <row r="4243" spans="1:2" x14ac:dyDescent="0.25">
      <c r="A4243" s="307"/>
      <c r="B4243" s="307"/>
    </row>
    <row r="4244" spans="1:2" x14ac:dyDescent="0.25">
      <c r="A4244" s="307"/>
      <c r="B4244" s="307"/>
    </row>
    <row r="4245" spans="1:2" x14ac:dyDescent="0.25">
      <c r="A4245" s="307"/>
      <c r="B4245" s="307"/>
    </row>
    <row r="4246" spans="1:2" x14ac:dyDescent="0.25">
      <c r="A4246" s="307"/>
      <c r="B4246" s="307"/>
    </row>
    <row r="4247" spans="1:2" x14ac:dyDescent="0.25">
      <c r="A4247" s="307"/>
      <c r="B4247" s="307"/>
    </row>
    <row r="4248" spans="1:2" x14ac:dyDescent="0.25">
      <c r="A4248" s="307"/>
      <c r="B4248" s="307"/>
    </row>
    <row r="4249" spans="1:2" x14ac:dyDescent="0.25">
      <c r="A4249" s="307"/>
      <c r="B4249" s="307"/>
    </row>
    <row r="4250" spans="1:2" x14ac:dyDescent="0.25">
      <c r="A4250" s="307"/>
      <c r="B4250" s="307"/>
    </row>
    <row r="4251" spans="1:2" x14ac:dyDescent="0.25">
      <c r="A4251" s="307"/>
      <c r="B4251" s="307"/>
    </row>
    <row r="4252" spans="1:2" x14ac:dyDescent="0.25">
      <c r="A4252" s="307"/>
      <c r="B4252" s="307"/>
    </row>
    <row r="4253" spans="1:2" x14ac:dyDescent="0.25">
      <c r="A4253" s="307"/>
      <c r="B4253" s="307"/>
    </row>
    <row r="4254" spans="1:2" x14ac:dyDescent="0.25">
      <c r="A4254" s="307"/>
      <c r="B4254" s="307"/>
    </row>
    <row r="4255" spans="1:2" x14ac:dyDescent="0.25">
      <c r="A4255" s="307"/>
      <c r="B4255" s="307"/>
    </row>
    <row r="4256" spans="1:2" x14ac:dyDescent="0.25">
      <c r="A4256" s="307"/>
      <c r="B4256" s="307"/>
    </row>
    <row r="4257" spans="1:2" x14ac:dyDescent="0.25">
      <c r="A4257" s="307"/>
      <c r="B4257" s="307"/>
    </row>
    <row r="4258" spans="1:2" x14ac:dyDescent="0.25">
      <c r="A4258" s="307"/>
      <c r="B4258" s="307"/>
    </row>
    <row r="4259" spans="1:2" x14ac:dyDescent="0.25">
      <c r="A4259" s="307"/>
      <c r="B4259" s="307"/>
    </row>
    <row r="4260" spans="1:2" x14ac:dyDescent="0.25">
      <c r="A4260" s="307"/>
      <c r="B4260" s="307"/>
    </row>
    <row r="4261" spans="1:2" x14ac:dyDescent="0.25">
      <c r="A4261" s="307"/>
      <c r="B4261" s="307"/>
    </row>
    <row r="4262" spans="1:2" x14ac:dyDescent="0.25">
      <c r="A4262" s="307"/>
      <c r="B4262" s="307"/>
    </row>
    <row r="4263" spans="1:2" x14ac:dyDescent="0.25">
      <c r="A4263" s="307"/>
      <c r="B4263" s="307"/>
    </row>
    <row r="4264" spans="1:2" x14ac:dyDescent="0.25">
      <c r="A4264" s="307"/>
      <c r="B4264" s="307"/>
    </row>
    <row r="4265" spans="1:2" x14ac:dyDescent="0.25">
      <c r="A4265" s="307"/>
      <c r="B4265" s="307"/>
    </row>
    <row r="4266" spans="1:2" x14ac:dyDescent="0.25">
      <c r="A4266" s="307"/>
      <c r="B4266" s="307"/>
    </row>
    <row r="4267" spans="1:2" x14ac:dyDescent="0.25">
      <c r="A4267" s="307"/>
      <c r="B4267" s="307"/>
    </row>
    <row r="4268" spans="1:2" x14ac:dyDescent="0.25">
      <c r="A4268" s="307"/>
      <c r="B4268" s="307"/>
    </row>
    <row r="4269" spans="1:2" x14ac:dyDescent="0.25">
      <c r="A4269" s="307"/>
      <c r="B4269" s="307"/>
    </row>
    <row r="4270" spans="1:2" x14ac:dyDescent="0.25">
      <c r="A4270" s="307"/>
      <c r="B4270" s="307"/>
    </row>
    <row r="4271" spans="1:2" x14ac:dyDescent="0.25">
      <c r="A4271" s="307"/>
      <c r="B4271" s="307"/>
    </row>
    <row r="4272" spans="1:2" x14ac:dyDescent="0.25">
      <c r="A4272" s="307"/>
      <c r="B4272" s="307"/>
    </row>
    <row r="4273" spans="1:2" x14ac:dyDescent="0.25">
      <c r="A4273" s="307"/>
      <c r="B4273" s="307"/>
    </row>
    <row r="4274" spans="1:2" x14ac:dyDescent="0.25">
      <c r="A4274" s="307"/>
      <c r="B4274" s="307"/>
    </row>
    <row r="4275" spans="1:2" x14ac:dyDescent="0.25">
      <c r="A4275" s="307"/>
      <c r="B4275" s="307"/>
    </row>
    <row r="4276" spans="1:2" x14ac:dyDescent="0.25">
      <c r="A4276" s="307"/>
      <c r="B4276" s="307"/>
    </row>
    <row r="4277" spans="1:2" x14ac:dyDescent="0.25">
      <c r="A4277" s="307"/>
      <c r="B4277" s="307"/>
    </row>
    <row r="4278" spans="1:2" x14ac:dyDescent="0.25">
      <c r="A4278" s="307"/>
      <c r="B4278" s="307"/>
    </row>
    <row r="4279" spans="1:2" x14ac:dyDescent="0.25">
      <c r="A4279" s="307"/>
      <c r="B4279" s="307"/>
    </row>
    <row r="4280" spans="1:2" x14ac:dyDescent="0.25">
      <c r="A4280" s="307"/>
      <c r="B4280" s="307"/>
    </row>
    <row r="4281" spans="1:2" x14ac:dyDescent="0.25">
      <c r="A4281" s="307"/>
      <c r="B4281" s="307"/>
    </row>
    <row r="4282" spans="1:2" x14ac:dyDescent="0.25">
      <c r="A4282" s="307"/>
      <c r="B4282" s="307"/>
    </row>
    <row r="4283" spans="1:2" x14ac:dyDescent="0.25">
      <c r="A4283" s="307"/>
      <c r="B4283" s="307"/>
    </row>
    <row r="4284" spans="1:2" x14ac:dyDescent="0.25">
      <c r="A4284" s="307"/>
      <c r="B4284" s="307"/>
    </row>
    <row r="4285" spans="1:2" x14ac:dyDescent="0.25">
      <c r="A4285" s="307"/>
      <c r="B4285" s="307"/>
    </row>
    <row r="4286" spans="1:2" x14ac:dyDescent="0.25">
      <c r="A4286" s="307"/>
      <c r="B4286" s="307"/>
    </row>
    <row r="4287" spans="1:2" x14ac:dyDescent="0.25">
      <c r="A4287" s="307"/>
      <c r="B4287" s="307"/>
    </row>
    <row r="4288" spans="1:2" x14ac:dyDescent="0.25">
      <c r="A4288" s="307"/>
      <c r="B4288" s="307"/>
    </row>
    <row r="4289" spans="1:2" x14ac:dyDescent="0.25">
      <c r="A4289" s="307"/>
      <c r="B4289" s="307"/>
    </row>
    <row r="4290" spans="1:2" x14ac:dyDescent="0.25">
      <c r="A4290" s="307"/>
      <c r="B4290" s="307"/>
    </row>
    <row r="4291" spans="1:2" x14ac:dyDescent="0.25">
      <c r="A4291" s="307"/>
      <c r="B4291" s="307"/>
    </row>
    <row r="4292" spans="1:2" x14ac:dyDescent="0.25">
      <c r="A4292" s="307"/>
      <c r="B4292" s="307"/>
    </row>
    <row r="4293" spans="1:2" x14ac:dyDescent="0.25">
      <c r="A4293" s="307"/>
      <c r="B4293" s="307"/>
    </row>
    <row r="4294" spans="1:2" x14ac:dyDescent="0.25">
      <c r="A4294" s="307"/>
      <c r="B4294" s="307"/>
    </row>
    <row r="4295" spans="1:2" x14ac:dyDescent="0.25">
      <c r="A4295" s="307"/>
      <c r="B4295" s="307"/>
    </row>
    <row r="4296" spans="1:2" x14ac:dyDescent="0.25">
      <c r="A4296" s="307"/>
      <c r="B4296" s="307"/>
    </row>
    <row r="4297" spans="1:2" x14ac:dyDescent="0.25">
      <c r="A4297" s="307"/>
      <c r="B4297" s="307"/>
    </row>
    <row r="4298" spans="1:2" x14ac:dyDescent="0.25">
      <c r="A4298" s="307"/>
      <c r="B4298" s="307"/>
    </row>
    <row r="4299" spans="1:2" x14ac:dyDescent="0.25">
      <c r="A4299" s="307"/>
      <c r="B4299" s="307"/>
    </row>
    <row r="4300" spans="1:2" x14ac:dyDescent="0.25">
      <c r="A4300" s="307"/>
      <c r="B4300" s="307"/>
    </row>
    <row r="4301" spans="1:2" x14ac:dyDescent="0.25">
      <c r="A4301" s="307"/>
      <c r="B4301" s="307"/>
    </row>
    <row r="4302" spans="1:2" x14ac:dyDescent="0.25">
      <c r="A4302" s="307"/>
      <c r="B4302" s="307"/>
    </row>
    <row r="4303" spans="1:2" x14ac:dyDescent="0.25">
      <c r="A4303" s="307"/>
      <c r="B4303" s="307"/>
    </row>
    <row r="4304" spans="1:2" x14ac:dyDescent="0.25">
      <c r="A4304" s="307"/>
      <c r="B4304" s="307"/>
    </row>
    <row r="4305" spans="1:2" x14ac:dyDescent="0.25">
      <c r="A4305" s="307"/>
      <c r="B4305" s="307"/>
    </row>
    <row r="4306" spans="1:2" x14ac:dyDescent="0.25">
      <c r="A4306" s="307"/>
      <c r="B4306" s="307"/>
    </row>
    <row r="4307" spans="1:2" x14ac:dyDescent="0.25">
      <c r="A4307" s="307"/>
      <c r="B4307" s="307"/>
    </row>
    <row r="4308" spans="1:2" x14ac:dyDescent="0.25">
      <c r="A4308" s="307"/>
      <c r="B4308" s="307"/>
    </row>
    <row r="4309" spans="1:2" x14ac:dyDescent="0.25">
      <c r="A4309" s="307"/>
      <c r="B4309" s="307"/>
    </row>
    <row r="4310" spans="1:2" x14ac:dyDescent="0.25">
      <c r="A4310" s="307"/>
      <c r="B4310" s="307"/>
    </row>
    <row r="4311" spans="1:2" x14ac:dyDescent="0.25">
      <c r="A4311" s="307"/>
      <c r="B4311" s="307"/>
    </row>
    <row r="4312" spans="1:2" x14ac:dyDescent="0.25">
      <c r="A4312" s="307"/>
      <c r="B4312" s="307"/>
    </row>
    <row r="4313" spans="1:2" x14ac:dyDescent="0.25">
      <c r="A4313" s="307"/>
      <c r="B4313" s="307"/>
    </row>
    <row r="4314" spans="1:2" x14ac:dyDescent="0.25">
      <c r="A4314" s="307"/>
      <c r="B4314" s="307"/>
    </row>
    <row r="4315" spans="1:2" x14ac:dyDescent="0.25">
      <c r="A4315" s="307"/>
      <c r="B4315" s="307"/>
    </row>
    <row r="4316" spans="1:2" x14ac:dyDescent="0.25">
      <c r="A4316" s="307"/>
      <c r="B4316" s="307"/>
    </row>
    <row r="4317" spans="1:2" x14ac:dyDescent="0.25">
      <c r="A4317" s="307"/>
      <c r="B4317" s="307"/>
    </row>
    <row r="4318" spans="1:2" x14ac:dyDescent="0.25">
      <c r="A4318" s="307"/>
      <c r="B4318" s="307"/>
    </row>
    <row r="4319" spans="1:2" x14ac:dyDescent="0.25">
      <c r="A4319" s="307"/>
      <c r="B4319" s="307"/>
    </row>
    <row r="4320" spans="1:2" x14ac:dyDescent="0.25">
      <c r="A4320" s="307"/>
      <c r="B4320" s="307"/>
    </row>
    <row r="4321" spans="1:2" x14ac:dyDescent="0.25">
      <c r="A4321" s="307"/>
      <c r="B4321" s="307"/>
    </row>
    <row r="4322" spans="1:2" x14ac:dyDescent="0.25">
      <c r="A4322" s="307"/>
      <c r="B4322" s="307"/>
    </row>
    <row r="4323" spans="1:2" x14ac:dyDescent="0.25">
      <c r="A4323" s="307"/>
      <c r="B4323" s="307"/>
    </row>
    <row r="4324" spans="1:2" x14ac:dyDescent="0.25">
      <c r="A4324" s="307"/>
      <c r="B4324" s="307"/>
    </row>
    <row r="4325" spans="1:2" x14ac:dyDescent="0.25">
      <c r="A4325" s="307"/>
      <c r="B4325" s="307"/>
    </row>
    <row r="4326" spans="1:2" x14ac:dyDescent="0.25">
      <c r="A4326" s="307"/>
      <c r="B4326" s="307"/>
    </row>
    <row r="4327" spans="1:2" x14ac:dyDescent="0.25">
      <c r="A4327" s="307"/>
      <c r="B4327" s="307"/>
    </row>
    <row r="4328" spans="1:2" x14ac:dyDescent="0.25">
      <c r="A4328" s="307"/>
      <c r="B4328" s="307"/>
    </row>
    <row r="4329" spans="1:2" x14ac:dyDescent="0.25">
      <c r="A4329" s="307"/>
      <c r="B4329" s="307"/>
    </row>
    <row r="4330" spans="1:2" x14ac:dyDescent="0.25">
      <c r="A4330" s="307"/>
      <c r="B4330" s="307"/>
    </row>
    <row r="4331" spans="1:2" x14ac:dyDescent="0.25">
      <c r="A4331" s="307"/>
      <c r="B4331" s="307"/>
    </row>
    <row r="4332" spans="1:2" x14ac:dyDescent="0.25">
      <c r="A4332" s="307"/>
      <c r="B4332" s="307"/>
    </row>
    <row r="4333" spans="1:2" x14ac:dyDescent="0.25">
      <c r="A4333" s="307"/>
      <c r="B4333" s="307"/>
    </row>
    <row r="4334" spans="1:2" x14ac:dyDescent="0.25">
      <c r="A4334" s="307"/>
      <c r="B4334" s="307"/>
    </row>
    <row r="4335" spans="1:2" x14ac:dyDescent="0.25">
      <c r="A4335" s="307"/>
      <c r="B4335" s="307"/>
    </row>
    <row r="4336" spans="1:2" x14ac:dyDescent="0.25">
      <c r="A4336" s="307"/>
      <c r="B4336" s="307"/>
    </row>
    <row r="4337" spans="1:2" x14ac:dyDescent="0.25">
      <c r="A4337" s="307"/>
      <c r="B4337" s="307"/>
    </row>
    <row r="4338" spans="1:2" x14ac:dyDescent="0.25">
      <c r="A4338" s="307"/>
      <c r="B4338" s="307"/>
    </row>
    <row r="4339" spans="1:2" x14ac:dyDescent="0.25">
      <c r="A4339" s="307"/>
      <c r="B4339" s="307"/>
    </row>
    <row r="4340" spans="1:2" x14ac:dyDescent="0.25">
      <c r="A4340" s="307"/>
      <c r="B4340" s="307"/>
    </row>
    <row r="4341" spans="1:2" x14ac:dyDescent="0.25">
      <c r="A4341" s="307"/>
      <c r="B4341" s="307"/>
    </row>
    <row r="4342" spans="1:2" x14ac:dyDescent="0.25">
      <c r="A4342" s="307"/>
      <c r="B4342" s="307"/>
    </row>
    <row r="4343" spans="1:2" x14ac:dyDescent="0.25">
      <c r="A4343" s="307"/>
      <c r="B4343" s="307"/>
    </row>
    <row r="4344" spans="1:2" x14ac:dyDescent="0.25">
      <c r="A4344" s="307"/>
      <c r="B4344" s="307"/>
    </row>
    <row r="4345" spans="1:2" x14ac:dyDescent="0.25">
      <c r="A4345" s="307"/>
      <c r="B4345" s="307"/>
    </row>
    <row r="4346" spans="1:2" x14ac:dyDescent="0.25">
      <c r="A4346" s="307"/>
      <c r="B4346" s="307"/>
    </row>
    <row r="4347" spans="1:2" x14ac:dyDescent="0.25">
      <c r="A4347" s="307"/>
      <c r="B4347" s="307"/>
    </row>
    <row r="4348" spans="1:2" x14ac:dyDescent="0.25">
      <c r="A4348" s="307"/>
      <c r="B4348" s="307"/>
    </row>
    <row r="4349" spans="1:2" x14ac:dyDescent="0.25">
      <c r="A4349" s="307"/>
      <c r="B4349" s="307"/>
    </row>
    <row r="4350" spans="1:2" x14ac:dyDescent="0.25">
      <c r="A4350" s="307"/>
      <c r="B4350" s="307"/>
    </row>
    <row r="4351" spans="1:2" x14ac:dyDescent="0.25">
      <c r="A4351" s="307"/>
      <c r="B4351" s="307"/>
    </row>
    <row r="4352" spans="1:2" x14ac:dyDescent="0.25">
      <c r="A4352" s="307"/>
      <c r="B4352" s="307"/>
    </row>
    <row r="4353" spans="1:2" x14ac:dyDescent="0.25">
      <c r="A4353" s="307"/>
      <c r="B4353" s="307"/>
    </row>
    <row r="4354" spans="1:2" x14ac:dyDescent="0.25">
      <c r="A4354" s="307"/>
      <c r="B4354" s="307"/>
    </row>
    <row r="4355" spans="1:2" x14ac:dyDescent="0.25">
      <c r="A4355" s="307"/>
      <c r="B4355" s="307"/>
    </row>
    <row r="4356" spans="1:2" x14ac:dyDescent="0.25">
      <c r="A4356" s="307"/>
      <c r="B4356" s="307"/>
    </row>
    <row r="4357" spans="1:2" x14ac:dyDescent="0.25">
      <c r="A4357" s="307"/>
      <c r="B4357" s="307"/>
    </row>
    <row r="4358" spans="1:2" x14ac:dyDescent="0.25">
      <c r="A4358" s="307"/>
      <c r="B4358" s="307"/>
    </row>
    <row r="4359" spans="1:2" x14ac:dyDescent="0.25">
      <c r="A4359" s="307"/>
      <c r="B4359" s="307"/>
    </row>
    <row r="4360" spans="1:2" x14ac:dyDescent="0.25">
      <c r="A4360" s="307"/>
      <c r="B4360" s="307"/>
    </row>
    <row r="4361" spans="1:2" x14ac:dyDescent="0.25">
      <c r="A4361" s="307"/>
      <c r="B4361" s="307"/>
    </row>
    <row r="4362" spans="1:2" x14ac:dyDescent="0.25">
      <c r="A4362" s="307"/>
      <c r="B4362" s="307"/>
    </row>
    <row r="4363" spans="1:2" x14ac:dyDescent="0.25">
      <c r="A4363" s="307"/>
      <c r="B4363" s="307"/>
    </row>
    <row r="4364" spans="1:2" x14ac:dyDescent="0.25">
      <c r="A4364" s="307"/>
      <c r="B4364" s="307"/>
    </row>
    <row r="4365" spans="1:2" x14ac:dyDescent="0.25">
      <c r="A4365" s="307"/>
      <c r="B4365" s="307"/>
    </row>
    <row r="4366" spans="1:2" x14ac:dyDescent="0.25">
      <c r="A4366" s="307"/>
      <c r="B4366" s="307"/>
    </row>
    <row r="4367" spans="1:2" x14ac:dyDescent="0.25">
      <c r="A4367" s="307"/>
      <c r="B4367" s="307"/>
    </row>
    <row r="4368" spans="1:2" x14ac:dyDescent="0.25">
      <c r="A4368" s="307"/>
      <c r="B4368" s="307"/>
    </row>
    <row r="4369" spans="1:2" x14ac:dyDescent="0.25">
      <c r="A4369" s="307"/>
      <c r="B4369" s="307"/>
    </row>
    <row r="4370" spans="1:2" x14ac:dyDescent="0.25">
      <c r="A4370" s="307"/>
      <c r="B4370" s="307"/>
    </row>
    <row r="4371" spans="1:2" x14ac:dyDescent="0.25">
      <c r="A4371" s="307"/>
      <c r="B4371" s="307"/>
    </row>
    <row r="4372" spans="1:2" x14ac:dyDescent="0.25">
      <c r="A4372" s="307"/>
      <c r="B4372" s="307"/>
    </row>
    <row r="4373" spans="1:2" x14ac:dyDescent="0.25">
      <c r="A4373" s="307"/>
      <c r="B4373" s="307"/>
    </row>
    <row r="4374" spans="1:2" x14ac:dyDescent="0.25">
      <c r="A4374" s="307"/>
      <c r="B4374" s="307"/>
    </row>
    <row r="4375" spans="1:2" x14ac:dyDescent="0.25">
      <c r="A4375" s="307"/>
      <c r="B4375" s="307"/>
    </row>
    <row r="4376" spans="1:2" x14ac:dyDescent="0.25">
      <c r="A4376" s="307"/>
      <c r="B4376" s="307"/>
    </row>
    <row r="4377" spans="1:2" x14ac:dyDescent="0.25">
      <c r="A4377" s="307"/>
      <c r="B4377" s="307"/>
    </row>
    <row r="4378" spans="1:2" x14ac:dyDescent="0.25">
      <c r="A4378" s="307"/>
      <c r="B4378" s="307"/>
    </row>
    <row r="4379" spans="1:2" x14ac:dyDescent="0.25">
      <c r="A4379" s="307"/>
      <c r="B4379" s="307"/>
    </row>
    <row r="4380" spans="1:2" x14ac:dyDescent="0.25">
      <c r="A4380" s="307"/>
      <c r="B4380" s="307"/>
    </row>
    <row r="4381" spans="1:2" x14ac:dyDescent="0.25">
      <c r="A4381" s="307"/>
      <c r="B4381" s="307"/>
    </row>
    <row r="4382" spans="1:2" x14ac:dyDescent="0.25">
      <c r="A4382" s="307"/>
      <c r="B4382" s="307"/>
    </row>
    <row r="4383" spans="1:2" x14ac:dyDescent="0.25">
      <c r="A4383" s="307"/>
      <c r="B4383" s="307"/>
    </row>
    <row r="4384" spans="1:2" x14ac:dyDescent="0.25">
      <c r="A4384" s="307"/>
      <c r="B4384" s="307"/>
    </row>
    <row r="4385" spans="1:2" x14ac:dyDescent="0.25">
      <c r="A4385" s="307"/>
      <c r="B4385" s="307"/>
    </row>
    <row r="4386" spans="1:2" x14ac:dyDescent="0.25">
      <c r="A4386" s="307"/>
      <c r="B4386" s="307"/>
    </row>
    <row r="4387" spans="1:2" x14ac:dyDescent="0.25">
      <c r="A4387" s="307"/>
      <c r="B4387" s="307"/>
    </row>
    <row r="4388" spans="1:2" x14ac:dyDescent="0.25">
      <c r="A4388" s="307"/>
      <c r="B4388" s="307"/>
    </row>
    <row r="4389" spans="1:2" x14ac:dyDescent="0.25">
      <c r="A4389" s="307"/>
      <c r="B4389" s="307"/>
    </row>
    <row r="4390" spans="1:2" x14ac:dyDescent="0.25">
      <c r="A4390" s="307"/>
      <c r="B4390" s="307"/>
    </row>
    <row r="4391" spans="1:2" x14ac:dyDescent="0.25">
      <c r="A4391" s="307"/>
      <c r="B4391" s="307"/>
    </row>
    <row r="4392" spans="1:2" x14ac:dyDescent="0.25">
      <c r="A4392" s="307"/>
      <c r="B4392" s="307"/>
    </row>
    <row r="4393" spans="1:2" x14ac:dyDescent="0.25">
      <c r="A4393" s="307"/>
      <c r="B4393" s="307"/>
    </row>
    <row r="4394" spans="1:2" x14ac:dyDescent="0.25">
      <c r="A4394" s="307"/>
      <c r="B4394" s="307"/>
    </row>
    <row r="4395" spans="1:2" x14ac:dyDescent="0.25">
      <c r="A4395" s="307"/>
      <c r="B4395" s="307"/>
    </row>
    <row r="4396" spans="1:2" x14ac:dyDescent="0.25">
      <c r="A4396" s="307"/>
      <c r="B4396" s="307"/>
    </row>
    <row r="4397" spans="1:2" x14ac:dyDescent="0.25">
      <c r="A4397" s="307"/>
      <c r="B4397" s="307"/>
    </row>
    <row r="4398" spans="1:2" x14ac:dyDescent="0.25">
      <c r="A4398" s="307"/>
      <c r="B4398" s="307"/>
    </row>
    <row r="4399" spans="1:2" x14ac:dyDescent="0.25">
      <c r="A4399" s="307"/>
      <c r="B4399" s="307"/>
    </row>
    <row r="4400" spans="1:2" x14ac:dyDescent="0.25">
      <c r="A4400" s="307"/>
      <c r="B4400" s="307"/>
    </row>
    <row r="4401" spans="1:2" x14ac:dyDescent="0.25">
      <c r="A4401" s="307"/>
      <c r="B4401" s="307"/>
    </row>
    <row r="4402" spans="1:2" x14ac:dyDescent="0.25">
      <c r="A4402" s="307"/>
      <c r="B4402" s="307"/>
    </row>
    <row r="4403" spans="1:2" x14ac:dyDescent="0.25">
      <c r="A4403" s="307"/>
      <c r="B4403" s="307"/>
    </row>
    <row r="4404" spans="1:2" x14ac:dyDescent="0.25">
      <c r="A4404" s="307"/>
      <c r="B4404" s="307"/>
    </row>
    <row r="4405" spans="1:2" x14ac:dyDescent="0.25">
      <c r="A4405" s="307"/>
      <c r="B4405" s="307"/>
    </row>
    <row r="4406" spans="1:2" x14ac:dyDescent="0.25">
      <c r="A4406" s="307"/>
      <c r="B4406" s="307"/>
    </row>
    <row r="4407" spans="1:2" x14ac:dyDescent="0.25">
      <c r="A4407" s="307"/>
      <c r="B4407" s="307"/>
    </row>
    <row r="4408" spans="1:2" x14ac:dyDescent="0.25">
      <c r="A4408" s="307"/>
      <c r="B4408" s="307"/>
    </row>
    <row r="4409" spans="1:2" x14ac:dyDescent="0.25">
      <c r="A4409" s="307"/>
      <c r="B4409" s="307"/>
    </row>
    <row r="4410" spans="1:2" x14ac:dyDescent="0.25">
      <c r="A4410" s="307"/>
      <c r="B4410" s="307"/>
    </row>
    <row r="4411" spans="1:2" x14ac:dyDescent="0.25">
      <c r="A4411" s="307"/>
      <c r="B4411" s="307"/>
    </row>
    <row r="4412" spans="1:2" x14ac:dyDescent="0.25">
      <c r="A4412" s="307"/>
      <c r="B4412" s="307"/>
    </row>
    <row r="4413" spans="1:2" x14ac:dyDescent="0.25">
      <c r="A4413" s="307"/>
      <c r="B4413" s="307"/>
    </row>
    <row r="4414" spans="1:2" x14ac:dyDescent="0.25">
      <c r="A4414" s="307"/>
      <c r="B4414" s="307"/>
    </row>
    <row r="4415" spans="1:2" x14ac:dyDescent="0.25">
      <c r="A4415" s="307"/>
      <c r="B4415" s="307"/>
    </row>
    <row r="4416" spans="1:2" x14ac:dyDescent="0.25">
      <c r="A4416" s="307"/>
      <c r="B4416" s="307"/>
    </row>
    <row r="4417" spans="1:2" x14ac:dyDescent="0.25">
      <c r="A4417" s="307"/>
      <c r="B4417" s="307"/>
    </row>
    <row r="4418" spans="1:2" x14ac:dyDescent="0.25">
      <c r="A4418" s="307"/>
      <c r="B4418" s="307"/>
    </row>
    <row r="4419" spans="1:2" x14ac:dyDescent="0.25">
      <c r="A4419" s="307"/>
      <c r="B4419" s="307"/>
    </row>
    <row r="4420" spans="1:2" x14ac:dyDescent="0.25">
      <c r="A4420" s="307"/>
      <c r="B4420" s="307"/>
    </row>
    <row r="4421" spans="1:2" x14ac:dyDescent="0.25">
      <c r="A4421" s="307"/>
      <c r="B4421" s="307"/>
    </row>
    <row r="4422" spans="1:2" x14ac:dyDescent="0.25">
      <c r="A4422" s="307"/>
      <c r="B4422" s="307"/>
    </row>
    <row r="4423" spans="1:2" x14ac:dyDescent="0.25">
      <c r="A4423" s="307"/>
      <c r="B4423" s="307"/>
    </row>
    <row r="4424" spans="1:2" x14ac:dyDescent="0.25">
      <c r="A4424" s="307"/>
      <c r="B4424" s="307"/>
    </row>
    <row r="4425" spans="1:2" x14ac:dyDescent="0.25">
      <c r="A4425" s="307"/>
      <c r="B4425" s="307"/>
    </row>
    <row r="4426" spans="1:2" x14ac:dyDescent="0.25">
      <c r="A4426" s="307"/>
      <c r="B4426" s="307"/>
    </row>
    <row r="4427" spans="1:2" x14ac:dyDescent="0.25">
      <c r="A4427" s="307"/>
      <c r="B4427" s="307"/>
    </row>
    <row r="4428" spans="1:2" x14ac:dyDescent="0.25">
      <c r="A4428" s="307"/>
      <c r="B4428" s="307"/>
    </row>
    <row r="4429" spans="1:2" x14ac:dyDescent="0.25">
      <c r="A4429" s="307"/>
      <c r="B4429" s="307"/>
    </row>
    <row r="4430" spans="1:2" x14ac:dyDescent="0.25">
      <c r="A4430" s="307"/>
      <c r="B4430" s="307"/>
    </row>
    <row r="4431" spans="1:2" x14ac:dyDescent="0.25">
      <c r="A4431" s="307"/>
      <c r="B4431" s="307"/>
    </row>
    <row r="4432" spans="1:2" x14ac:dyDescent="0.25">
      <c r="A4432" s="307"/>
      <c r="B4432" s="307"/>
    </row>
    <row r="4433" spans="1:2" x14ac:dyDescent="0.25">
      <c r="A4433" s="307"/>
      <c r="B4433" s="307"/>
    </row>
    <row r="4434" spans="1:2" x14ac:dyDescent="0.25">
      <c r="A4434" s="307"/>
      <c r="B4434" s="307"/>
    </row>
    <row r="4435" spans="1:2" x14ac:dyDescent="0.25">
      <c r="A4435" s="307"/>
      <c r="B4435" s="307"/>
    </row>
    <row r="4436" spans="1:2" x14ac:dyDescent="0.25">
      <c r="A4436" s="307"/>
      <c r="B4436" s="307"/>
    </row>
    <row r="4437" spans="1:2" x14ac:dyDescent="0.25">
      <c r="A4437" s="307"/>
      <c r="B4437" s="307"/>
    </row>
    <row r="4438" spans="1:2" x14ac:dyDescent="0.25">
      <c r="A4438" s="307"/>
      <c r="B4438" s="307"/>
    </row>
    <row r="4439" spans="1:2" x14ac:dyDescent="0.25">
      <c r="A4439" s="307"/>
      <c r="B4439" s="307"/>
    </row>
    <row r="4440" spans="1:2" x14ac:dyDescent="0.25">
      <c r="A4440" s="307"/>
      <c r="B4440" s="307"/>
    </row>
    <row r="4441" spans="1:2" x14ac:dyDescent="0.25">
      <c r="A4441" s="307"/>
      <c r="B4441" s="307"/>
    </row>
    <row r="4442" spans="1:2" x14ac:dyDescent="0.25">
      <c r="A4442" s="307"/>
      <c r="B4442" s="307"/>
    </row>
    <row r="4443" spans="1:2" x14ac:dyDescent="0.25">
      <c r="A4443" s="307"/>
      <c r="B4443" s="307"/>
    </row>
    <row r="4444" spans="1:2" x14ac:dyDescent="0.25">
      <c r="A4444" s="307"/>
      <c r="B4444" s="307"/>
    </row>
    <row r="4445" spans="1:2" x14ac:dyDescent="0.25">
      <c r="A4445" s="307"/>
      <c r="B4445" s="307"/>
    </row>
    <row r="4446" spans="1:2" x14ac:dyDescent="0.25">
      <c r="A4446" s="307"/>
      <c r="B4446" s="307"/>
    </row>
    <row r="4447" spans="1:2" x14ac:dyDescent="0.25">
      <c r="A4447" s="307"/>
      <c r="B4447" s="307"/>
    </row>
    <row r="4448" spans="1:2" x14ac:dyDescent="0.25">
      <c r="A4448" s="307"/>
      <c r="B4448" s="307"/>
    </row>
    <row r="4449" spans="1:2" x14ac:dyDescent="0.25">
      <c r="A4449" s="307"/>
      <c r="B4449" s="307"/>
    </row>
    <row r="4450" spans="1:2" x14ac:dyDescent="0.25">
      <c r="A4450" s="307"/>
      <c r="B4450" s="307"/>
    </row>
    <row r="4451" spans="1:2" x14ac:dyDescent="0.25">
      <c r="A4451" s="307"/>
      <c r="B4451" s="307"/>
    </row>
    <row r="4452" spans="1:2" x14ac:dyDescent="0.25">
      <c r="A4452" s="307"/>
      <c r="B4452" s="307"/>
    </row>
    <row r="4453" spans="1:2" x14ac:dyDescent="0.25">
      <c r="A4453" s="307"/>
      <c r="B4453" s="307"/>
    </row>
    <row r="4454" spans="1:2" x14ac:dyDescent="0.25">
      <c r="A4454" s="307"/>
      <c r="B4454" s="307"/>
    </row>
    <row r="4455" spans="1:2" x14ac:dyDescent="0.25">
      <c r="A4455" s="307"/>
      <c r="B4455" s="307"/>
    </row>
    <row r="4456" spans="1:2" x14ac:dyDescent="0.25">
      <c r="A4456" s="307"/>
      <c r="B4456" s="307"/>
    </row>
    <row r="4457" spans="1:2" x14ac:dyDescent="0.25">
      <c r="A4457" s="307"/>
      <c r="B4457" s="307"/>
    </row>
    <row r="4458" spans="1:2" x14ac:dyDescent="0.25">
      <c r="A4458" s="307"/>
      <c r="B4458" s="307"/>
    </row>
    <row r="4459" spans="1:2" x14ac:dyDescent="0.25">
      <c r="A4459" s="307"/>
      <c r="B4459" s="307"/>
    </row>
    <row r="4460" spans="1:2" x14ac:dyDescent="0.25">
      <c r="A4460" s="307"/>
      <c r="B4460" s="307"/>
    </row>
    <row r="4461" spans="1:2" x14ac:dyDescent="0.25">
      <c r="A4461" s="307"/>
      <c r="B4461" s="307"/>
    </row>
    <row r="4462" spans="1:2" x14ac:dyDescent="0.25">
      <c r="A4462" s="307"/>
      <c r="B4462" s="307"/>
    </row>
    <row r="4463" spans="1:2" x14ac:dyDescent="0.25">
      <c r="A4463" s="307"/>
      <c r="B4463" s="307"/>
    </row>
    <row r="4464" spans="1:2" x14ac:dyDescent="0.25">
      <c r="A4464" s="307"/>
      <c r="B4464" s="307"/>
    </row>
    <row r="4465" spans="1:2" x14ac:dyDescent="0.25">
      <c r="A4465" s="307"/>
      <c r="B4465" s="307"/>
    </row>
    <row r="4466" spans="1:2" x14ac:dyDescent="0.25">
      <c r="A4466" s="307"/>
      <c r="B4466" s="307"/>
    </row>
    <row r="4467" spans="1:2" x14ac:dyDescent="0.25">
      <c r="A4467" s="307"/>
      <c r="B4467" s="307"/>
    </row>
    <row r="4468" spans="1:2" x14ac:dyDescent="0.25">
      <c r="A4468" s="307"/>
      <c r="B4468" s="307"/>
    </row>
    <row r="4469" spans="1:2" x14ac:dyDescent="0.25">
      <c r="A4469" s="307"/>
      <c r="B4469" s="307"/>
    </row>
    <row r="4470" spans="1:2" x14ac:dyDescent="0.25">
      <c r="A4470" s="307"/>
      <c r="B4470" s="307"/>
    </row>
    <row r="4471" spans="1:2" x14ac:dyDescent="0.25">
      <c r="A4471" s="307"/>
      <c r="B4471" s="307"/>
    </row>
    <row r="4472" spans="1:2" x14ac:dyDescent="0.25">
      <c r="A4472" s="307"/>
      <c r="B4472" s="307"/>
    </row>
    <row r="4473" spans="1:2" x14ac:dyDescent="0.25">
      <c r="A4473" s="307"/>
      <c r="B4473" s="307"/>
    </row>
    <row r="4474" spans="1:2" x14ac:dyDescent="0.25">
      <c r="A4474" s="307"/>
      <c r="B4474" s="307"/>
    </row>
    <row r="4475" spans="1:2" x14ac:dyDescent="0.25">
      <c r="A4475" s="307"/>
      <c r="B4475" s="307"/>
    </row>
    <row r="4476" spans="1:2" x14ac:dyDescent="0.25">
      <c r="A4476" s="307"/>
      <c r="B4476" s="307"/>
    </row>
    <row r="4477" spans="1:2" x14ac:dyDescent="0.25">
      <c r="A4477" s="307"/>
      <c r="B4477" s="307"/>
    </row>
    <row r="4478" spans="1:2" x14ac:dyDescent="0.25">
      <c r="A4478" s="307"/>
      <c r="B4478" s="307"/>
    </row>
    <row r="4479" spans="1:2" x14ac:dyDescent="0.25">
      <c r="A4479" s="307"/>
      <c r="B4479" s="307"/>
    </row>
    <row r="4480" spans="1:2" x14ac:dyDescent="0.25">
      <c r="A4480" s="307"/>
      <c r="B4480" s="307"/>
    </row>
    <row r="4481" spans="1:2" x14ac:dyDescent="0.25">
      <c r="A4481" s="307"/>
      <c r="B4481" s="307"/>
    </row>
    <row r="4482" spans="1:2" x14ac:dyDescent="0.25">
      <c r="A4482" s="307"/>
      <c r="B4482" s="307"/>
    </row>
    <row r="4483" spans="1:2" x14ac:dyDescent="0.25">
      <c r="A4483" s="307"/>
      <c r="B4483" s="307"/>
    </row>
    <row r="4484" spans="1:2" x14ac:dyDescent="0.25">
      <c r="A4484" s="307"/>
      <c r="B4484" s="307"/>
    </row>
    <row r="4485" spans="1:2" x14ac:dyDescent="0.25">
      <c r="A4485" s="307"/>
      <c r="B4485" s="307"/>
    </row>
    <row r="4486" spans="1:2" x14ac:dyDescent="0.25">
      <c r="A4486" s="307"/>
      <c r="B4486" s="307"/>
    </row>
    <row r="4487" spans="1:2" x14ac:dyDescent="0.25">
      <c r="A4487" s="307"/>
      <c r="B4487" s="307"/>
    </row>
    <row r="4488" spans="1:2" x14ac:dyDescent="0.25">
      <c r="A4488" s="307"/>
      <c r="B4488" s="307"/>
    </row>
    <row r="4489" spans="1:2" x14ac:dyDescent="0.25">
      <c r="A4489" s="307"/>
      <c r="B4489" s="307"/>
    </row>
    <row r="4490" spans="1:2" x14ac:dyDescent="0.25">
      <c r="A4490" s="307"/>
      <c r="B4490" s="307"/>
    </row>
    <row r="4491" spans="1:2" x14ac:dyDescent="0.25">
      <c r="A4491" s="307"/>
      <c r="B4491" s="307"/>
    </row>
    <row r="4492" spans="1:2" x14ac:dyDescent="0.25">
      <c r="A4492" s="307"/>
      <c r="B4492" s="307"/>
    </row>
    <row r="4493" spans="1:2" x14ac:dyDescent="0.25">
      <c r="A4493" s="307"/>
      <c r="B4493" s="307"/>
    </row>
    <row r="4494" spans="1:2" x14ac:dyDescent="0.25">
      <c r="A4494" s="307"/>
      <c r="B4494" s="307"/>
    </row>
    <row r="4495" spans="1:2" x14ac:dyDescent="0.25">
      <c r="A4495" s="307"/>
      <c r="B4495" s="307"/>
    </row>
    <row r="4496" spans="1:2" x14ac:dyDescent="0.25">
      <c r="A4496" s="307"/>
      <c r="B4496" s="307"/>
    </row>
    <row r="4497" spans="1:2" x14ac:dyDescent="0.25">
      <c r="A4497" s="307"/>
      <c r="B4497" s="307"/>
    </row>
    <row r="4498" spans="1:2" x14ac:dyDescent="0.25">
      <c r="A4498" s="307"/>
      <c r="B4498" s="307"/>
    </row>
    <row r="4499" spans="1:2" x14ac:dyDescent="0.25">
      <c r="A4499" s="307"/>
      <c r="B4499" s="307"/>
    </row>
    <row r="4500" spans="1:2" x14ac:dyDescent="0.25">
      <c r="A4500" s="307"/>
      <c r="B4500" s="307"/>
    </row>
    <row r="4501" spans="1:2" x14ac:dyDescent="0.25">
      <c r="A4501" s="307"/>
      <c r="B4501" s="307"/>
    </row>
    <row r="4502" spans="1:2" x14ac:dyDescent="0.25">
      <c r="A4502" s="307"/>
      <c r="B4502" s="307"/>
    </row>
    <row r="4503" spans="1:2" x14ac:dyDescent="0.25">
      <c r="A4503" s="307"/>
      <c r="B4503" s="307"/>
    </row>
    <row r="4504" spans="1:2" x14ac:dyDescent="0.25">
      <c r="A4504" s="307"/>
      <c r="B4504" s="307"/>
    </row>
    <row r="4505" spans="1:2" x14ac:dyDescent="0.25">
      <c r="A4505" s="307"/>
      <c r="B4505" s="307"/>
    </row>
    <row r="4506" spans="1:2" x14ac:dyDescent="0.25">
      <c r="A4506" s="307"/>
      <c r="B4506" s="307"/>
    </row>
    <row r="4507" spans="1:2" x14ac:dyDescent="0.25">
      <c r="A4507" s="307"/>
      <c r="B4507" s="307"/>
    </row>
    <row r="4508" spans="1:2" x14ac:dyDescent="0.25">
      <c r="A4508" s="307"/>
      <c r="B4508" s="307"/>
    </row>
    <row r="4509" spans="1:2" x14ac:dyDescent="0.25">
      <c r="A4509" s="307"/>
      <c r="B4509" s="307"/>
    </row>
    <row r="4510" spans="1:2" x14ac:dyDescent="0.25">
      <c r="A4510" s="307"/>
      <c r="B4510" s="307"/>
    </row>
    <row r="4511" spans="1:2" x14ac:dyDescent="0.25">
      <c r="A4511" s="307"/>
      <c r="B4511" s="307"/>
    </row>
    <row r="4512" spans="1:2" x14ac:dyDescent="0.25">
      <c r="A4512" s="307"/>
      <c r="B4512" s="307"/>
    </row>
    <row r="4513" spans="1:2" x14ac:dyDescent="0.25">
      <c r="A4513" s="307"/>
      <c r="B4513" s="307"/>
    </row>
    <row r="4514" spans="1:2" x14ac:dyDescent="0.25">
      <c r="A4514" s="307"/>
      <c r="B4514" s="307"/>
    </row>
    <row r="4515" spans="1:2" x14ac:dyDescent="0.25">
      <c r="A4515" s="307"/>
      <c r="B4515" s="307"/>
    </row>
    <row r="4516" spans="1:2" x14ac:dyDescent="0.25">
      <c r="A4516" s="307"/>
      <c r="B4516" s="307"/>
    </row>
    <row r="4517" spans="1:2" x14ac:dyDescent="0.25">
      <c r="A4517" s="307"/>
      <c r="B4517" s="307"/>
    </row>
    <row r="4518" spans="1:2" x14ac:dyDescent="0.25">
      <c r="A4518" s="307"/>
      <c r="B4518" s="307"/>
    </row>
    <row r="4519" spans="1:2" x14ac:dyDescent="0.25">
      <c r="A4519" s="307"/>
      <c r="B4519" s="307"/>
    </row>
    <row r="4520" spans="1:2" x14ac:dyDescent="0.25">
      <c r="A4520" s="307"/>
      <c r="B4520" s="307"/>
    </row>
    <row r="4521" spans="1:2" x14ac:dyDescent="0.25">
      <c r="A4521" s="307"/>
      <c r="B4521" s="307"/>
    </row>
    <row r="4522" spans="1:2" x14ac:dyDescent="0.25">
      <c r="A4522" s="307"/>
      <c r="B4522" s="307"/>
    </row>
    <row r="4523" spans="1:2" x14ac:dyDescent="0.25">
      <c r="A4523" s="307"/>
      <c r="B4523" s="307"/>
    </row>
    <row r="4524" spans="1:2" x14ac:dyDescent="0.25">
      <c r="A4524" s="307"/>
      <c r="B4524" s="307"/>
    </row>
    <row r="4525" spans="1:2" x14ac:dyDescent="0.25">
      <c r="A4525" s="307"/>
      <c r="B4525" s="307"/>
    </row>
    <row r="4526" spans="1:2" x14ac:dyDescent="0.25">
      <c r="A4526" s="307"/>
      <c r="B4526" s="307"/>
    </row>
    <row r="4527" spans="1:2" x14ac:dyDescent="0.25">
      <c r="A4527" s="307"/>
      <c r="B4527" s="307"/>
    </row>
    <row r="4528" spans="1:2" x14ac:dyDescent="0.25">
      <c r="A4528" s="307"/>
      <c r="B4528" s="307"/>
    </row>
    <row r="4529" spans="1:2" x14ac:dyDescent="0.25">
      <c r="A4529" s="307"/>
      <c r="B4529" s="307"/>
    </row>
    <row r="4530" spans="1:2" x14ac:dyDescent="0.25">
      <c r="A4530" s="307"/>
      <c r="B4530" s="307"/>
    </row>
    <row r="4531" spans="1:2" x14ac:dyDescent="0.25">
      <c r="A4531" s="307"/>
      <c r="B4531" s="307"/>
    </row>
    <row r="4532" spans="1:2" x14ac:dyDescent="0.25">
      <c r="A4532" s="307"/>
      <c r="B4532" s="307"/>
    </row>
    <row r="4533" spans="1:2" x14ac:dyDescent="0.25">
      <c r="A4533" s="307"/>
      <c r="B4533" s="307"/>
    </row>
    <row r="4534" spans="1:2" x14ac:dyDescent="0.25">
      <c r="A4534" s="307"/>
      <c r="B4534" s="307"/>
    </row>
    <row r="4535" spans="1:2" x14ac:dyDescent="0.25">
      <c r="A4535" s="307"/>
      <c r="B4535" s="307"/>
    </row>
    <row r="4536" spans="1:2" x14ac:dyDescent="0.25">
      <c r="A4536" s="307"/>
      <c r="B4536" s="307"/>
    </row>
    <row r="4537" spans="1:2" x14ac:dyDescent="0.25">
      <c r="A4537" s="307"/>
      <c r="B4537" s="307"/>
    </row>
    <row r="4538" spans="1:2" x14ac:dyDescent="0.25">
      <c r="A4538" s="307"/>
      <c r="B4538" s="307"/>
    </row>
    <row r="4539" spans="1:2" x14ac:dyDescent="0.25">
      <c r="A4539" s="307"/>
      <c r="B4539" s="307"/>
    </row>
    <row r="4540" spans="1:2" x14ac:dyDescent="0.25">
      <c r="A4540" s="307"/>
      <c r="B4540" s="307"/>
    </row>
    <row r="4541" spans="1:2" x14ac:dyDescent="0.25">
      <c r="A4541" s="307"/>
      <c r="B4541" s="307"/>
    </row>
    <row r="4542" spans="1:2" x14ac:dyDescent="0.25">
      <c r="A4542" s="307"/>
      <c r="B4542" s="307"/>
    </row>
    <row r="4543" spans="1:2" x14ac:dyDescent="0.25">
      <c r="A4543" s="307"/>
      <c r="B4543" s="307"/>
    </row>
    <row r="4544" spans="1:2" x14ac:dyDescent="0.25">
      <c r="A4544" s="307"/>
      <c r="B4544" s="307"/>
    </row>
    <row r="4545" spans="1:2" x14ac:dyDescent="0.25">
      <c r="A4545" s="307"/>
      <c r="B4545" s="307"/>
    </row>
    <row r="4546" spans="1:2" x14ac:dyDescent="0.25">
      <c r="A4546" s="307"/>
      <c r="B4546" s="307"/>
    </row>
    <row r="4547" spans="1:2" x14ac:dyDescent="0.25">
      <c r="A4547" s="307"/>
      <c r="B4547" s="307"/>
    </row>
    <row r="4548" spans="1:2" x14ac:dyDescent="0.25">
      <c r="A4548" s="307"/>
      <c r="B4548" s="307"/>
    </row>
    <row r="4549" spans="1:2" x14ac:dyDescent="0.25">
      <c r="A4549" s="307"/>
      <c r="B4549" s="307"/>
    </row>
    <row r="4550" spans="1:2" x14ac:dyDescent="0.25">
      <c r="A4550" s="307"/>
      <c r="B4550" s="307"/>
    </row>
    <row r="4551" spans="1:2" x14ac:dyDescent="0.25">
      <c r="A4551" s="307"/>
      <c r="B4551" s="307"/>
    </row>
    <row r="4552" spans="1:2" x14ac:dyDescent="0.25">
      <c r="A4552" s="307"/>
      <c r="B4552" s="307"/>
    </row>
    <row r="4553" spans="1:2" x14ac:dyDescent="0.25">
      <c r="A4553" s="307"/>
      <c r="B4553" s="307"/>
    </row>
    <row r="4554" spans="1:2" x14ac:dyDescent="0.25">
      <c r="A4554" s="307"/>
      <c r="B4554" s="307"/>
    </row>
    <row r="4555" spans="1:2" x14ac:dyDescent="0.25">
      <c r="A4555" s="307"/>
      <c r="B4555" s="307"/>
    </row>
    <row r="4556" spans="1:2" x14ac:dyDescent="0.25">
      <c r="A4556" s="307"/>
      <c r="B4556" s="307"/>
    </row>
    <row r="4557" spans="1:2" x14ac:dyDescent="0.25">
      <c r="A4557" s="307"/>
      <c r="B4557" s="307"/>
    </row>
    <row r="4558" spans="1:2" x14ac:dyDescent="0.25">
      <c r="A4558" s="307"/>
      <c r="B4558" s="307"/>
    </row>
    <row r="4559" spans="1:2" x14ac:dyDescent="0.25">
      <c r="A4559" s="307"/>
      <c r="B4559" s="307"/>
    </row>
    <row r="4560" spans="1:2" x14ac:dyDescent="0.25">
      <c r="A4560" s="307"/>
      <c r="B4560" s="307"/>
    </row>
    <row r="4561" spans="1:2" x14ac:dyDescent="0.25">
      <c r="A4561" s="307"/>
      <c r="B4561" s="307"/>
    </row>
    <row r="4562" spans="1:2" x14ac:dyDescent="0.25">
      <c r="A4562" s="307"/>
      <c r="B4562" s="307"/>
    </row>
    <row r="4563" spans="1:2" x14ac:dyDescent="0.25">
      <c r="A4563" s="307"/>
      <c r="B4563" s="307"/>
    </row>
    <row r="4564" spans="1:2" x14ac:dyDescent="0.25">
      <c r="A4564" s="307"/>
      <c r="B4564" s="307"/>
    </row>
    <row r="4565" spans="1:2" x14ac:dyDescent="0.25">
      <c r="A4565" s="307"/>
      <c r="B4565" s="307"/>
    </row>
    <row r="4566" spans="1:2" x14ac:dyDescent="0.25">
      <c r="A4566" s="307"/>
      <c r="B4566" s="307"/>
    </row>
    <row r="4567" spans="1:2" x14ac:dyDescent="0.25">
      <c r="A4567" s="307"/>
      <c r="B4567" s="307"/>
    </row>
    <row r="4568" spans="1:2" x14ac:dyDescent="0.25">
      <c r="A4568" s="307"/>
      <c r="B4568" s="307"/>
    </row>
    <row r="4569" spans="1:2" x14ac:dyDescent="0.25">
      <c r="A4569" s="307"/>
      <c r="B4569" s="307"/>
    </row>
    <row r="4570" spans="1:2" x14ac:dyDescent="0.25">
      <c r="A4570" s="307"/>
      <c r="B4570" s="307"/>
    </row>
    <row r="4571" spans="1:2" x14ac:dyDescent="0.25">
      <c r="A4571" s="307"/>
      <c r="B4571" s="307"/>
    </row>
    <row r="4572" spans="1:2" x14ac:dyDescent="0.25">
      <c r="A4572" s="307"/>
      <c r="B4572" s="307"/>
    </row>
    <row r="4573" spans="1:2" x14ac:dyDescent="0.25">
      <c r="A4573" s="307"/>
      <c r="B4573" s="307"/>
    </row>
    <row r="4574" spans="1:2" x14ac:dyDescent="0.25">
      <c r="A4574" s="307"/>
      <c r="B4574" s="307"/>
    </row>
    <row r="4575" spans="1:2" x14ac:dyDescent="0.25">
      <c r="A4575" s="307"/>
      <c r="B4575" s="307"/>
    </row>
    <row r="4576" spans="1:2" x14ac:dyDescent="0.25">
      <c r="A4576" s="307"/>
      <c r="B4576" s="307"/>
    </row>
    <row r="4577" spans="1:2" x14ac:dyDescent="0.25">
      <c r="A4577" s="307"/>
      <c r="B4577" s="307"/>
    </row>
    <row r="4578" spans="1:2" x14ac:dyDescent="0.25">
      <c r="A4578" s="307"/>
      <c r="B4578" s="307"/>
    </row>
    <row r="4579" spans="1:2" x14ac:dyDescent="0.25">
      <c r="A4579" s="307"/>
      <c r="B4579" s="307"/>
    </row>
    <row r="4580" spans="1:2" x14ac:dyDescent="0.25">
      <c r="A4580" s="307"/>
      <c r="B4580" s="307"/>
    </row>
    <row r="4581" spans="1:2" x14ac:dyDescent="0.25">
      <c r="A4581" s="307"/>
      <c r="B4581" s="307"/>
    </row>
    <row r="4582" spans="1:2" x14ac:dyDescent="0.25">
      <c r="A4582" s="307"/>
      <c r="B4582" s="307"/>
    </row>
    <row r="4583" spans="1:2" x14ac:dyDescent="0.25">
      <c r="A4583" s="307"/>
      <c r="B4583" s="307"/>
    </row>
    <row r="4584" spans="1:2" x14ac:dyDescent="0.25">
      <c r="A4584" s="307"/>
      <c r="B4584" s="307"/>
    </row>
    <row r="4585" spans="1:2" x14ac:dyDescent="0.25">
      <c r="A4585" s="307"/>
      <c r="B4585" s="307"/>
    </row>
    <row r="4586" spans="1:2" x14ac:dyDescent="0.25">
      <c r="A4586" s="307"/>
      <c r="B4586" s="307"/>
    </row>
    <row r="4587" spans="1:2" x14ac:dyDescent="0.25">
      <c r="A4587" s="307"/>
      <c r="B4587" s="307"/>
    </row>
    <row r="4588" spans="1:2" x14ac:dyDescent="0.25">
      <c r="A4588" s="307"/>
      <c r="B4588" s="307"/>
    </row>
    <row r="4589" spans="1:2" x14ac:dyDescent="0.25">
      <c r="A4589" s="307"/>
      <c r="B4589" s="307"/>
    </row>
    <row r="4590" spans="1:2" x14ac:dyDescent="0.25">
      <c r="A4590" s="307"/>
      <c r="B4590" s="307"/>
    </row>
    <row r="4591" spans="1:2" x14ac:dyDescent="0.25">
      <c r="A4591" s="307"/>
      <c r="B4591" s="307"/>
    </row>
    <row r="4592" spans="1:2" x14ac:dyDescent="0.25">
      <c r="A4592" s="307"/>
      <c r="B4592" s="307"/>
    </row>
    <row r="4593" spans="1:2" x14ac:dyDescent="0.25">
      <c r="A4593" s="307"/>
      <c r="B4593" s="307"/>
    </row>
    <row r="4594" spans="1:2" x14ac:dyDescent="0.25">
      <c r="A4594" s="307"/>
      <c r="B4594" s="307"/>
    </row>
    <row r="4595" spans="1:2" x14ac:dyDescent="0.25">
      <c r="A4595" s="307"/>
      <c r="B4595" s="307"/>
    </row>
    <row r="4596" spans="1:2" x14ac:dyDescent="0.25">
      <c r="A4596" s="307"/>
      <c r="B4596" s="307"/>
    </row>
    <row r="4597" spans="1:2" x14ac:dyDescent="0.25">
      <c r="A4597" s="307"/>
      <c r="B4597" s="307"/>
    </row>
    <row r="4598" spans="1:2" x14ac:dyDescent="0.25">
      <c r="A4598" s="307"/>
      <c r="B4598" s="307"/>
    </row>
    <row r="4599" spans="1:2" x14ac:dyDescent="0.25">
      <c r="A4599" s="307"/>
      <c r="B4599" s="307"/>
    </row>
    <row r="4600" spans="1:2" x14ac:dyDescent="0.25">
      <c r="A4600" s="307"/>
      <c r="B4600" s="307"/>
    </row>
    <row r="4601" spans="1:2" x14ac:dyDescent="0.25">
      <c r="A4601" s="307"/>
      <c r="B4601" s="307"/>
    </row>
    <row r="4602" spans="1:2" x14ac:dyDescent="0.25">
      <c r="A4602" s="307"/>
      <c r="B4602" s="307"/>
    </row>
    <row r="4603" spans="1:2" x14ac:dyDescent="0.25">
      <c r="A4603" s="307"/>
      <c r="B4603" s="307"/>
    </row>
    <row r="4604" spans="1:2" x14ac:dyDescent="0.25">
      <c r="A4604" s="307"/>
      <c r="B4604" s="307"/>
    </row>
    <row r="4605" spans="1:2" x14ac:dyDescent="0.25">
      <c r="A4605" s="307"/>
      <c r="B4605" s="307"/>
    </row>
    <row r="4606" spans="1:2" x14ac:dyDescent="0.25">
      <c r="A4606" s="307"/>
      <c r="B4606" s="307"/>
    </row>
    <row r="4607" spans="1:2" x14ac:dyDescent="0.25">
      <c r="A4607" s="307"/>
      <c r="B4607" s="307"/>
    </row>
    <row r="4608" spans="1:2" x14ac:dyDescent="0.25">
      <c r="A4608" s="307"/>
      <c r="B4608" s="307"/>
    </row>
    <row r="4609" spans="1:2" x14ac:dyDescent="0.25">
      <c r="A4609" s="307"/>
      <c r="B4609" s="307"/>
    </row>
    <row r="4610" spans="1:2" x14ac:dyDescent="0.25">
      <c r="A4610" s="307"/>
      <c r="B4610" s="307"/>
    </row>
    <row r="4611" spans="1:2" x14ac:dyDescent="0.25">
      <c r="A4611" s="307"/>
      <c r="B4611" s="307"/>
    </row>
    <row r="4612" spans="1:2" x14ac:dyDescent="0.25">
      <c r="A4612" s="307"/>
      <c r="B4612" s="307"/>
    </row>
    <row r="4613" spans="1:2" x14ac:dyDescent="0.25">
      <c r="A4613" s="307"/>
      <c r="B4613" s="307"/>
    </row>
    <row r="4614" spans="1:2" x14ac:dyDescent="0.25">
      <c r="A4614" s="307"/>
      <c r="B4614" s="307"/>
    </row>
    <row r="4615" spans="1:2" x14ac:dyDescent="0.25">
      <c r="A4615" s="307"/>
      <c r="B4615" s="307"/>
    </row>
    <row r="4616" spans="1:2" x14ac:dyDescent="0.25">
      <c r="A4616" s="307"/>
      <c r="B4616" s="307"/>
    </row>
    <row r="4617" spans="1:2" x14ac:dyDescent="0.25">
      <c r="A4617" s="307"/>
      <c r="B4617" s="307"/>
    </row>
    <row r="4618" spans="1:2" x14ac:dyDescent="0.25">
      <c r="A4618" s="307"/>
      <c r="B4618" s="307"/>
    </row>
    <row r="4619" spans="1:2" x14ac:dyDescent="0.25">
      <c r="A4619" s="307"/>
      <c r="B4619" s="307"/>
    </row>
    <row r="4620" spans="1:2" x14ac:dyDescent="0.25">
      <c r="A4620" s="307"/>
      <c r="B4620" s="307"/>
    </row>
    <row r="4621" spans="1:2" x14ac:dyDescent="0.25">
      <c r="A4621" s="307"/>
      <c r="B4621" s="307"/>
    </row>
    <row r="4622" spans="1:2" x14ac:dyDescent="0.25">
      <c r="A4622" s="307"/>
      <c r="B4622" s="307"/>
    </row>
    <row r="4623" spans="1:2" x14ac:dyDescent="0.25">
      <c r="A4623" s="307"/>
      <c r="B4623" s="307"/>
    </row>
    <row r="4624" spans="1:2" x14ac:dyDescent="0.25">
      <c r="A4624" s="307"/>
      <c r="B4624" s="307"/>
    </row>
    <row r="4625" spans="1:2" x14ac:dyDescent="0.25">
      <c r="A4625" s="307"/>
      <c r="B4625" s="307"/>
    </row>
    <row r="4626" spans="1:2" x14ac:dyDescent="0.25">
      <c r="A4626" s="307"/>
      <c r="B4626" s="307"/>
    </row>
    <row r="4627" spans="1:2" x14ac:dyDescent="0.25">
      <c r="A4627" s="307"/>
      <c r="B4627" s="307"/>
    </row>
    <row r="4628" spans="1:2" x14ac:dyDescent="0.25">
      <c r="A4628" s="307"/>
      <c r="B4628" s="307"/>
    </row>
    <row r="4629" spans="1:2" x14ac:dyDescent="0.25">
      <c r="A4629" s="307"/>
      <c r="B4629" s="307"/>
    </row>
    <row r="4630" spans="1:2" x14ac:dyDescent="0.25">
      <c r="A4630" s="307"/>
      <c r="B4630" s="307"/>
    </row>
    <row r="4631" spans="1:2" x14ac:dyDescent="0.25">
      <c r="A4631" s="307"/>
      <c r="B4631" s="307"/>
    </row>
    <row r="4632" spans="1:2" x14ac:dyDescent="0.25">
      <c r="A4632" s="307"/>
      <c r="B4632" s="307"/>
    </row>
    <row r="4633" spans="1:2" x14ac:dyDescent="0.25">
      <c r="A4633" s="307"/>
      <c r="B4633" s="307"/>
    </row>
    <row r="4634" spans="1:2" x14ac:dyDescent="0.25">
      <c r="A4634" s="307"/>
      <c r="B4634" s="307"/>
    </row>
    <row r="4635" spans="1:2" x14ac:dyDescent="0.25">
      <c r="A4635" s="307"/>
      <c r="B4635" s="307"/>
    </row>
    <row r="4636" spans="1:2" x14ac:dyDescent="0.25">
      <c r="A4636" s="307"/>
      <c r="B4636" s="307"/>
    </row>
    <row r="4637" spans="1:2" x14ac:dyDescent="0.25">
      <c r="A4637" s="307"/>
      <c r="B4637" s="307"/>
    </row>
    <row r="4638" spans="1:2" x14ac:dyDescent="0.25">
      <c r="A4638" s="307"/>
      <c r="B4638" s="307"/>
    </row>
    <row r="4639" spans="1:2" x14ac:dyDescent="0.25">
      <c r="A4639" s="307"/>
      <c r="B4639" s="307"/>
    </row>
    <row r="4640" spans="1:2" x14ac:dyDescent="0.25">
      <c r="A4640" s="307"/>
      <c r="B4640" s="307"/>
    </row>
    <row r="4641" spans="1:2" x14ac:dyDescent="0.25">
      <c r="A4641" s="307"/>
      <c r="B4641" s="307"/>
    </row>
    <row r="4642" spans="1:2" x14ac:dyDescent="0.25">
      <c r="A4642" s="307"/>
      <c r="B4642" s="307"/>
    </row>
    <row r="4643" spans="1:2" x14ac:dyDescent="0.25">
      <c r="A4643" s="307"/>
      <c r="B4643" s="307"/>
    </row>
    <row r="4644" spans="1:2" x14ac:dyDescent="0.25">
      <c r="A4644" s="307"/>
      <c r="B4644" s="307"/>
    </row>
    <row r="4645" spans="1:2" x14ac:dyDescent="0.25">
      <c r="A4645" s="307"/>
      <c r="B4645" s="307"/>
    </row>
    <row r="4646" spans="1:2" x14ac:dyDescent="0.25">
      <c r="A4646" s="307"/>
      <c r="B4646" s="307"/>
    </row>
    <row r="4647" spans="1:2" x14ac:dyDescent="0.25">
      <c r="A4647" s="307"/>
      <c r="B4647" s="307"/>
    </row>
    <row r="4648" spans="1:2" x14ac:dyDescent="0.25">
      <c r="A4648" s="307"/>
      <c r="B4648" s="307"/>
    </row>
    <row r="4649" spans="1:2" x14ac:dyDescent="0.25">
      <c r="A4649" s="307"/>
      <c r="B4649" s="307"/>
    </row>
    <row r="4650" spans="1:2" x14ac:dyDescent="0.25">
      <c r="A4650" s="307"/>
      <c r="B4650" s="307"/>
    </row>
    <row r="4651" spans="1:2" x14ac:dyDescent="0.25">
      <c r="A4651" s="307"/>
      <c r="B4651" s="307"/>
    </row>
    <row r="4652" spans="1:2" x14ac:dyDescent="0.25">
      <c r="A4652" s="307"/>
      <c r="B4652" s="307"/>
    </row>
    <row r="4653" spans="1:2" x14ac:dyDescent="0.25">
      <c r="A4653" s="307"/>
      <c r="B4653" s="307"/>
    </row>
    <row r="4654" spans="1:2" x14ac:dyDescent="0.25">
      <c r="A4654" s="307"/>
      <c r="B4654" s="307"/>
    </row>
    <row r="4655" spans="1:2" x14ac:dyDescent="0.25">
      <c r="A4655" s="307"/>
      <c r="B4655" s="307"/>
    </row>
    <row r="4656" spans="1:2" x14ac:dyDescent="0.25">
      <c r="A4656" s="307"/>
      <c r="B4656" s="307"/>
    </row>
    <row r="4657" spans="1:2" x14ac:dyDescent="0.25">
      <c r="A4657" s="307"/>
      <c r="B4657" s="307"/>
    </row>
    <row r="4658" spans="1:2" x14ac:dyDescent="0.25">
      <c r="A4658" s="307"/>
      <c r="B4658" s="307"/>
    </row>
    <row r="4659" spans="1:2" x14ac:dyDescent="0.25">
      <c r="A4659" s="307"/>
      <c r="B4659" s="307"/>
    </row>
    <row r="4660" spans="1:2" x14ac:dyDescent="0.25">
      <c r="A4660" s="307"/>
      <c r="B4660" s="307"/>
    </row>
    <row r="4661" spans="1:2" x14ac:dyDescent="0.25">
      <c r="A4661" s="307"/>
      <c r="B4661" s="307"/>
    </row>
    <row r="4662" spans="1:2" x14ac:dyDescent="0.25">
      <c r="A4662" s="307"/>
      <c r="B4662" s="307"/>
    </row>
    <row r="4663" spans="1:2" x14ac:dyDescent="0.25">
      <c r="A4663" s="307"/>
      <c r="B4663" s="307"/>
    </row>
    <row r="4664" spans="1:2" x14ac:dyDescent="0.25">
      <c r="A4664" s="307"/>
      <c r="B4664" s="307"/>
    </row>
    <row r="4665" spans="1:2" x14ac:dyDescent="0.25">
      <c r="A4665" s="307"/>
      <c r="B4665" s="307"/>
    </row>
    <row r="4666" spans="1:2" x14ac:dyDescent="0.25">
      <c r="A4666" s="307"/>
      <c r="B4666" s="307"/>
    </row>
    <row r="4667" spans="1:2" x14ac:dyDescent="0.25">
      <c r="A4667" s="307"/>
      <c r="B4667" s="307"/>
    </row>
    <row r="4668" spans="1:2" x14ac:dyDescent="0.25">
      <c r="A4668" s="307"/>
      <c r="B4668" s="307"/>
    </row>
    <row r="4669" spans="1:2" x14ac:dyDescent="0.25">
      <c r="A4669" s="307"/>
      <c r="B4669" s="307"/>
    </row>
    <row r="4670" spans="1:2" x14ac:dyDescent="0.25">
      <c r="A4670" s="307"/>
      <c r="B4670" s="307"/>
    </row>
    <row r="4671" spans="1:2" x14ac:dyDescent="0.25">
      <c r="A4671" s="307"/>
      <c r="B4671" s="307"/>
    </row>
    <row r="4672" spans="1:2" x14ac:dyDescent="0.25">
      <c r="A4672" s="307"/>
      <c r="B4672" s="307"/>
    </row>
    <row r="4673" spans="1:2" x14ac:dyDescent="0.25">
      <c r="A4673" s="307"/>
      <c r="B4673" s="307"/>
    </row>
    <row r="4674" spans="1:2" x14ac:dyDescent="0.25">
      <c r="A4674" s="307"/>
      <c r="B4674" s="307"/>
    </row>
    <row r="4675" spans="1:2" x14ac:dyDescent="0.25">
      <c r="A4675" s="307"/>
      <c r="B4675" s="307"/>
    </row>
    <row r="4676" spans="1:2" x14ac:dyDescent="0.25">
      <c r="A4676" s="307"/>
      <c r="B4676" s="307"/>
    </row>
    <row r="4677" spans="1:2" x14ac:dyDescent="0.25">
      <c r="A4677" s="307"/>
      <c r="B4677" s="307"/>
    </row>
    <row r="4678" spans="1:2" x14ac:dyDescent="0.25">
      <c r="A4678" s="307"/>
      <c r="B4678" s="307"/>
    </row>
    <row r="4679" spans="1:2" x14ac:dyDescent="0.25">
      <c r="A4679" s="307"/>
      <c r="B4679" s="307"/>
    </row>
    <row r="4680" spans="1:2" x14ac:dyDescent="0.25">
      <c r="A4680" s="307"/>
      <c r="B4680" s="307"/>
    </row>
    <row r="4681" spans="1:2" x14ac:dyDescent="0.25">
      <c r="A4681" s="307"/>
      <c r="B4681" s="307"/>
    </row>
    <row r="4682" spans="1:2" x14ac:dyDescent="0.25">
      <c r="A4682" s="307"/>
      <c r="B4682" s="307"/>
    </row>
    <row r="4683" spans="1:2" x14ac:dyDescent="0.25">
      <c r="A4683" s="307"/>
      <c r="B4683" s="307"/>
    </row>
    <row r="4684" spans="1:2" x14ac:dyDescent="0.25">
      <c r="A4684" s="307"/>
      <c r="B4684" s="307"/>
    </row>
    <row r="4685" spans="1:2" x14ac:dyDescent="0.25">
      <c r="A4685" s="307"/>
      <c r="B4685" s="307"/>
    </row>
    <row r="4686" spans="1:2" x14ac:dyDescent="0.25">
      <c r="A4686" s="307"/>
      <c r="B4686" s="307"/>
    </row>
    <row r="4687" spans="1:2" x14ac:dyDescent="0.25">
      <c r="A4687" s="307"/>
      <c r="B4687" s="307"/>
    </row>
    <row r="4688" spans="1:2" x14ac:dyDescent="0.25">
      <c r="A4688" s="307"/>
      <c r="B4688" s="307"/>
    </row>
    <row r="4689" spans="1:2" x14ac:dyDescent="0.25">
      <c r="A4689" s="307"/>
      <c r="B4689" s="307"/>
    </row>
    <row r="4690" spans="1:2" x14ac:dyDescent="0.25">
      <c r="A4690" s="307"/>
      <c r="B4690" s="307"/>
    </row>
    <row r="4691" spans="1:2" x14ac:dyDescent="0.25">
      <c r="A4691" s="307"/>
      <c r="B4691" s="307"/>
    </row>
    <row r="4692" spans="1:2" x14ac:dyDescent="0.25">
      <c r="A4692" s="307"/>
      <c r="B4692" s="307"/>
    </row>
    <row r="4693" spans="1:2" x14ac:dyDescent="0.25">
      <c r="A4693" s="307"/>
      <c r="B4693" s="307"/>
    </row>
    <row r="4694" spans="1:2" x14ac:dyDescent="0.25">
      <c r="A4694" s="307"/>
      <c r="B4694" s="307"/>
    </row>
    <row r="4695" spans="1:2" x14ac:dyDescent="0.25">
      <c r="A4695" s="307"/>
      <c r="B4695" s="307"/>
    </row>
    <row r="4696" spans="1:2" x14ac:dyDescent="0.25">
      <c r="A4696" s="307"/>
      <c r="B4696" s="307"/>
    </row>
    <row r="4697" spans="1:2" x14ac:dyDescent="0.25">
      <c r="A4697" s="307"/>
      <c r="B4697" s="307"/>
    </row>
    <row r="4698" spans="1:2" x14ac:dyDescent="0.25">
      <c r="A4698" s="307"/>
      <c r="B4698" s="307"/>
    </row>
    <row r="4699" spans="1:2" x14ac:dyDescent="0.25">
      <c r="A4699" s="307"/>
      <c r="B4699" s="307"/>
    </row>
    <row r="4700" spans="1:2" x14ac:dyDescent="0.25">
      <c r="A4700" s="307"/>
      <c r="B4700" s="307"/>
    </row>
    <row r="4701" spans="1:2" x14ac:dyDescent="0.25">
      <c r="A4701" s="307"/>
      <c r="B4701" s="307"/>
    </row>
    <row r="4702" spans="1:2" x14ac:dyDescent="0.25">
      <c r="A4702" s="307"/>
      <c r="B4702" s="307"/>
    </row>
    <row r="4703" spans="1:2" x14ac:dyDescent="0.25">
      <c r="A4703" s="307"/>
      <c r="B4703" s="307"/>
    </row>
    <row r="4704" spans="1:2" x14ac:dyDescent="0.25">
      <c r="A4704" s="307"/>
      <c r="B4704" s="307"/>
    </row>
    <row r="4705" spans="1:2" x14ac:dyDescent="0.25">
      <c r="A4705" s="307"/>
      <c r="B4705" s="307"/>
    </row>
    <row r="4706" spans="1:2" x14ac:dyDescent="0.25">
      <c r="A4706" s="307"/>
      <c r="B4706" s="307"/>
    </row>
    <row r="4707" spans="1:2" x14ac:dyDescent="0.25">
      <c r="A4707" s="307"/>
      <c r="B4707" s="307"/>
    </row>
    <row r="4708" spans="1:2" x14ac:dyDescent="0.25">
      <c r="A4708" s="307"/>
      <c r="B4708" s="307"/>
    </row>
    <row r="4709" spans="1:2" x14ac:dyDescent="0.25">
      <c r="A4709" s="307"/>
      <c r="B4709" s="307"/>
    </row>
    <row r="4710" spans="1:2" x14ac:dyDescent="0.25">
      <c r="A4710" s="307"/>
      <c r="B4710" s="307"/>
    </row>
    <row r="4711" spans="1:2" x14ac:dyDescent="0.25">
      <c r="A4711" s="307"/>
      <c r="B4711" s="307"/>
    </row>
    <row r="4712" spans="1:2" x14ac:dyDescent="0.25">
      <c r="A4712" s="307"/>
      <c r="B4712" s="307"/>
    </row>
    <row r="4713" spans="1:2" x14ac:dyDescent="0.25">
      <c r="A4713" s="307"/>
      <c r="B4713" s="307"/>
    </row>
    <row r="4714" spans="1:2" x14ac:dyDescent="0.25">
      <c r="A4714" s="307"/>
      <c r="B4714" s="307"/>
    </row>
    <row r="4715" spans="1:2" x14ac:dyDescent="0.25">
      <c r="A4715" s="307"/>
      <c r="B4715" s="307"/>
    </row>
    <row r="4716" spans="1:2" x14ac:dyDescent="0.25">
      <c r="A4716" s="307"/>
      <c r="B4716" s="307"/>
    </row>
    <row r="4717" spans="1:2" x14ac:dyDescent="0.25">
      <c r="A4717" s="307"/>
      <c r="B4717" s="307"/>
    </row>
    <row r="4718" spans="1:2" x14ac:dyDescent="0.25">
      <c r="A4718" s="307"/>
      <c r="B4718" s="307"/>
    </row>
    <row r="4719" spans="1:2" x14ac:dyDescent="0.25">
      <c r="A4719" s="307"/>
      <c r="B4719" s="307"/>
    </row>
    <row r="4720" spans="1:2" x14ac:dyDescent="0.25">
      <c r="A4720" s="307"/>
      <c r="B4720" s="307"/>
    </row>
    <row r="4721" spans="1:2" x14ac:dyDescent="0.25">
      <c r="A4721" s="307"/>
      <c r="B4721" s="307"/>
    </row>
    <row r="4722" spans="1:2" x14ac:dyDescent="0.25">
      <c r="A4722" s="307"/>
      <c r="B4722" s="307"/>
    </row>
    <row r="4723" spans="1:2" x14ac:dyDescent="0.25">
      <c r="A4723" s="307"/>
      <c r="B4723" s="307"/>
    </row>
    <row r="4724" spans="1:2" x14ac:dyDescent="0.25">
      <c r="A4724" s="307"/>
      <c r="B4724" s="307"/>
    </row>
    <row r="4725" spans="1:2" x14ac:dyDescent="0.25">
      <c r="A4725" s="307"/>
      <c r="B4725" s="307"/>
    </row>
    <row r="4726" spans="1:2" x14ac:dyDescent="0.25">
      <c r="A4726" s="307"/>
      <c r="B4726" s="307"/>
    </row>
    <row r="4727" spans="1:2" x14ac:dyDescent="0.25">
      <c r="A4727" s="307"/>
      <c r="B4727" s="307"/>
    </row>
    <row r="4728" spans="1:2" x14ac:dyDescent="0.25">
      <c r="A4728" s="307"/>
      <c r="B4728" s="307"/>
    </row>
    <row r="4729" spans="1:2" x14ac:dyDescent="0.25">
      <c r="A4729" s="307"/>
      <c r="B4729" s="307"/>
    </row>
    <row r="4730" spans="1:2" x14ac:dyDescent="0.25">
      <c r="A4730" s="307"/>
      <c r="B4730" s="307"/>
    </row>
    <row r="4731" spans="1:2" x14ac:dyDescent="0.25">
      <c r="A4731" s="307"/>
      <c r="B4731" s="307"/>
    </row>
    <row r="4732" spans="1:2" x14ac:dyDescent="0.25">
      <c r="A4732" s="307"/>
      <c r="B4732" s="307"/>
    </row>
    <row r="4733" spans="1:2" x14ac:dyDescent="0.25">
      <c r="A4733" s="307"/>
      <c r="B4733" s="307"/>
    </row>
    <row r="4734" spans="1:2" x14ac:dyDescent="0.25">
      <c r="A4734" s="307"/>
      <c r="B4734" s="307"/>
    </row>
    <row r="4735" spans="1:2" x14ac:dyDescent="0.25">
      <c r="A4735" s="307"/>
      <c r="B4735" s="307"/>
    </row>
    <row r="4736" spans="1:2" x14ac:dyDescent="0.25">
      <c r="A4736" s="307"/>
      <c r="B4736" s="307"/>
    </row>
    <row r="4737" spans="1:2" x14ac:dyDescent="0.25">
      <c r="A4737" s="307"/>
      <c r="B4737" s="307"/>
    </row>
    <row r="4738" spans="1:2" x14ac:dyDescent="0.25">
      <c r="A4738" s="307"/>
      <c r="B4738" s="307"/>
    </row>
    <row r="4739" spans="1:2" x14ac:dyDescent="0.25">
      <c r="A4739" s="307"/>
      <c r="B4739" s="307"/>
    </row>
    <row r="4740" spans="1:2" x14ac:dyDescent="0.25">
      <c r="A4740" s="307"/>
      <c r="B4740" s="307"/>
    </row>
    <row r="4741" spans="1:2" x14ac:dyDescent="0.25">
      <c r="A4741" s="307"/>
      <c r="B4741" s="307"/>
    </row>
    <row r="4742" spans="1:2" x14ac:dyDescent="0.25">
      <c r="A4742" s="307"/>
      <c r="B4742" s="307"/>
    </row>
    <row r="4743" spans="1:2" x14ac:dyDescent="0.25">
      <c r="A4743" s="307"/>
      <c r="B4743" s="307"/>
    </row>
    <row r="4744" spans="1:2" x14ac:dyDescent="0.25">
      <c r="A4744" s="307"/>
      <c r="B4744" s="307"/>
    </row>
    <row r="4745" spans="1:2" x14ac:dyDescent="0.25">
      <c r="A4745" s="307"/>
      <c r="B4745" s="307"/>
    </row>
    <row r="4746" spans="1:2" x14ac:dyDescent="0.25">
      <c r="A4746" s="307"/>
      <c r="B4746" s="307"/>
    </row>
    <row r="4747" spans="1:2" x14ac:dyDescent="0.25">
      <c r="A4747" s="307"/>
      <c r="B4747" s="307"/>
    </row>
    <row r="4748" spans="1:2" x14ac:dyDescent="0.25">
      <c r="A4748" s="307"/>
      <c r="B4748" s="307"/>
    </row>
    <row r="4749" spans="1:2" x14ac:dyDescent="0.25">
      <c r="A4749" s="307"/>
      <c r="B4749" s="307"/>
    </row>
    <row r="4750" spans="1:2" x14ac:dyDescent="0.25">
      <c r="A4750" s="307"/>
      <c r="B4750" s="307"/>
    </row>
    <row r="4751" spans="1:2" x14ac:dyDescent="0.25">
      <c r="A4751" s="307"/>
      <c r="B4751" s="307"/>
    </row>
    <row r="4752" spans="1:2" x14ac:dyDescent="0.25">
      <c r="A4752" s="307"/>
      <c r="B4752" s="307"/>
    </row>
    <row r="4753" spans="1:2" x14ac:dyDescent="0.25">
      <c r="A4753" s="307"/>
      <c r="B4753" s="307"/>
    </row>
    <row r="4754" spans="1:2" x14ac:dyDescent="0.25">
      <c r="A4754" s="307"/>
      <c r="B4754" s="307"/>
    </row>
    <row r="4755" spans="1:2" x14ac:dyDescent="0.25">
      <c r="A4755" s="307"/>
      <c r="B4755" s="307"/>
    </row>
    <row r="4756" spans="1:2" x14ac:dyDescent="0.25">
      <c r="A4756" s="307"/>
      <c r="B4756" s="307"/>
    </row>
    <row r="4757" spans="1:2" x14ac:dyDescent="0.25">
      <c r="A4757" s="307"/>
      <c r="B4757" s="307"/>
    </row>
    <row r="4758" spans="1:2" x14ac:dyDescent="0.25">
      <c r="A4758" s="307"/>
      <c r="B4758" s="307"/>
    </row>
    <row r="4759" spans="1:2" x14ac:dyDescent="0.25">
      <c r="A4759" s="307"/>
      <c r="B4759" s="307"/>
    </row>
    <row r="4760" spans="1:2" x14ac:dyDescent="0.25">
      <c r="A4760" s="307"/>
      <c r="B4760" s="307"/>
    </row>
    <row r="4761" spans="1:2" x14ac:dyDescent="0.25">
      <c r="A4761" s="307"/>
      <c r="B4761" s="307"/>
    </row>
    <row r="4762" spans="1:2" x14ac:dyDescent="0.25">
      <c r="A4762" s="307"/>
      <c r="B4762" s="307"/>
    </row>
    <row r="4763" spans="1:2" x14ac:dyDescent="0.25">
      <c r="A4763" s="307"/>
      <c r="B4763" s="307"/>
    </row>
    <row r="4764" spans="1:2" x14ac:dyDescent="0.25">
      <c r="A4764" s="307"/>
      <c r="B4764" s="307"/>
    </row>
    <row r="4765" spans="1:2" x14ac:dyDescent="0.25">
      <c r="A4765" s="307"/>
      <c r="B4765" s="307"/>
    </row>
    <row r="4766" spans="1:2" x14ac:dyDescent="0.25">
      <c r="A4766" s="307"/>
      <c r="B4766" s="307"/>
    </row>
    <row r="4767" spans="1:2" x14ac:dyDescent="0.25">
      <c r="A4767" s="307"/>
      <c r="B4767" s="307"/>
    </row>
    <row r="4768" spans="1:2" x14ac:dyDescent="0.25">
      <c r="A4768" s="307"/>
      <c r="B4768" s="307"/>
    </row>
    <row r="4769" spans="1:2" x14ac:dyDescent="0.25">
      <c r="A4769" s="307"/>
      <c r="B4769" s="307"/>
    </row>
    <row r="4770" spans="1:2" x14ac:dyDescent="0.25">
      <c r="A4770" s="307"/>
      <c r="B4770" s="307"/>
    </row>
    <row r="4771" spans="1:2" x14ac:dyDescent="0.25">
      <c r="A4771" s="307"/>
      <c r="B4771" s="307"/>
    </row>
    <row r="4772" spans="1:2" x14ac:dyDescent="0.25">
      <c r="A4772" s="307"/>
      <c r="B4772" s="307"/>
    </row>
    <row r="4773" spans="1:2" x14ac:dyDescent="0.25">
      <c r="A4773" s="307"/>
      <c r="B4773" s="307"/>
    </row>
    <row r="4774" spans="1:2" x14ac:dyDescent="0.25">
      <c r="A4774" s="307"/>
      <c r="B4774" s="307"/>
    </row>
    <row r="4775" spans="1:2" x14ac:dyDescent="0.25">
      <c r="A4775" s="307"/>
      <c r="B4775" s="307"/>
    </row>
    <row r="4776" spans="1:2" x14ac:dyDescent="0.25">
      <c r="A4776" s="307"/>
      <c r="B4776" s="307"/>
    </row>
    <row r="4777" spans="1:2" x14ac:dyDescent="0.25">
      <c r="A4777" s="307"/>
      <c r="B4777" s="307"/>
    </row>
    <row r="4778" spans="1:2" x14ac:dyDescent="0.25">
      <c r="A4778" s="307"/>
      <c r="B4778" s="307"/>
    </row>
    <row r="4779" spans="1:2" x14ac:dyDescent="0.25">
      <c r="A4779" s="307"/>
      <c r="B4779" s="307"/>
    </row>
    <row r="4780" spans="1:2" x14ac:dyDescent="0.25">
      <c r="A4780" s="307"/>
      <c r="B4780" s="307"/>
    </row>
    <row r="4781" spans="1:2" x14ac:dyDescent="0.25">
      <c r="A4781" s="307"/>
      <c r="B4781" s="307"/>
    </row>
    <row r="4782" spans="1:2" x14ac:dyDescent="0.25">
      <c r="A4782" s="307"/>
      <c r="B4782" s="307"/>
    </row>
    <row r="4783" spans="1:2" x14ac:dyDescent="0.25">
      <c r="A4783" s="307"/>
      <c r="B4783" s="307"/>
    </row>
    <row r="4784" spans="1:2" x14ac:dyDescent="0.25">
      <c r="A4784" s="307"/>
      <c r="B4784" s="307"/>
    </row>
    <row r="4785" spans="1:2" x14ac:dyDescent="0.25">
      <c r="A4785" s="307"/>
      <c r="B4785" s="307"/>
    </row>
    <row r="4786" spans="1:2" x14ac:dyDescent="0.25">
      <c r="A4786" s="307"/>
      <c r="B4786" s="307"/>
    </row>
    <row r="4787" spans="1:2" x14ac:dyDescent="0.25">
      <c r="A4787" s="307"/>
      <c r="B4787" s="307"/>
    </row>
    <row r="4788" spans="1:2" x14ac:dyDescent="0.25">
      <c r="A4788" s="307"/>
      <c r="B4788" s="307"/>
    </row>
    <row r="4789" spans="1:2" x14ac:dyDescent="0.25">
      <c r="A4789" s="307"/>
      <c r="B4789" s="307"/>
    </row>
    <row r="4790" spans="1:2" x14ac:dyDescent="0.25">
      <c r="A4790" s="307"/>
      <c r="B4790" s="307"/>
    </row>
    <row r="4791" spans="1:2" x14ac:dyDescent="0.25">
      <c r="A4791" s="307"/>
      <c r="B4791" s="307"/>
    </row>
    <row r="4792" spans="1:2" x14ac:dyDescent="0.25">
      <c r="A4792" s="307"/>
      <c r="B4792" s="307"/>
    </row>
    <row r="4793" spans="1:2" x14ac:dyDescent="0.25">
      <c r="A4793" s="307"/>
      <c r="B4793" s="307"/>
    </row>
    <row r="4794" spans="1:2" x14ac:dyDescent="0.25">
      <c r="A4794" s="307"/>
      <c r="B4794" s="307"/>
    </row>
    <row r="4795" spans="1:2" x14ac:dyDescent="0.25">
      <c r="A4795" s="307"/>
      <c r="B4795" s="307"/>
    </row>
    <row r="4796" spans="1:2" x14ac:dyDescent="0.25">
      <c r="A4796" s="307"/>
      <c r="B4796" s="307"/>
    </row>
    <row r="4797" spans="1:2" x14ac:dyDescent="0.25">
      <c r="A4797" s="307"/>
      <c r="B4797" s="307"/>
    </row>
    <row r="4798" spans="1:2" x14ac:dyDescent="0.25">
      <c r="A4798" s="307"/>
      <c r="B4798" s="307"/>
    </row>
    <row r="4799" spans="1:2" x14ac:dyDescent="0.25">
      <c r="A4799" s="307"/>
      <c r="B4799" s="307"/>
    </row>
    <row r="4800" spans="1:2" x14ac:dyDescent="0.25">
      <c r="A4800" s="307"/>
      <c r="B4800" s="307"/>
    </row>
    <row r="4801" spans="1:2" x14ac:dyDescent="0.25">
      <c r="A4801" s="307"/>
      <c r="B4801" s="307"/>
    </row>
    <row r="4802" spans="1:2" x14ac:dyDescent="0.25">
      <c r="A4802" s="307"/>
      <c r="B4802" s="307"/>
    </row>
    <row r="4803" spans="1:2" x14ac:dyDescent="0.25">
      <c r="A4803" s="307"/>
      <c r="B4803" s="307"/>
    </row>
    <row r="4804" spans="1:2" x14ac:dyDescent="0.25">
      <c r="A4804" s="307"/>
      <c r="B4804" s="307"/>
    </row>
    <row r="4805" spans="1:2" x14ac:dyDescent="0.25">
      <c r="A4805" s="307"/>
      <c r="B4805" s="307"/>
    </row>
    <row r="4806" spans="1:2" x14ac:dyDescent="0.25">
      <c r="A4806" s="307"/>
      <c r="B4806" s="307"/>
    </row>
    <row r="4807" spans="1:2" x14ac:dyDescent="0.25">
      <c r="A4807" s="307"/>
      <c r="B4807" s="307"/>
    </row>
    <row r="4808" spans="1:2" x14ac:dyDescent="0.25">
      <c r="A4808" s="307"/>
      <c r="B4808" s="307"/>
    </row>
    <row r="4809" spans="1:2" x14ac:dyDescent="0.25">
      <c r="A4809" s="307"/>
      <c r="B4809" s="307"/>
    </row>
    <row r="4810" spans="1:2" x14ac:dyDescent="0.25">
      <c r="A4810" s="307"/>
      <c r="B4810" s="307"/>
    </row>
    <row r="4811" spans="1:2" x14ac:dyDescent="0.25">
      <c r="A4811" s="307"/>
      <c r="B4811" s="307"/>
    </row>
    <row r="4812" spans="1:2" x14ac:dyDescent="0.25">
      <c r="A4812" s="307"/>
      <c r="B4812" s="307"/>
    </row>
    <row r="4813" spans="1:2" x14ac:dyDescent="0.25">
      <c r="A4813" s="307"/>
      <c r="B4813" s="307"/>
    </row>
    <row r="4814" spans="1:2" x14ac:dyDescent="0.25">
      <c r="A4814" s="307"/>
      <c r="B4814" s="307"/>
    </row>
    <row r="4815" spans="1:2" x14ac:dyDescent="0.25">
      <c r="A4815" s="307"/>
      <c r="B4815" s="307"/>
    </row>
    <row r="4816" spans="1:2" x14ac:dyDescent="0.25">
      <c r="A4816" s="307"/>
      <c r="B4816" s="307"/>
    </row>
    <row r="4817" spans="1:2" x14ac:dyDescent="0.25">
      <c r="A4817" s="307"/>
      <c r="B4817" s="307"/>
    </row>
    <row r="4818" spans="1:2" x14ac:dyDescent="0.25">
      <c r="A4818" s="307"/>
      <c r="B4818" s="307"/>
    </row>
    <row r="4819" spans="1:2" x14ac:dyDescent="0.25">
      <c r="A4819" s="307"/>
      <c r="B4819" s="307"/>
    </row>
    <row r="4820" spans="1:2" x14ac:dyDescent="0.25">
      <c r="A4820" s="307"/>
      <c r="B4820" s="307"/>
    </row>
    <row r="4821" spans="1:2" x14ac:dyDescent="0.25">
      <c r="A4821" s="307"/>
      <c r="B4821" s="307"/>
    </row>
    <row r="4822" spans="1:2" x14ac:dyDescent="0.25">
      <c r="A4822" s="307"/>
      <c r="B4822" s="307"/>
    </row>
    <row r="4823" spans="1:2" x14ac:dyDescent="0.25">
      <c r="A4823" s="307"/>
      <c r="B4823" s="307"/>
    </row>
    <row r="4824" spans="1:2" x14ac:dyDescent="0.25">
      <c r="A4824" s="307"/>
      <c r="B4824" s="307"/>
    </row>
    <row r="4825" spans="1:2" x14ac:dyDescent="0.25">
      <c r="A4825" s="307"/>
      <c r="B4825" s="307"/>
    </row>
    <row r="4826" spans="1:2" x14ac:dyDescent="0.25">
      <c r="A4826" s="307"/>
      <c r="B4826" s="307"/>
    </row>
    <row r="4827" spans="1:2" x14ac:dyDescent="0.25">
      <c r="A4827" s="307"/>
      <c r="B4827" s="307"/>
    </row>
    <row r="4828" spans="1:2" x14ac:dyDescent="0.25">
      <c r="A4828" s="307"/>
      <c r="B4828" s="307"/>
    </row>
    <row r="4829" spans="1:2" x14ac:dyDescent="0.25">
      <c r="A4829" s="307"/>
      <c r="B4829" s="307"/>
    </row>
    <row r="4830" spans="1:2" x14ac:dyDescent="0.25">
      <c r="A4830" s="307"/>
      <c r="B4830" s="307"/>
    </row>
    <row r="4831" spans="1:2" x14ac:dyDescent="0.25">
      <c r="A4831" s="307"/>
      <c r="B4831" s="307"/>
    </row>
    <row r="4832" spans="1:2" x14ac:dyDescent="0.25">
      <c r="A4832" s="307"/>
      <c r="B4832" s="307"/>
    </row>
    <row r="4833" spans="1:2" x14ac:dyDescent="0.25">
      <c r="A4833" s="307"/>
      <c r="B4833" s="307"/>
    </row>
    <row r="4834" spans="1:2" x14ac:dyDescent="0.25">
      <c r="A4834" s="307"/>
      <c r="B4834" s="307"/>
    </row>
    <row r="4835" spans="1:2" x14ac:dyDescent="0.25">
      <c r="A4835" s="307"/>
      <c r="B4835" s="307"/>
    </row>
    <row r="4836" spans="1:2" x14ac:dyDescent="0.25">
      <c r="A4836" s="307"/>
      <c r="B4836" s="307"/>
    </row>
    <row r="4837" spans="1:2" x14ac:dyDescent="0.25">
      <c r="A4837" s="307"/>
      <c r="B4837" s="307"/>
    </row>
    <row r="4838" spans="1:2" x14ac:dyDescent="0.25">
      <c r="A4838" s="307"/>
      <c r="B4838" s="307"/>
    </row>
    <row r="4839" spans="1:2" x14ac:dyDescent="0.25">
      <c r="A4839" s="307"/>
      <c r="B4839" s="307"/>
    </row>
    <row r="4840" spans="1:2" x14ac:dyDescent="0.25">
      <c r="A4840" s="307"/>
      <c r="B4840" s="307"/>
    </row>
    <row r="4841" spans="1:2" x14ac:dyDescent="0.25">
      <c r="A4841" s="307"/>
      <c r="B4841" s="307"/>
    </row>
    <row r="4842" spans="1:2" x14ac:dyDescent="0.25">
      <c r="A4842" s="307"/>
      <c r="B4842" s="307"/>
    </row>
    <row r="4843" spans="1:2" x14ac:dyDescent="0.25">
      <c r="A4843" s="307"/>
      <c r="B4843" s="307"/>
    </row>
    <row r="4844" spans="1:2" x14ac:dyDescent="0.25">
      <c r="A4844" s="307"/>
      <c r="B4844" s="307"/>
    </row>
    <row r="4845" spans="1:2" x14ac:dyDescent="0.25">
      <c r="A4845" s="307"/>
      <c r="B4845" s="307"/>
    </row>
    <row r="4846" spans="1:2" x14ac:dyDescent="0.25">
      <c r="A4846" s="307"/>
      <c r="B4846" s="307"/>
    </row>
    <row r="4847" spans="1:2" x14ac:dyDescent="0.25">
      <c r="A4847" s="307"/>
      <c r="B4847" s="307"/>
    </row>
    <row r="4848" spans="1:2" x14ac:dyDescent="0.25">
      <c r="A4848" s="307"/>
      <c r="B4848" s="307"/>
    </row>
    <row r="4849" spans="1:2" x14ac:dyDescent="0.25">
      <c r="A4849" s="307"/>
      <c r="B4849" s="307"/>
    </row>
    <row r="4850" spans="1:2" x14ac:dyDescent="0.25">
      <c r="A4850" s="307"/>
      <c r="B4850" s="307"/>
    </row>
    <row r="4851" spans="1:2" x14ac:dyDescent="0.25">
      <c r="A4851" s="307"/>
      <c r="B4851" s="307"/>
    </row>
    <row r="4852" spans="1:2" x14ac:dyDescent="0.25">
      <c r="A4852" s="307"/>
      <c r="B4852" s="307"/>
    </row>
    <row r="4853" spans="1:2" x14ac:dyDescent="0.25">
      <c r="A4853" s="307"/>
      <c r="B4853" s="307"/>
    </row>
    <row r="4854" spans="1:2" x14ac:dyDescent="0.25">
      <c r="A4854" s="307"/>
      <c r="B4854" s="307"/>
    </row>
    <row r="4855" spans="1:2" x14ac:dyDescent="0.25">
      <c r="A4855" s="307"/>
      <c r="B4855" s="307"/>
    </row>
    <row r="4856" spans="1:2" x14ac:dyDescent="0.25">
      <c r="A4856" s="307"/>
      <c r="B4856" s="307"/>
    </row>
    <row r="4857" spans="1:2" x14ac:dyDescent="0.25">
      <c r="A4857" s="307"/>
      <c r="B4857" s="307"/>
    </row>
    <row r="4858" spans="1:2" x14ac:dyDescent="0.25">
      <c r="A4858" s="307"/>
      <c r="B4858" s="307"/>
    </row>
    <row r="4859" spans="1:2" x14ac:dyDescent="0.25">
      <c r="A4859" s="307"/>
      <c r="B4859" s="307"/>
    </row>
    <row r="4860" spans="1:2" x14ac:dyDescent="0.25">
      <c r="A4860" s="307"/>
      <c r="B4860" s="307"/>
    </row>
    <row r="4861" spans="1:2" x14ac:dyDescent="0.25">
      <c r="A4861" s="307"/>
      <c r="B4861" s="307"/>
    </row>
    <row r="4862" spans="1:2" x14ac:dyDescent="0.25">
      <c r="A4862" s="307"/>
      <c r="B4862" s="307"/>
    </row>
    <row r="4863" spans="1:2" x14ac:dyDescent="0.25">
      <c r="A4863" s="307"/>
      <c r="B4863" s="307"/>
    </row>
    <row r="4864" spans="1:2" x14ac:dyDescent="0.25">
      <c r="A4864" s="307"/>
      <c r="B4864" s="307"/>
    </row>
    <row r="4865" spans="1:2" x14ac:dyDescent="0.25">
      <c r="A4865" s="307"/>
      <c r="B4865" s="307"/>
    </row>
    <row r="4866" spans="1:2" x14ac:dyDescent="0.25">
      <c r="A4866" s="307"/>
      <c r="B4866" s="307"/>
    </row>
    <row r="4867" spans="1:2" x14ac:dyDescent="0.25">
      <c r="A4867" s="307"/>
      <c r="B4867" s="307"/>
    </row>
    <row r="4868" spans="1:2" x14ac:dyDescent="0.25">
      <c r="A4868" s="307"/>
      <c r="B4868" s="307"/>
    </row>
    <row r="4869" spans="1:2" x14ac:dyDescent="0.25">
      <c r="A4869" s="307"/>
      <c r="B4869" s="307"/>
    </row>
    <row r="4870" spans="1:2" x14ac:dyDescent="0.25">
      <c r="A4870" s="307"/>
      <c r="B4870" s="307"/>
    </row>
    <row r="4871" spans="1:2" x14ac:dyDescent="0.25">
      <c r="A4871" s="307"/>
      <c r="B4871" s="307"/>
    </row>
    <row r="4872" spans="1:2" x14ac:dyDescent="0.25">
      <c r="A4872" s="307"/>
      <c r="B4872" s="307"/>
    </row>
    <row r="4873" spans="1:2" x14ac:dyDescent="0.25">
      <c r="A4873" s="307"/>
      <c r="B4873" s="307"/>
    </row>
    <row r="4874" spans="1:2" x14ac:dyDescent="0.25">
      <c r="A4874" s="307"/>
      <c r="B4874" s="307"/>
    </row>
    <row r="4875" spans="1:2" x14ac:dyDescent="0.25">
      <c r="A4875" s="307"/>
      <c r="B4875" s="307"/>
    </row>
    <row r="4876" spans="1:2" x14ac:dyDescent="0.25">
      <c r="A4876" s="307"/>
      <c r="B4876" s="307"/>
    </row>
    <row r="4877" spans="1:2" x14ac:dyDescent="0.25">
      <c r="A4877" s="307"/>
      <c r="B4877" s="307"/>
    </row>
    <row r="4878" spans="1:2" x14ac:dyDescent="0.25">
      <c r="A4878" s="307"/>
      <c r="B4878" s="307"/>
    </row>
    <row r="4879" spans="1:2" x14ac:dyDescent="0.25">
      <c r="A4879" s="307"/>
      <c r="B4879" s="307"/>
    </row>
    <row r="4880" spans="1:2" x14ac:dyDescent="0.25">
      <c r="A4880" s="307"/>
      <c r="B4880" s="307"/>
    </row>
    <row r="4881" spans="1:2" x14ac:dyDescent="0.25">
      <c r="A4881" s="307"/>
      <c r="B4881" s="307"/>
    </row>
    <row r="4882" spans="1:2" x14ac:dyDescent="0.25">
      <c r="A4882" s="307"/>
      <c r="B4882" s="307"/>
    </row>
    <row r="4883" spans="1:2" x14ac:dyDescent="0.25">
      <c r="A4883" s="307"/>
      <c r="B4883" s="307"/>
    </row>
    <row r="4884" spans="1:2" x14ac:dyDescent="0.25">
      <c r="A4884" s="307"/>
      <c r="B4884" s="307"/>
    </row>
    <row r="4885" spans="1:2" x14ac:dyDescent="0.25">
      <c r="A4885" s="307"/>
      <c r="B4885" s="307"/>
    </row>
    <row r="4886" spans="1:2" x14ac:dyDescent="0.25">
      <c r="A4886" s="307"/>
      <c r="B4886" s="307"/>
    </row>
    <row r="4887" spans="1:2" x14ac:dyDescent="0.25">
      <c r="A4887" s="307"/>
      <c r="B4887" s="307"/>
    </row>
    <row r="4888" spans="1:2" x14ac:dyDescent="0.25">
      <c r="A4888" s="307"/>
      <c r="B4888" s="307"/>
    </row>
    <row r="4889" spans="1:2" x14ac:dyDescent="0.25">
      <c r="A4889" s="307"/>
      <c r="B4889" s="307"/>
    </row>
    <row r="4890" spans="1:2" x14ac:dyDescent="0.25">
      <c r="A4890" s="307"/>
      <c r="B4890" s="307"/>
    </row>
    <row r="4891" spans="1:2" x14ac:dyDescent="0.25">
      <c r="A4891" s="307"/>
      <c r="B4891" s="307"/>
    </row>
    <row r="4892" spans="1:2" x14ac:dyDescent="0.25">
      <c r="A4892" s="307"/>
      <c r="B4892" s="307"/>
    </row>
    <row r="4893" spans="1:2" x14ac:dyDescent="0.25">
      <c r="A4893" s="307"/>
      <c r="B4893" s="307"/>
    </row>
    <row r="4894" spans="1:2" x14ac:dyDescent="0.25">
      <c r="A4894" s="307"/>
      <c r="B4894" s="307"/>
    </row>
    <row r="4895" spans="1:2" x14ac:dyDescent="0.25">
      <c r="A4895" s="307"/>
      <c r="B4895" s="307"/>
    </row>
    <row r="4896" spans="1:2" x14ac:dyDescent="0.25">
      <c r="A4896" s="307"/>
      <c r="B4896" s="307"/>
    </row>
    <row r="4897" spans="1:2" x14ac:dyDescent="0.25">
      <c r="A4897" s="307"/>
      <c r="B4897" s="307"/>
    </row>
    <row r="4898" spans="1:2" x14ac:dyDescent="0.25">
      <c r="A4898" s="307"/>
      <c r="B4898" s="307"/>
    </row>
    <row r="4899" spans="1:2" x14ac:dyDescent="0.25">
      <c r="A4899" s="307"/>
      <c r="B4899" s="307"/>
    </row>
    <row r="4900" spans="1:2" x14ac:dyDescent="0.25">
      <c r="A4900" s="307"/>
      <c r="B4900" s="307"/>
    </row>
    <row r="4901" spans="1:2" x14ac:dyDescent="0.25">
      <c r="A4901" s="307"/>
      <c r="B4901" s="307"/>
    </row>
    <row r="4902" spans="1:2" x14ac:dyDescent="0.25">
      <c r="A4902" s="307"/>
      <c r="B4902" s="307"/>
    </row>
    <row r="4903" spans="1:2" x14ac:dyDescent="0.25">
      <c r="A4903" s="307"/>
      <c r="B4903" s="307"/>
    </row>
    <row r="4904" spans="1:2" x14ac:dyDescent="0.25">
      <c r="A4904" s="307"/>
      <c r="B4904" s="307"/>
    </row>
    <row r="4905" spans="1:2" x14ac:dyDescent="0.25">
      <c r="A4905" s="307"/>
      <c r="B4905" s="307"/>
    </row>
    <row r="4906" spans="1:2" x14ac:dyDescent="0.25">
      <c r="A4906" s="307"/>
      <c r="B4906" s="307"/>
    </row>
    <row r="4907" spans="1:2" x14ac:dyDescent="0.25">
      <c r="A4907" s="307"/>
      <c r="B4907" s="307"/>
    </row>
    <row r="4908" spans="1:2" x14ac:dyDescent="0.25">
      <c r="A4908" s="307"/>
      <c r="B4908" s="307"/>
    </row>
    <row r="4909" spans="1:2" x14ac:dyDescent="0.25">
      <c r="A4909" s="307"/>
      <c r="B4909" s="307"/>
    </row>
    <row r="4910" spans="1:2" x14ac:dyDescent="0.25">
      <c r="A4910" s="307"/>
      <c r="B4910" s="307"/>
    </row>
    <row r="4911" spans="1:2" x14ac:dyDescent="0.25">
      <c r="A4911" s="307"/>
      <c r="B4911" s="307"/>
    </row>
    <row r="4912" spans="1:2" x14ac:dyDescent="0.25">
      <c r="A4912" s="307"/>
      <c r="B4912" s="307"/>
    </row>
    <row r="4913" spans="1:2" x14ac:dyDescent="0.25">
      <c r="A4913" s="307"/>
      <c r="B4913" s="307"/>
    </row>
    <row r="4914" spans="1:2" x14ac:dyDescent="0.25">
      <c r="A4914" s="307"/>
      <c r="B4914" s="307"/>
    </row>
    <row r="4915" spans="1:2" x14ac:dyDescent="0.25">
      <c r="A4915" s="307"/>
      <c r="B4915" s="307"/>
    </row>
    <row r="4916" spans="1:2" x14ac:dyDescent="0.25">
      <c r="A4916" s="307"/>
      <c r="B4916" s="307"/>
    </row>
    <row r="4917" spans="1:2" x14ac:dyDescent="0.25">
      <c r="A4917" s="307"/>
      <c r="B4917" s="307"/>
    </row>
    <row r="4918" spans="1:2" x14ac:dyDescent="0.25">
      <c r="A4918" s="307"/>
      <c r="B4918" s="307"/>
    </row>
    <row r="4919" spans="1:2" x14ac:dyDescent="0.25">
      <c r="A4919" s="307"/>
      <c r="B4919" s="307"/>
    </row>
    <row r="4920" spans="1:2" x14ac:dyDescent="0.25">
      <c r="A4920" s="307"/>
      <c r="B4920" s="307"/>
    </row>
    <row r="4921" spans="1:2" x14ac:dyDescent="0.25">
      <c r="A4921" s="307"/>
      <c r="B4921" s="307"/>
    </row>
    <row r="4922" spans="1:2" x14ac:dyDescent="0.25">
      <c r="A4922" s="307"/>
      <c r="B4922" s="307"/>
    </row>
    <row r="4923" spans="1:2" x14ac:dyDescent="0.25">
      <c r="A4923" s="307"/>
      <c r="B4923" s="307"/>
    </row>
    <row r="4924" spans="1:2" x14ac:dyDescent="0.25">
      <c r="A4924" s="307"/>
      <c r="B4924" s="307"/>
    </row>
    <row r="4925" spans="1:2" x14ac:dyDescent="0.25">
      <c r="A4925" s="307"/>
      <c r="B4925" s="307"/>
    </row>
    <row r="4926" spans="1:2" x14ac:dyDescent="0.25">
      <c r="A4926" s="307"/>
      <c r="B4926" s="307"/>
    </row>
    <row r="4927" spans="1:2" x14ac:dyDescent="0.25">
      <c r="A4927" s="307"/>
      <c r="B4927" s="307"/>
    </row>
    <row r="4928" spans="1:2" x14ac:dyDescent="0.25">
      <c r="A4928" s="307"/>
      <c r="B4928" s="307"/>
    </row>
    <row r="4929" spans="1:2" x14ac:dyDescent="0.25">
      <c r="A4929" s="307"/>
      <c r="B4929" s="307"/>
    </row>
    <row r="4930" spans="1:2" x14ac:dyDescent="0.25">
      <c r="A4930" s="307"/>
      <c r="B4930" s="307"/>
    </row>
    <row r="4931" spans="1:2" x14ac:dyDescent="0.25">
      <c r="A4931" s="307"/>
      <c r="B4931" s="307"/>
    </row>
    <row r="4932" spans="1:2" x14ac:dyDescent="0.25">
      <c r="A4932" s="307"/>
      <c r="B4932" s="307"/>
    </row>
    <row r="4933" spans="1:2" x14ac:dyDescent="0.25">
      <c r="A4933" s="307"/>
      <c r="B4933" s="307"/>
    </row>
    <row r="4934" spans="1:2" x14ac:dyDescent="0.25">
      <c r="A4934" s="307"/>
      <c r="B4934" s="307"/>
    </row>
    <row r="4935" spans="1:2" x14ac:dyDescent="0.25">
      <c r="A4935" s="307"/>
      <c r="B4935" s="307"/>
    </row>
    <row r="4936" spans="1:2" x14ac:dyDescent="0.25">
      <c r="A4936" s="307"/>
      <c r="B4936" s="307"/>
    </row>
    <row r="4937" spans="1:2" x14ac:dyDescent="0.25">
      <c r="A4937" s="307"/>
      <c r="B4937" s="307"/>
    </row>
    <row r="4938" spans="1:2" x14ac:dyDescent="0.25">
      <c r="A4938" s="307"/>
      <c r="B4938" s="307"/>
    </row>
    <row r="4939" spans="1:2" x14ac:dyDescent="0.25">
      <c r="A4939" s="307"/>
      <c r="B4939" s="307"/>
    </row>
    <row r="4940" spans="1:2" x14ac:dyDescent="0.25">
      <c r="A4940" s="307"/>
      <c r="B4940" s="307"/>
    </row>
    <row r="4941" spans="1:2" x14ac:dyDescent="0.25">
      <c r="A4941" s="307"/>
      <c r="B4941" s="307"/>
    </row>
    <row r="4942" spans="1:2" x14ac:dyDescent="0.25">
      <c r="A4942" s="307"/>
      <c r="B4942" s="307"/>
    </row>
    <row r="4943" spans="1:2" x14ac:dyDescent="0.25">
      <c r="A4943" s="307"/>
      <c r="B4943" s="307"/>
    </row>
    <row r="4944" spans="1:2" x14ac:dyDescent="0.25">
      <c r="A4944" s="307"/>
      <c r="B4944" s="307"/>
    </row>
    <row r="4945" spans="1:2" x14ac:dyDescent="0.25">
      <c r="A4945" s="307"/>
      <c r="B4945" s="307"/>
    </row>
    <row r="4946" spans="1:2" x14ac:dyDescent="0.25">
      <c r="A4946" s="307"/>
      <c r="B4946" s="307"/>
    </row>
    <row r="4947" spans="1:2" x14ac:dyDescent="0.25">
      <c r="A4947" s="307"/>
      <c r="B4947" s="307"/>
    </row>
  </sheetData>
  <mergeCells count="30">
    <mergeCell ref="AA5:AL5"/>
    <mergeCell ref="C8:F8"/>
    <mergeCell ref="O8:R8"/>
    <mergeCell ref="AA8:AD8"/>
    <mergeCell ref="C6:F6"/>
    <mergeCell ref="O6:R6"/>
    <mergeCell ref="AA6:AD6"/>
    <mergeCell ref="C5:N5"/>
    <mergeCell ref="G6:J6"/>
    <mergeCell ref="K6:N6"/>
    <mergeCell ref="G8:J8"/>
    <mergeCell ref="K8:N8"/>
    <mergeCell ref="S6:V6"/>
    <mergeCell ref="W6:Z6"/>
    <mergeCell ref="O5:Z5"/>
    <mergeCell ref="S8:V8"/>
    <mergeCell ref="W8:Z8"/>
    <mergeCell ref="AE6:AH6"/>
    <mergeCell ref="AI6:AL6"/>
    <mergeCell ref="AE8:AH8"/>
    <mergeCell ref="AI8:AL8"/>
    <mergeCell ref="AA1:AL1"/>
    <mergeCell ref="AA2:AL2"/>
    <mergeCell ref="AA3:AL3"/>
    <mergeCell ref="C1:N1"/>
    <mergeCell ref="C2:N2"/>
    <mergeCell ref="C3:N3"/>
    <mergeCell ref="O1:Z1"/>
    <mergeCell ref="O2:Z2"/>
    <mergeCell ref="O3:Z3"/>
  </mergeCells>
  <phoneticPr fontId="41" type="noConversion"/>
  <pageMargins left="0.39370078740157483" right="0.39370078740157483" top="0.78740157480314965" bottom="0.78740157480314965" header="0.62992125984251968" footer="0.39370078740157483"/>
  <pageSetup paperSize="9" scale="60" orientation="landscape" r:id="rId1"/>
  <headerFooter alignWithMargins="0">
    <oddHeader>&amp;C&amp;"Times New Roman CE,Félkövér"
&amp;R&amp;"Times New Roman CE,Félkövér"&amp;11 1. melléklet a 24/2020.(VI.3.) önkormányzati rendelethez&amp;"Times New Roman CE,Dőlt"&amp;10
 1. melléklet
az 5/2020.(II.17.) önkormányzati rendelethez</oddHeader>
  </headerFooter>
  <rowBreaks count="1" manualBreakCount="1">
    <brk id="50" max="37" man="1"/>
  </rowBreaks>
  <colBreaks count="2" manualBreakCount="2">
    <brk id="14" max="65" man="1"/>
    <brk id="26" max="6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502"/>
  <sheetViews>
    <sheetView tabSelected="1" view="pageBreakPreview" zoomScale="80" zoomScaleNormal="70" zoomScaleSheetLayoutView="80" workbookViewId="0">
      <pane xSplit="2" ySplit="9" topLeftCell="C474" activePane="bottomRight" state="frozen"/>
      <selection activeCell="B128" sqref="B128"/>
      <selection pane="topRight" activeCell="B128" sqref="B128"/>
      <selection pane="bottomLeft" activeCell="B128" sqref="B128"/>
      <selection pane="bottomRight" activeCell="A479" sqref="A479:P480"/>
    </sheetView>
  </sheetViews>
  <sheetFormatPr defaultRowHeight="15.75" x14ac:dyDescent="0.25"/>
  <cols>
    <col min="1" max="1" width="5" style="497" customWidth="1"/>
    <col min="2" max="2" width="40.875" style="497" customWidth="1"/>
    <col min="3" max="3" width="10.125" style="497" customWidth="1"/>
    <col min="4" max="4" width="10.75" style="497" customWidth="1"/>
    <col min="5" max="5" width="10" style="497" customWidth="1"/>
    <col min="6" max="6" width="9.625" style="497" bestFit="1" customWidth="1"/>
    <col min="7" max="7" width="11.125" style="497" customWidth="1"/>
    <col min="8" max="8" width="12.25" style="497" customWidth="1"/>
    <col min="9" max="9" width="11.625" style="497" customWidth="1"/>
    <col min="10" max="10" width="9.75" style="497" customWidth="1"/>
    <col min="11" max="11" width="9.875" style="497" customWidth="1"/>
    <col min="12" max="12" width="12" style="497" customWidth="1"/>
    <col min="13" max="13" width="9.875" style="497" customWidth="1"/>
    <col min="14" max="15" width="10.375" style="497" customWidth="1"/>
    <col min="16" max="16" width="16.25" style="497" customWidth="1"/>
    <col min="17" max="17" width="9.875" style="497" bestFit="1" customWidth="1"/>
    <col min="18" max="18" width="9.75" style="497" bestFit="1" customWidth="1"/>
    <col min="19" max="256" width="8.75" style="497"/>
    <col min="257" max="257" width="5" style="497" customWidth="1"/>
    <col min="258" max="258" width="40.875" style="497" customWidth="1"/>
    <col min="259" max="259" width="10.125" style="497" customWidth="1"/>
    <col min="260" max="260" width="10.75" style="497" customWidth="1"/>
    <col min="261" max="261" width="10" style="497" customWidth="1"/>
    <col min="262" max="262" width="9.625" style="497" bestFit="1" customWidth="1"/>
    <col min="263" max="263" width="10.75" style="497" customWidth="1"/>
    <col min="264" max="264" width="12.25" style="497" customWidth="1"/>
    <col min="265" max="265" width="11.625" style="497" customWidth="1"/>
    <col min="266" max="266" width="9.75" style="497" customWidth="1"/>
    <col min="267" max="267" width="9.875" style="497" customWidth="1"/>
    <col min="268" max="268" width="12" style="497" customWidth="1"/>
    <col min="269" max="269" width="9.875" style="497" customWidth="1"/>
    <col min="270" max="271" width="10.375" style="497" customWidth="1"/>
    <col min="272" max="272" width="16.25" style="497" customWidth="1"/>
    <col min="273" max="273" width="9.875" style="497" bestFit="1" customWidth="1"/>
    <col min="274" max="512" width="8.75" style="497"/>
    <col min="513" max="513" width="5" style="497" customWidth="1"/>
    <col min="514" max="514" width="40.875" style="497" customWidth="1"/>
    <col min="515" max="515" width="10.125" style="497" customWidth="1"/>
    <col min="516" max="516" width="10.75" style="497" customWidth="1"/>
    <col min="517" max="517" width="10" style="497" customWidth="1"/>
    <col min="518" max="518" width="9.625" style="497" bestFit="1" customWidth="1"/>
    <col min="519" max="519" width="10.75" style="497" customWidth="1"/>
    <col min="520" max="520" width="12.25" style="497" customWidth="1"/>
    <col min="521" max="521" width="11.625" style="497" customWidth="1"/>
    <col min="522" max="522" width="9.75" style="497" customWidth="1"/>
    <col min="523" max="523" width="9.875" style="497" customWidth="1"/>
    <col min="524" max="524" width="12" style="497" customWidth="1"/>
    <col min="525" max="525" width="9.875" style="497" customWidth="1"/>
    <col min="526" max="527" width="10.375" style="497" customWidth="1"/>
    <col min="528" max="528" width="16.25" style="497" customWidth="1"/>
    <col min="529" max="529" width="9.875" style="497" bestFit="1" customWidth="1"/>
    <col min="530" max="768" width="8.75" style="497"/>
    <col min="769" max="769" width="5" style="497" customWidth="1"/>
    <col min="770" max="770" width="40.875" style="497" customWidth="1"/>
    <col min="771" max="771" width="10.125" style="497" customWidth="1"/>
    <col min="772" max="772" width="10.75" style="497" customWidth="1"/>
    <col min="773" max="773" width="10" style="497" customWidth="1"/>
    <col min="774" max="774" width="9.625" style="497" bestFit="1" customWidth="1"/>
    <col min="775" max="775" width="10.75" style="497" customWidth="1"/>
    <col min="776" max="776" width="12.25" style="497" customWidth="1"/>
    <col min="777" max="777" width="11.625" style="497" customWidth="1"/>
    <col min="778" max="778" width="9.75" style="497" customWidth="1"/>
    <col min="779" max="779" width="9.875" style="497" customWidth="1"/>
    <col min="780" max="780" width="12" style="497" customWidth="1"/>
    <col min="781" max="781" width="9.875" style="497" customWidth="1"/>
    <col min="782" max="783" width="10.375" style="497" customWidth="1"/>
    <col min="784" max="784" width="16.25" style="497" customWidth="1"/>
    <col min="785" max="785" width="9.875" style="497" bestFit="1" customWidth="1"/>
    <col min="786" max="1024" width="8.75" style="497"/>
    <col min="1025" max="1025" width="5" style="497" customWidth="1"/>
    <col min="1026" max="1026" width="40.875" style="497" customWidth="1"/>
    <col min="1027" max="1027" width="10.125" style="497" customWidth="1"/>
    <col min="1028" max="1028" width="10.75" style="497" customWidth="1"/>
    <col min="1029" max="1029" width="10" style="497" customWidth="1"/>
    <col min="1030" max="1030" width="9.625" style="497" bestFit="1" customWidth="1"/>
    <col min="1031" max="1031" width="10.75" style="497" customWidth="1"/>
    <col min="1032" max="1032" width="12.25" style="497" customWidth="1"/>
    <col min="1033" max="1033" width="11.625" style="497" customWidth="1"/>
    <col min="1034" max="1034" width="9.75" style="497" customWidth="1"/>
    <col min="1035" max="1035" width="9.875" style="497" customWidth="1"/>
    <col min="1036" max="1036" width="12" style="497" customWidth="1"/>
    <col min="1037" max="1037" width="9.875" style="497" customWidth="1"/>
    <col min="1038" max="1039" width="10.375" style="497" customWidth="1"/>
    <col min="1040" max="1040" width="16.25" style="497" customWidth="1"/>
    <col min="1041" max="1041" width="9.875" style="497" bestFit="1" customWidth="1"/>
    <col min="1042" max="1280" width="8.75" style="497"/>
    <col min="1281" max="1281" width="5" style="497" customWidth="1"/>
    <col min="1282" max="1282" width="40.875" style="497" customWidth="1"/>
    <col min="1283" max="1283" width="10.125" style="497" customWidth="1"/>
    <col min="1284" max="1284" width="10.75" style="497" customWidth="1"/>
    <col min="1285" max="1285" width="10" style="497" customWidth="1"/>
    <col min="1286" max="1286" width="9.625" style="497" bestFit="1" customWidth="1"/>
    <col min="1287" max="1287" width="10.75" style="497" customWidth="1"/>
    <col min="1288" max="1288" width="12.25" style="497" customWidth="1"/>
    <col min="1289" max="1289" width="11.625" style="497" customWidth="1"/>
    <col min="1290" max="1290" width="9.75" style="497" customWidth="1"/>
    <col min="1291" max="1291" width="9.875" style="497" customWidth="1"/>
    <col min="1292" max="1292" width="12" style="497" customWidth="1"/>
    <col min="1293" max="1293" width="9.875" style="497" customWidth="1"/>
    <col min="1294" max="1295" width="10.375" style="497" customWidth="1"/>
    <col min="1296" max="1296" width="16.25" style="497" customWidth="1"/>
    <col min="1297" max="1297" width="9.875" style="497" bestFit="1" customWidth="1"/>
    <col min="1298" max="1536" width="8.75" style="497"/>
    <col min="1537" max="1537" width="5" style="497" customWidth="1"/>
    <col min="1538" max="1538" width="40.875" style="497" customWidth="1"/>
    <col min="1539" max="1539" width="10.125" style="497" customWidth="1"/>
    <col min="1540" max="1540" width="10.75" style="497" customWidth="1"/>
    <col min="1541" max="1541" width="10" style="497" customWidth="1"/>
    <col min="1542" max="1542" width="9.625" style="497" bestFit="1" customWidth="1"/>
    <col min="1543" max="1543" width="10.75" style="497" customWidth="1"/>
    <col min="1544" max="1544" width="12.25" style="497" customWidth="1"/>
    <col min="1545" max="1545" width="11.625" style="497" customWidth="1"/>
    <col min="1546" max="1546" width="9.75" style="497" customWidth="1"/>
    <col min="1547" max="1547" width="9.875" style="497" customWidth="1"/>
    <col min="1548" max="1548" width="12" style="497" customWidth="1"/>
    <col min="1549" max="1549" width="9.875" style="497" customWidth="1"/>
    <col min="1550" max="1551" width="10.375" style="497" customWidth="1"/>
    <col min="1552" max="1552" width="16.25" style="497" customWidth="1"/>
    <col min="1553" max="1553" width="9.875" style="497" bestFit="1" customWidth="1"/>
    <col min="1554" max="1792" width="8.75" style="497"/>
    <col min="1793" max="1793" width="5" style="497" customWidth="1"/>
    <col min="1794" max="1794" width="40.875" style="497" customWidth="1"/>
    <col min="1795" max="1795" width="10.125" style="497" customWidth="1"/>
    <col min="1796" max="1796" width="10.75" style="497" customWidth="1"/>
    <col min="1797" max="1797" width="10" style="497" customWidth="1"/>
    <col min="1798" max="1798" width="9.625" style="497" bestFit="1" customWidth="1"/>
    <col min="1799" max="1799" width="10.75" style="497" customWidth="1"/>
    <col min="1800" max="1800" width="12.25" style="497" customWidth="1"/>
    <col min="1801" max="1801" width="11.625" style="497" customWidth="1"/>
    <col min="1802" max="1802" width="9.75" style="497" customWidth="1"/>
    <col min="1803" max="1803" width="9.875" style="497" customWidth="1"/>
    <col min="1804" max="1804" width="12" style="497" customWidth="1"/>
    <col min="1805" max="1805" width="9.875" style="497" customWidth="1"/>
    <col min="1806" max="1807" width="10.375" style="497" customWidth="1"/>
    <col min="1808" max="1808" width="16.25" style="497" customWidth="1"/>
    <col min="1809" max="1809" width="9.875" style="497" bestFit="1" customWidth="1"/>
    <col min="1810" max="2048" width="8.75" style="497"/>
    <col min="2049" max="2049" width="5" style="497" customWidth="1"/>
    <col min="2050" max="2050" width="40.875" style="497" customWidth="1"/>
    <col min="2051" max="2051" width="10.125" style="497" customWidth="1"/>
    <col min="2052" max="2052" width="10.75" style="497" customWidth="1"/>
    <col min="2053" max="2053" width="10" style="497" customWidth="1"/>
    <col min="2054" max="2054" width="9.625" style="497" bestFit="1" customWidth="1"/>
    <col min="2055" max="2055" width="10.75" style="497" customWidth="1"/>
    <col min="2056" max="2056" width="12.25" style="497" customWidth="1"/>
    <col min="2057" max="2057" width="11.625" style="497" customWidth="1"/>
    <col min="2058" max="2058" width="9.75" style="497" customWidth="1"/>
    <col min="2059" max="2059" width="9.875" style="497" customWidth="1"/>
    <col min="2060" max="2060" width="12" style="497" customWidth="1"/>
    <col min="2061" max="2061" width="9.875" style="497" customWidth="1"/>
    <col min="2062" max="2063" width="10.375" style="497" customWidth="1"/>
    <col min="2064" max="2064" width="16.25" style="497" customWidth="1"/>
    <col min="2065" max="2065" width="9.875" style="497" bestFit="1" customWidth="1"/>
    <col min="2066" max="2304" width="8.75" style="497"/>
    <col min="2305" max="2305" width="5" style="497" customWidth="1"/>
    <col min="2306" max="2306" width="40.875" style="497" customWidth="1"/>
    <col min="2307" max="2307" width="10.125" style="497" customWidth="1"/>
    <col min="2308" max="2308" width="10.75" style="497" customWidth="1"/>
    <col min="2309" max="2309" width="10" style="497" customWidth="1"/>
    <col min="2310" max="2310" width="9.625" style="497" bestFit="1" customWidth="1"/>
    <col min="2311" max="2311" width="10.75" style="497" customWidth="1"/>
    <col min="2312" max="2312" width="12.25" style="497" customWidth="1"/>
    <col min="2313" max="2313" width="11.625" style="497" customWidth="1"/>
    <col min="2314" max="2314" width="9.75" style="497" customWidth="1"/>
    <col min="2315" max="2315" width="9.875" style="497" customWidth="1"/>
    <col min="2316" max="2316" width="12" style="497" customWidth="1"/>
    <col min="2317" max="2317" width="9.875" style="497" customWidth="1"/>
    <col min="2318" max="2319" width="10.375" style="497" customWidth="1"/>
    <col min="2320" max="2320" width="16.25" style="497" customWidth="1"/>
    <col min="2321" max="2321" width="9.875" style="497" bestFit="1" customWidth="1"/>
    <col min="2322" max="2560" width="8.75" style="497"/>
    <col min="2561" max="2561" width="5" style="497" customWidth="1"/>
    <col min="2562" max="2562" width="40.875" style="497" customWidth="1"/>
    <col min="2563" max="2563" width="10.125" style="497" customWidth="1"/>
    <col min="2564" max="2564" width="10.75" style="497" customWidth="1"/>
    <col min="2565" max="2565" width="10" style="497" customWidth="1"/>
    <col min="2566" max="2566" width="9.625" style="497" bestFit="1" customWidth="1"/>
    <col min="2567" max="2567" width="10.75" style="497" customWidth="1"/>
    <col min="2568" max="2568" width="12.25" style="497" customWidth="1"/>
    <col min="2569" max="2569" width="11.625" style="497" customWidth="1"/>
    <col min="2570" max="2570" width="9.75" style="497" customWidth="1"/>
    <col min="2571" max="2571" width="9.875" style="497" customWidth="1"/>
    <col min="2572" max="2572" width="12" style="497" customWidth="1"/>
    <col min="2573" max="2573" width="9.875" style="497" customWidth="1"/>
    <col min="2574" max="2575" width="10.375" style="497" customWidth="1"/>
    <col min="2576" max="2576" width="16.25" style="497" customWidth="1"/>
    <col min="2577" max="2577" width="9.875" style="497" bestFit="1" customWidth="1"/>
    <col min="2578" max="2816" width="8.75" style="497"/>
    <col min="2817" max="2817" width="5" style="497" customWidth="1"/>
    <col min="2818" max="2818" width="40.875" style="497" customWidth="1"/>
    <col min="2819" max="2819" width="10.125" style="497" customWidth="1"/>
    <col min="2820" max="2820" width="10.75" style="497" customWidth="1"/>
    <col min="2821" max="2821" width="10" style="497" customWidth="1"/>
    <col min="2822" max="2822" width="9.625" style="497" bestFit="1" customWidth="1"/>
    <col min="2823" max="2823" width="10.75" style="497" customWidth="1"/>
    <col min="2824" max="2824" width="12.25" style="497" customWidth="1"/>
    <col min="2825" max="2825" width="11.625" style="497" customWidth="1"/>
    <col min="2826" max="2826" width="9.75" style="497" customWidth="1"/>
    <col min="2827" max="2827" width="9.875" style="497" customWidth="1"/>
    <col min="2828" max="2828" width="12" style="497" customWidth="1"/>
    <col min="2829" max="2829" width="9.875" style="497" customWidth="1"/>
    <col min="2830" max="2831" width="10.375" style="497" customWidth="1"/>
    <col min="2832" max="2832" width="16.25" style="497" customWidth="1"/>
    <col min="2833" max="2833" width="9.875" style="497" bestFit="1" customWidth="1"/>
    <col min="2834" max="3072" width="8.75" style="497"/>
    <col min="3073" max="3073" width="5" style="497" customWidth="1"/>
    <col min="3074" max="3074" width="40.875" style="497" customWidth="1"/>
    <col min="3075" max="3075" width="10.125" style="497" customWidth="1"/>
    <col min="3076" max="3076" width="10.75" style="497" customWidth="1"/>
    <col min="3077" max="3077" width="10" style="497" customWidth="1"/>
    <col min="3078" max="3078" width="9.625" style="497" bestFit="1" customWidth="1"/>
    <col min="3079" max="3079" width="10.75" style="497" customWidth="1"/>
    <col min="3080" max="3080" width="12.25" style="497" customWidth="1"/>
    <col min="3081" max="3081" width="11.625" style="497" customWidth="1"/>
    <col min="3082" max="3082" width="9.75" style="497" customWidth="1"/>
    <col min="3083" max="3083" width="9.875" style="497" customWidth="1"/>
    <col min="3084" max="3084" width="12" style="497" customWidth="1"/>
    <col min="3085" max="3085" width="9.875" style="497" customWidth="1"/>
    <col min="3086" max="3087" width="10.375" style="497" customWidth="1"/>
    <col min="3088" max="3088" width="16.25" style="497" customWidth="1"/>
    <col min="3089" max="3089" width="9.875" style="497" bestFit="1" customWidth="1"/>
    <col min="3090" max="3328" width="8.75" style="497"/>
    <col min="3329" max="3329" width="5" style="497" customWidth="1"/>
    <col min="3330" max="3330" width="40.875" style="497" customWidth="1"/>
    <col min="3331" max="3331" width="10.125" style="497" customWidth="1"/>
    <col min="3332" max="3332" width="10.75" style="497" customWidth="1"/>
    <col min="3333" max="3333" width="10" style="497" customWidth="1"/>
    <col min="3334" max="3334" width="9.625" style="497" bestFit="1" customWidth="1"/>
    <col min="3335" max="3335" width="10.75" style="497" customWidth="1"/>
    <col min="3336" max="3336" width="12.25" style="497" customWidth="1"/>
    <col min="3337" max="3337" width="11.625" style="497" customWidth="1"/>
    <col min="3338" max="3338" width="9.75" style="497" customWidth="1"/>
    <col min="3339" max="3339" width="9.875" style="497" customWidth="1"/>
    <col min="3340" max="3340" width="12" style="497" customWidth="1"/>
    <col min="3341" max="3341" width="9.875" style="497" customWidth="1"/>
    <col min="3342" max="3343" width="10.375" style="497" customWidth="1"/>
    <col min="3344" max="3344" width="16.25" style="497" customWidth="1"/>
    <col min="3345" max="3345" width="9.875" style="497" bestFit="1" customWidth="1"/>
    <col min="3346" max="3584" width="8.75" style="497"/>
    <col min="3585" max="3585" width="5" style="497" customWidth="1"/>
    <col min="3586" max="3586" width="40.875" style="497" customWidth="1"/>
    <col min="3587" max="3587" width="10.125" style="497" customWidth="1"/>
    <col min="3588" max="3588" width="10.75" style="497" customWidth="1"/>
    <col min="3589" max="3589" width="10" style="497" customWidth="1"/>
    <col min="3590" max="3590" width="9.625" style="497" bestFit="1" customWidth="1"/>
    <col min="3591" max="3591" width="10.75" style="497" customWidth="1"/>
    <col min="3592" max="3592" width="12.25" style="497" customWidth="1"/>
    <col min="3593" max="3593" width="11.625" style="497" customWidth="1"/>
    <col min="3594" max="3594" width="9.75" style="497" customWidth="1"/>
    <col min="3595" max="3595" width="9.875" style="497" customWidth="1"/>
    <col min="3596" max="3596" width="12" style="497" customWidth="1"/>
    <col min="3597" max="3597" width="9.875" style="497" customWidth="1"/>
    <col min="3598" max="3599" width="10.375" style="497" customWidth="1"/>
    <col min="3600" max="3600" width="16.25" style="497" customWidth="1"/>
    <col min="3601" max="3601" width="9.875" style="497" bestFit="1" customWidth="1"/>
    <col min="3602" max="3840" width="8.75" style="497"/>
    <col min="3841" max="3841" width="5" style="497" customWidth="1"/>
    <col min="3842" max="3842" width="40.875" style="497" customWidth="1"/>
    <col min="3843" max="3843" width="10.125" style="497" customWidth="1"/>
    <col min="3844" max="3844" width="10.75" style="497" customWidth="1"/>
    <col min="3845" max="3845" width="10" style="497" customWidth="1"/>
    <col min="3846" max="3846" width="9.625" style="497" bestFit="1" customWidth="1"/>
    <col min="3847" max="3847" width="10.75" style="497" customWidth="1"/>
    <col min="3848" max="3848" width="12.25" style="497" customWidth="1"/>
    <col min="3849" max="3849" width="11.625" style="497" customWidth="1"/>
    <col min="3850" max="3850" width="9.75" style="497" customWidth="1"/>
    <col min="3851" max="3851" width="9.875" style="497" customWidth="1"/>
    <col min="3852" max="3852" width="12" style="497" customWidth="1"/>
    <col min="3853" max="3853" width="9.875" style="497" customWidth="1"/>
    <col min="3854" max="3855" width="10.375" style="497" customWidth="1"/>
    <col min="3856" max="3856" width="16.25" style="497" customWidth="1"/>
    <col min="3857" max="3857" width="9.875" style="497" bestFit="1" customWidth="1"/>
    <col min="3858" max="4096" width="8.75" style="497"/>
    <col min="4097" max="4097" width="5" style="497" customWidth="1"/>
    <col min="4098" max="4098" width="40.875" style="497" customWidth="1"/>
    <col min="4099" max="4099" width="10.125" style="497" customWidth="1"/>
    <col min="4100" max="4100" width="10.75" style="497" customWidth="1"/>
    <col min="4101" max="4101" width="10" style="497" customWidth="1"/>
    <col min="4102" max="4102" width="9.625" style="497" bestFit="1" customWidth="1"/>
    <col min="4103" max="4103" width="10.75" style="497" customWidth="1"/>
    <col min="4104" max="4104" width="12.25" style="497" customWidth="1"/>
    <col min="4105" max="4105" width="11.625" style="497" customWidth="1"/>
    <col min="4106" max="4106" width="9.75" style="497" customWidth="1"/>
    <col min="4107" max="4107" width="9.875" style="497" customWidth="1"/>
    <col min="4108" max="4108" width="12" style="497" customWidth="1"/>
    <col min="4109" max="4109" width="9.875" style="497" customWidth="1"/>
    <col min="4110" max="4111" width="10.375" style="497" customWidth="1"/>
    <col min="4112" max="4112" width="16.25" style="497" customWidth="1"/>
    <col min="4113" max="4113" width="9.875" style="497" bestFit="1" customWidth="1"/>
    <col min="4114" max="4352" width="8.75" style="497"/>
    <col min="4353" max="4353" width="5" style="497" customWidth="1"/>
    <col min="4354" max="4354" width="40.875" style="497" customWidth="1"/>
    <col min="4355" max="4355" width="10.125" style="497" customWidth="1"/>
    <col min="4356" max="4356" width="10.75" style="497" customWidth="1"/>
    <col min="4357" max="4357" width="10" style="497" customWidth="1"/>
    <col min="4358" max="4358" width="9.625" style="497" bestFit="1" customWidth="1"/>
    <col min="4359" max="4359" width="10.75" style="497" customWidth="1"/>
    <col min="4360" max="4360" width="12.25" style="497" customWidth="1"/>
    <col min="4361" max="4361" width="11.625" style="497" customWidth="1"/>
    <col min="4362" max="4362" width="9.75" style="497" customWidth="1"/>
    <col min="4363" max="4363" width="9.875" style="497" customWidth="1"/>
    <col min="4364" max="4364" width="12" style="497" customWidth="1"/>
    <col min="4365" max="4365" width="9.875" style="497" customWidth="1"/>
    <col min="4366" max="4367" width="10.375" style="497" customWidth="1"/>
    <col min="4368" max="4368" width="16.25" style="497" customWidth="1"/>
    <col min="4369" max="4369" width="9.875" style="497" bestFit="1" customWidth="1"/>
    <col min="4370" max="4608" width="8.75" style="497"/>
    <col min="4609" max="4609" width="5" style="497" customWidth="1"/>
    <col min="4610" max="4610" width="40.875" style="497" customWidth="1"/>
    <col min="4611" max="4611" width="10.125" style="497" customWidth="1"/>
    <col min="4612" max="4612" width="10.75" style="497" customWidth="1"/>
    <col min="4613" max="4613" width="10" style="497" customWidth="1"/>
    <col min="4614" max="4614" width="9.625" style="497" bestFit="1" customWidth="1"/>
    <col min="4615" max="4615" width="10.75" style="497" customWidth="1"/>
    <col min="4616" max="4616" width="12.25" style="497" customWidth="1"/>
    <col min="4617" max="4617" width="11.625" style="497" customWidth="1"/>
    <col min="4618" max="4618" width="9.75" style="497" customWidth="1"/>
    <col min="4619" max="4619" width="9.875" style="497" customWidth="1"/>
    <col min="4620" max="4620" width="12" style="497" customWidth="1"/>
    <col min="4621" max="4621" width="9.875" style="497" customWidth="1"/>
    <col min="4622" max="4623" width="10.375" style="497" customWidth="1"/>
    <col min="4624" max="4624" width="16.25" style="497" customWidth="1"/>
    <col min="4625" max="4625" width="9.875" style="497" bestFit="1" customWidth="1"/>
    <col min="4626" max="4864" width="8.75" style="497"/>
    <col min="4865" max="4865" width="5" style="497" customWidth="1"/>
    <col min="4866" max="4866" width="40.875" style="497" customWidth="1"/>
    <col min="4867" max="4867" width="10.125" style="497" customWidth="1"/>
    <col min="4868" max="4868" width="10.75" style="497" customWidth="1"/>
    <col min="4869" max="4869" width="10" style="497" customWidth="1"/>
    <col min="4870" max="4870" width="9.625" style="497" bestFit="1" customWidth="1"/>
    <col min="4871" max="4871" width="10.75" style="497" customWidth="1"/>
    <col min="4872" max="4872" width="12.25" style="497" customWidth="1"/>
    <col min="4873" max="4873" width="11.625" style="497" customWidth="1"/>
    <col min="4874" max="4874" width="9.75" style="497" customWidth="1"/>
    <col min="4875" max="4875" width="9.875" style="497" customWidth="1"/>
    <col min="4876" max="4876" width="12" style="497" customWidth="1"/>
    <col min="4877" max="4877" width="9.875" style="497" customWidth="1"/>
    <col min="4878" max="4879" width="10.375" style="497" customWidth="1"/>
    <col min="4880" max="4880" width="16.25" style="497" customWidth="1"/>
    <col min="4881" max="4881" width="9.875" style="497" bestFit="1" customWidth="1"/>
    <col min="4882" max="5120" width="8.75" style="497"/>
    <col min="5121" max="5121" width="5" style="497" customWidth="1"/>
    <col min="5122" max="5122" width="40.875" style="497" customWidth="1"/>
    <col min="5123" max="5123" width="10.125" style="497" customWidth="1"/>
    <col min="5124" max="5124" width="10.75" style="497" customWidth="1"/>
    <col min="5125" max="5125" width="10" style="497" customWidth="1"/>
    <col min="5126" max="5126" width="9.625" style="497" bestFit="1" customWidth="1"/>
    <col min="5127" max="5127" width="10.75" style="497" customWidth="1"/>
    <col min="5128" max="5128" width="12.25" style="497" customWidth="1"/>
    <col min="5129" max="5129" width="11.625" style="497" customWidth="1"/>
    <col min="5130" max="5130" width="9.75" style="497" customWidth="1"/>
    <col min="5131" max="5131" width="9.875" style="497" customWidth="1"/>
    <col min="5132" max="5132" width="12" style="497" customWidth="1"/>
    <col min="5133" max="5133" width="9.875" style="497" customWidth="1"/>
    <col min="5134" max="5135" width="10.375" style="497" customWidth="1"/>
    <col min="5136" max="5136" width="16.25" style="497" customWidth="1"/>
    <col min="5137" max="5137" width="9.875" style="497" bestFit="1" customWidth="1"/>
    <col min="5138" max="5376" width="8.75" style="497"/>
    <col min="5377" max="5377" width="5" style="497" customWidth="1"/>
    <col min="5378" max="5378" width="40.875" style="497" customWidth="1"/>
    <col min="5379" max="5379" width="10.125" style="497" customWidth="1"/>
    <col min="5380" max="5380" width="10.75" style="497" customWidth="1"/>
    <col min="5381" max="5381" width="10" style="497" customWidth="1"/>
    <col min="5382" max="5382" width="9.625" style="497" bestFit="1" customWidth="1"/>
    <col min="5383" max="5383" width="10.75" style="497" customWidth="1"/>
    <col min="5384" max="5384" width="12.25" style="497" customWidth="1"/>
    <col min="5385" max="5385" width="11.625" style="497" customWidth="1"/>
    <col min="5386" max="5386" width="9.75" style="497" customWidth="1"/>
    <col min="5387" max="5387" width="9.875" style="497" customWidth="1"/>
    <col min="5388" max="5388" width="12" style="497" customWidth="1"/>
    <col min="5389" max="5389" width="9.875" style="497" customWidth="1"/>
    <col min="5390" max="5391" width="10.375" style="497" customWidth="1"/>
    <col min="5392" max="5392" width="16.25" style="497" customWidth="1"/>
    <col min="5393" max="5393" width="9.875" style="497" bestFit="1" customWidth="1"/>
    <col min="5394" max="5632" width="8.75" style="497"/>
    <col min="5633" max="5633" width="5" style="497" customWidth="1"/>
    <col min="5634" max="5634" width="40.875" style="497" customWidth="1"/>
    <col min="5635" max="5635" width="10.125" style="497" customWidth="1"/>
    <col min="5636" max="5636" width="10.75" style="497" customWidth="1"/>
    <col min="5637" max="5637" width="10" style="497" customWidth="1"/>
    <col min="5638" max="5638" width="9.625" style="497" bestFit="1" customWidth="1"/>
    <col min="5639" max="5639" width="10.75" style="497" customWidth="1"/>
    <col min="5640" max="5640" width="12.25" style="497" customWidth="1"/>
    <col min="5641" max="5641" width="11.625" style="497" customWidth="1"/>
    <col min="5642" max="5642" width="9.75" style="497" customWidth="1"/>
    <col min="5643" max="5643" width="9.875" style="497" customWidth="1"/>
    <col min="5644" max="5644" width="12" style="497" customWidth="1"/>
    <col min="5645" max="5645" width="9.875" style="497" customWidth="1"/>
    <col min="5646" max="5647" width="10.375" style="497" customWidth="1"/>
    <col min="5648" max="5648" width="16.25" style="497" customWidth="1"/>
    <col min="5649" max="5649" width="9.875" style="497" bestFit="1" customWidth="1"/>
    <col min="5650" max="5888" width="8.75" style="497"/>
    <col min="5889" max="5889" width="5" style="497" customWidth="1"/>
    <col min="5890" max="5890" width="40.875" style="497" customWidth="1"/>
    <col min="5891" max="5891" width="10.125" style="497" customWidth="1"/>
    <col min="5892" max="5892" width="10.75" style="497" customWidth="1"/>
    <col min="5893" max="5893" width="10" style="497" customWidth="1"/>
    <col min="5894" max="5894" width="9.625" style="497" bestFit="1" customWidth="1"/>
    <col min="5895" max="5895" width="10.75" style="497" customWidth="1"/>
    <col min="5896" max="5896" width="12.25" style="497" customWidth="1"/>
    <col min="5897" max="5897" width="11.625" style="497" customWidth="1"/>
    <col min="5898" max="5898" width="9.75" style="497" customWidth="1"/>
    <col min="5899" max="5899" width="9.875" style="497" customWidth="1"/>
    <col min="5900" max="5900" width="12" style="497" customWidth="1"/>
    <col min="5901" max="5901" width="9.875" style="497" customWidth="1"/>
    <col min="5902" max="5903" width="10.375" style="497" customWidth="1"/>
    <col min="5904" max="5904" width="16.25" style="497" customWidth="1"/>
    <col min="5905" max="5905" width="9.875" style="497" bestFit="1" customWidth="1"/>
    <col min="5906" max="6144" width="8.75" style="497"/>
    <col min="6145" max="6145" width="5" style="497" customWidth="1"/>
    <col min="6146" max="6146" width="40.875" style="497" customWidth="1"/>
    <col min="6147" max="6147" width="10.125" style="497" customWidth="1"/>
    <col min="6148" max="6148" width="10.75" style="497" customWidth="1"/>
    <col min="6149" max="6149" width="10" style="497" customWidth="1"/>
    <col min="6150" max="6150" width="9.625" style="497" bestFit="1" customWidth="1"/>
    <col min="6151" max="6151" width="10.75" style="497" customWidth="1"/>
    <col min="6152" max="6152" width="12.25" style="497" customWidth="1"/>
    <col min="6153" max="6153" width="11.625" style="497" customWidth="1"/>
    <col min="6154" max="6154" width="9.75" style="497" customWidth="1"/>
    <col min="6155" max="6155" width="9.875" style="497" customWidth="1"/>
    <col min="6156" max="6156" width="12" style="497" customWidth="1"/>
    <col min="6157" max="6157" width="9.875" style="497" customWidth="1"/>
    <col min="6158" max="6159" width="10.375" style="497" customWidth="1"/>
    <col min="6160" max="6160" width="16.25" style="497" customWidth="1"/>
    <col min="6161" max="6161" width="9.875" style="497" bestFit="1" customWidth="1"/>
    <col min="6162" max="6400" width="8.75" style="497"/>
    <col min="6401" max="6401" width="5" style="497" customWidth="1"/>
    <col min="6402" max="6402" width="40.875" style="497" customWidth="1"/>
    <col min="6403" max="6403" width="10.125" style="497" customWidth="1"/>
    <col min="6404" max="6404" width="10.75" style="497" customWidth="1"/>
    <col min="6405" max="6405" width="10" style="497" customWidth="1"/>
    <col min="6406" max="6406" width="9.625" style="497" bestFit="1" customWidth="1"/>
    <col min="6407" max="6407" width="10.75" style="497" customWidth="1"/>
    <col min="6408" max="6408" width="12.25" style="497" customWidth="1"/>
    <col min="6409" max="6409" width="11.625" style="497" customWidth="1"/>
    <col min="6410" max="6410" width="9.75" style="497" customWidth="1"/>
    <col min="6411" max="6411" width="9.875" style="497" customWidth="1"/>
    <col min="6412" max="6412" width="12" style="497" customWidth="1"/>
    <col min="6413" max="6413" width="9.875" style="497" customWidth="1"/>
    <col min="6414" max="6415" width="10.375" style="497" customWidth="1"/>
    <col min="6416" max="6416" width="16.25" style="497" customWidth="1"/>
    <col min="6417" max="6417" width="9.875" style="497" bestFit="1" customWidth="1"/>
    <col min="6418" max="6656" width="8.75" style="497"/>
    <col min="6657" max="6657" width="5" style="497" customWidth="1"/>
    <col min="6658" max="6658" width="40.875" style="497" customWidth="1"/>
    <col min="6659" max="6659" width="10.125" style="497" customWidth="1"/>
    <col min="6660" max="6660" width="10.75" style="497" customWidth="1"/>
    <col min="6661" max="6661" width="10" style="497" customWidth="1"/>
    <col min="6662" max="6662" width="9.625" style="497" bestFit="1" customWidth="1"/>
    <col min="6663" max="6663" width="10.75" style="497" customWidth="1"/>
    <col min="6664" max="6664" width="12.25" style="497" customWidth="1"/>
    <col min="6665" max="6665" width="11.625" style="497" customWidth="1"/>
    <col min="6666" max="6666" width="9.75" style="497" customWidth="1"/>
    <col min="6667" max="6667" width="9.875" style="497" customWidth="1"/>
    <col min="6668" max="6668" width="12" style="497" customWidth="1"/>
    <col min="6669" max="6669" width="9.875" style="497" customWidth="1"/>
    <col min="6670" max="6671" width="10.375" style="497" customWidth="1"/>
    <col min="6672" max="6672" width="16.25" style="497" customWidth="1"/>
    <col min="6673" max="6673" width="9.875" style="497" bestFit="1" customWidth="1"/>
    <col min="6674" max="6912" width="8.75" style="497"/>
    <col min="6913" max="6913" width="5" style="497" customWidth="1"/>
    <col min="6914" max="6914" width="40.875" style="497" customWidth="1"/>
    <col min="6915" max="6915" width="10.125" style="497" customWidth="1"/>
    <col min="6916" max="6916" width="10.75" style="497" customWidth="1"/>
    <col min="6917" max="6917" width="10" style="497" customWidth="1"/>
    <col min="6918" max="6918" width="9.625" style="497" bestFit="1" customWidth="1"/>
    <col min="6919" max="6919" width="10.75" style="497" customWidth="1"/>
    <col min="6920" max="6920" width="12.25" style="497" customWidth="1"/>
    <col min="6921" max="6921" width="11.625" style="497" customWidth="1"/>
    <col min="6922" max="6922" width="9.75" style="497" customWidth="1"/>
    <col min="6923" max="6923" width="9.875" style="497" customWidth="1"/>
    <col min="6924" max="6924" width="12" style="497" customWidth="1"/>
    <col min="6925" max="6925" width="9.875" style="497" customWidth="1"/>
    <col min="6926" max="6927" width="10.375" style="497" customWidth="1"/>
    <col min="6928" max="6928" width="16.25" style="497" customWidth="1"/>
    <col min="6929" max="6929" width="9.875" style="497" bestFit="1" customWidth="1"/>
    <col min="6930" max="7168" width="8.75" style="497"/>
    <col min="7169" max="7169" width="5" style="497" customWidth="1"/>
    <col min="7170" max="7170" width="40.875" style="497" customWidth="1"/>
    <col min="7171" max="7171" width="10.125" style="497" customWidth="1"/>
    <col min="7172" max="7172" width="10.75" style="497" customWidth="1"/>
    <col min="7173" max="7173" width="10" style="497" customWidth="1"/>
    <col min="7174" max="7174" width="9.625" style="497" bestFit="1" customWidth="1"/>
    <col min="7175" max="7175" width="10.75" style="497" customWidth="1"/>
    <col min="7176" max="7176" width="12.25" style="497" customWidth="1"/>
    <col min="7177" max="7177" width="11.625" style="497" customWidth="1"/>
    <col min="7178" max="7178" width="9.75" style="497" customWidth="1"/>
    <col min="7179" max="7179" width="9.875" style="497" customWidth="1"/>
    <col min="7180" max="7180" width="12" style="497" customWidth="1"/>
    <col min="7181" max="7181" width="9.875" style="497" customWidth="1"/>
    <col min="7182" max="7183" width="10.375" style="497" customWidth="1"/>
    <col min="7184" max="7184" width="16.25" style="497" customWidth="1"/>
    <col min="7185" max="7185" width="9.875" style="497" bestFit="1" customWidth="1"/>
    <col min="7186" max="7424" width="8.75" style="497"/>
    <col min="7425" max="7425" width="5" style="497" customWidth="1"/>
    <col min="7426" max="7426" width="40.875" style="497" customWidth="1"/>
    <col min="7427" max="7427" width="10.125" style="497" customWidth="1"/>
    <col min="7428" max="7428" width="10.75" style="497" customWidth="1"/>
    <col min="7429" max="7429" width="10" style="497" customWidth="1"/>
    <col min="7430" max="7430" width="9.625" style="497" bestFit="1" customWidth="1"/>
    <col min="7431" max="7431" width="10.75" style="497" customWidth="1"/>
    <col min="7432" max="7432" width="12.25" style="497" customWidth="1"/>
    <col min="7433" max="7433" width="11.625" style="497" customWidth="1"/>
    <col min="7434" max="7434" width="9.75" style="497" customWidth="1"/>
    <col min="7435" max="7435" width="9.875" style="497" customWidth="1"/>
    <col min="7436" max="7436" width="12" style="497" customWidth="1"/>
    <col min="7437" max="7437" width="9.875" style="497" customWidth="1"/>
    <col min="7438" max="7439" width="10.375" style="497" customWidth="1"/>
    <col min="7440" max="7440" width="16.25" style="497" customWidth="1"/>
    <col min="7441" max="7441" width="9.875" style="497" bestFit="1" customWidth="1"/>
    <col min="7442" max="7680" width="8.75" style="497"/>
    <col min="7681" max="7681" width="5" style="497" customWidth="1"/>
    <col min="7682" max="7682" width="40.875" style="497" customWidth="1"/>
    <col min="7683" max="7683" width="10.125" style="497" customWidth="1"/>
    <col min="7684" max="7684" width="10.75" style="497" customWidth="1"/>
    <col min="7685" max="7685" width="10" style="497" customWidth="1"/>
    <col min="7686" max="7686" width="9.625" style="497" bestFit="1" customWidth="1"/>
    <col min="7687" max="7687" width="10.75" style="497" customWidth="1"/>
    <col min="7688" max="7688" width="12.25" style="497" customWidth="1"/>
    <col min="7689" max="7689" width="11.625" style="497" customWidth="1"/>
    <col min="7690" max="7690" width="9.75" style="497" customWidth="1"/>
    <col min="7691" max="7691" width="9.875" style="497" customWidth="1"/>
    <col min="7692" max="7692" width="12" style="497" customWidth="1"/>
    <col min="7693" max="7693" width="9.875" style="497" customWidth="1"/>
    <col min="7694" max="7695" width="10.375" style="497" customWidth="1"/>
    <col min="7696" max="7696" width="16.25" style="497" customWidth="1"/>
    <col min="7697" max="7697" width="9.875" style="497" bestFit="1" customWidth="1"/>
    <col min="7698" max="7936" width="8.75" style="497"/>
    <col min="7937" max="7937" width="5" style="497" customWidth="1"/>
    <col min="7938" max="7938" width="40.875" style="497" customWidth="1"/>
    <col min="7939" max="7939" width="10.125" style="497" customWidth="1"/>
    <col min="7940" max="7940" width="10.75" style="497" customWidth="1"/>
    <col min="7941" max="7941" width="10" style="497" customWidth="1"/>
    <col min="7942" max="7942" width="9.625" style="497" bestFit="1" customWidth="1"/>
    <col min="7943" max="7943" width="10.75" style="497" customWidth="1"/>
    <col min="7944" max="7944" width="12.25" style="497" customWidth="1"/>
    <col min="7945" max="7945" width="11.625" style="497" customWidth="1"/>
    <col min="7946" max="7946" width="9.75" style="497" customWidth="1"/>
    <col min="7947" max="7947" width="9.875" style="497" customWidth="1"/>
    <col min="7948" max="7948" width="12" style="497" customWidth="1"/>
    <col min="7949" max="7949" width="9.875" style="497" customWidth="1"/>
    <col min="7950" max="7951" width="10.375" style="497" customWidth="1"/>
    <col min="7952" max="7952" width="16.25" style="497" customWidth="1"/>
    <col min="7953" max="7953" width="9.875" style="497" bestFit="1" customWidth="1"/>
    <col min="7954" max="8192" width="8.75" style="497"/>
    <col min="8193" max="8193" width="5" style="497" customWidth="1"/>
    <col min="8194" max="8194" width="40.875" style="497" customWidth="1"/>
    <col min="8195" max="8195" width="10.125" style="497" customWidth="1"/>
    <col min="8196" max="8196" width="10.75" style="497" customWidth="1"/>
    <col min="8197" max="8197" width="10" style="497" customWidth="1"/>
    <col min="8198" max="8198" width="9.625" style="497" bestFit="1" customWidth="1"/>
    <col min="8199" max="8199" width="10.75" style="497" customWidth="1"/>
    <col min="8200" max="8200" width="12.25" style="497" customWidth="1"/>
    <col min="8201" max="8201" width="11.625" style="497" customWidth="1"/>
    <col min="8202" max="8202" width="9.75" style="497" customWidth="1"/>
    <col min="8203" max="8203" width="9.875" style="497" customWidth="1"/>
    <col min="8204" max="8204" width="12" style="497" customWidth="1"/>
    <col min="8205" max="8205" width="9.875" style="497" customWidth="1"/>
    <col min="8206" max="8207" width="10.375" style="497" customWidth="1"/>
    <col min="8208" max="8208" width="16.25" style="497" customWidth="1"/>
    <col min="8209" max="8209" width="9.875" style="497" bestFit="1" customWidth="1"/>
    <col min="8210" max="8448" width="8.75" style="497"/>
    <col min="8449" max="8449" width="5" style="497" customWidth="1"/>
    <col min="8450" max="8450" width="40.875" style="497" customWidth="1"/>
    <col min="8451" max="8451" width="10.125" style="497" customWidth="1"/>
    <col min="8452" max="8452" width="10.75" style="497" customWidth="1"/>
    <col min="8453" max="8453" width="10" style="497" customWidth="1"/>
    <col min="8454" max="8454" width="9.625" style="497" bestFit="1" customWidth="1"/>
    <col min="8455" max="8455" width="10.75" style="497" customWidth="1"/>
    <col min="8456" max="8456" width="12.25" style="497" customWidth="1"/>
    <col min="8457" max="8457" width="11.625" style="497" customWidth="1"/>
    <col min="8458" max="8458" width="9.75" style="497" customWidth="1"/>
    <col min="8459" max="8459" width="9.875" style="497" customWidth="1"/>
    <col min="8460" max="8460" width="12" style="497" customWidth="1"/>
    <col min="8461" max="8461" width="9.875" style="497" customWidth="1"/>
    <col min="8462" max="8463" width="10.375" style="497" customWidth="1"/>
    <col min="8464" max="8464" width="16.25" style="497" customWidth="1"/>
    <col min="8465" max="8465" width="9.875" style="497" bestFit="1" customWidth="1"/>
    <col min="8466" max="8704" width="8.75" style="497"/>
    <col min="8705" max="8705" width="5" style="497" customWidth="1"/>
    <col min="8706" max="8706" width="40.875" style="497" customWidth="1"/>
    <col min="8707" max="8707" width="10.125" style="497" customWidth="1"/>
    <col min="8708" max="8708" width="10.75" style="497" customWidth="1"/>
    <col min="8709" max="8709" width="10" style="497" customWidth="1"/>
    <col min="8710" max="8710" width="9.625" style="497" bestFit="1" customWidth="1"/>
    <col min="8711" max="8711" width="10.75" style="497" customWidth="1"/>
    <col min="8712" max="8712" width="12.25" style="497" customWidth="1"/>
    <col min="8713" max="8713" width="11.625" style="497" customWidth="1"/>
    <col min="8714" max="8714" width="9.75" style="497" customWidth="1"/>
    <col min="8715" max="8715" width="9.875" style="497" customWidth="1"/>
    <col min="8716" max="8716" width="12" style="497" customWidth="1"/>
    <col min="8717" max="8717" width="9.875" style="497" customWidth="1"/>
    <col min="8718" max="8719" width="10.375" style="497" customWidth="1"/>
    <col min="8720" max="8720" width="16.25" style="497" customWidth="1"/>
    <col min="8721" max="8721" width="9.875" style="497" bestFit="1" customWidth="1"/>
    <col min="8722" max="8960" width="8.75" style="497"/>
    <col min="8961" max="8961" width="5" style="497" customWidth="1"/>
    <col min="8962" max="8962" width="40.875" style="497" customWidth="1"/>
    <col min="8963" max="8963" width="10.125" style="497" customWidth="1"/>
    <col min="8964" max="8964" width="10.75" style="497" customWidth="1"/>
    <col min="8965" max="8965" width="10" style="497" customWidth="1"/>
    <col min="8966" max="8966" width="9.625" style="497" bestFit="1" customWidth="1"/>
    <col min="8967" max="8967" width="10.75" style="497" customWidth="1"/>
    <col min="8968" max="8968" width="12.25" style="497" customWidth="1"/>
    <col min="8969" max="8969" width="11.625" style="497" customWidth="1"/>
    <col min="8970" max="8970" width="9.75" style="497" customWidth="1"/>
    <col min="8971" max="8971" width="9.875" style="497" customWidth="1"/>
    <col min="8972" max="8972" width="12" style="497" customWidth="1"/>
    <col min="8973" max="8973" width="9.875" style="497" customWidth="1"/>
    <col min="8974" max="8975" width="10.375" style="497" customWidth="1"/>
    <col min="8976" max="8976" width="16.25" style="497" customWidth="1"/>
    <col min="8977" max="8977" width="9.875" style="497" bestFit="1" customWidth="1"/>
    <col min="8978" max="9216" width="8.75" style="497"/>
    <col min="9217" max="9217" width="5" style="497" customWidth="1"/>
    <col min="9218" max="9218" width="40.875" style="497" customWidth="1"/>
    <col min="9219" max="9219" width="10.125" style="497" customWidth="1"/>
    <col min="9220" max="9220" width="10.75" style="497" customWidth="1"/>
    <col min="9221" max="9221" width="10" style="497" customWidth="1"/>
    <col min="9222" max="9222" width="9.625" style="497" bestFit="1" customWidth="1"/>
    <col min="9223" max="9223" width="10.75" style="497" customWidth="1"/>
    <col min="9224" max="9224" width="12.25" style="497" customWidth="1"/>
    <col min="9225" max="9225" width="11.625" style="497" customWidth="1"/>
    <col min="9226" max="9226" width="9.75" style="497" customWidth="1"/>
    <col min="9227" max="9227" width="9.875" style="497" customWidth="1"/>
    <col min="9228" max="9228" width="12" style="497" customWidth="1"/>
    <col min="9229" max="9229" width="9.875" style="497" customWidth="1"/>
    <col min="9230" max="9231" width="10.375" style="497" customWidth="1"/>
    <col min="9232" max="9232" width="16.25" style="497" customWidth="1"/>
    <col min="9233" max="9233" width="9.875" style="497" bestFit="1" customWidth="1"/>
    <col min="9234" max="9472" width="8.75" style="497"/>
    <col min="9473" max="9473" width="5" style="497" customWidth="1"/>
    <col min="9474" max="9474" width="40.875" style="497" customWidth="1"/>
    <col min="9475" max="9475" width="10.125" style="497" customWidth="1"/>
    <col min="9476" max="9476" width="10.75" style="497" customWidth="1"/>
    <col min="9477" max="9477" width="10" style="497" customWidth="1"/>
    <col min="9478" max="9478" width="9.625" style="497" bestFit="1" customWidth="1"/>
    <col min="9479" max="9479" width="10.75" style="497" customWidth="1"/>
    <col min="9480" max="9480" width="12.25" style="497" customWidth="1"/>
    <col min="9481" max="9481" width="11.625" style="497" customWidth="1"/>
    <col min="9482" max="9482" width="9.75" style="497" customWidth="1"/>
    <col min="9483" max="9483" width="9.875" style="497" customWidth="1"/>
    <col min="9484" max="9484" width="12" style="497" customWidth="1"/>
    <col min="9485" max="9485" width="9.875" style="497" customWidth="1"/>
    <col min="9486" max="9487" width="10.375" style="497" customWidth="1"/>
    <col min="9488" max="9488" width="16.25" style="497" customWidth="1"/>
    <col min="9489" max="9489" width="9.875" style="497" bestFit="1" customWidth="1"/>
    <col min="9490" max="9728" width="8.75" style="497"/>
    <col min="9729" max="9729" width="5" style="497" customWidth="1"/>
    <col min="9730" max="9730" width="40.875" style="497" customWidth="1"/>
    <col min="9731" max="9731" width="10.125" style="497" customWidth="1"/>
    <col min="9732" max="9732" width="10.75" style="497" customWidth="1"/>
    <col min="9733" max="9733" width="10" style="497" customWidth="1"/>
    <col min="9734" max="9734" width="9.625" style="497" bestFit="1" customWidth="1"/>
    <col min="9735" max="9735" width="10.75" style="497" customWidth="1"/>
    <col min="9736" max="9736" width="12.25" style="497" customWidth="1"/>
    <col min="9737" max="9737" width="11.625" style="497" customWidth="1"/>
    <col min="9738" max="9738" width="9.75" style="497" customWidth="1"/>
    <col min="9739" max="9739" width="9.875" style="497" customWidth="1"/>
    <col min="9740" max="9740" width="12" style="497" customWidth="1"/>
    <col min="9741" max="9741" width="9.875" style="497" customWidth="1"/>
    <col min="9742" max="9743" width="10.375" style="497" customWidth="1"/>
    <col min="9744" max="9744" width="16.25" style="497" customWidth="1"/>
    <col min="9745" max="9745" width="9.875" style="497" bestFit="1" customWidth="1"/>
    <col min="9746" max="9984" width="8.75" style="497"/>
    <col min="9985" max="9985" width="5" style="497" customWidth="1"/>
    <col min="9986" max="9986" width="40.875" style="497" customWidth="1"/>
    <col min="9987" max="9987" width="10.125" style="497" customWidth="1"/>
    <col min="9988" max="9988" width="10.75" style="497" customWidth="1"/>
    <col min="9989" max="9989" width="10" style="497" customWidth="1"/>
    <col min="9990" max="9990" width="9.625" style="497" bestFit="1" customWidth="1"/>
    <col min="9991" max="9991" width="10.75" style="497" customWidth="1"/>
    <col min="9992" max="9992" width="12.25" style="497" customWidth="1"/>
    <col min="9993" max="9993" width="11.625" style="497" customWidth="1"/>
    <col min="9994" max="9994" width="9.75" style="497" customWidth="1"/>
    <col min="9995" max="9995" width="9.875" style="497" customWidth="1"/>
    <col min="9996" max="9996" width="12" style="497" customWidth="1"/>
    <col min="9997" max="9997" width="9.875" style="497" customWidth="1"/>
    <col min="9998" max="9999" width="10.375" style="497" customWidth="1"/>
    <col min="10000" max="10000" width="16.25" style="497" customWidth="1"/>
    <col min="10001" max="10001" width="9.875" style="497" bestFit="1" customWidth="1"/>
    <col min="10002" max="10240" width="8.75" style="497"/>
    <col min="10241" max="10241" width="5" style="497" customWidth="1"/>
    <col min="10242" max="10242" width="40.875" style="497" customWidth="1"/>
    <col min="10243" max="10243" width="10.125" style="497" customWidth="1"/>
    <col min="10244" max="10244" width="10.75" style="497" customWidth="1"/>
    <col min="10245" max="10245" width="10" style="497" customWidth="1"/>
    <col min="10246" max="10246" width="9.625" style="497" bestFit="1" customWidth="1"/>
    <col min="10247" max="10247" width="10.75" style="497" customWidth="1"/>
    <col min="10248" max="10248" width="12.25" style="497" customWidth="1"/>
    <col min="10249" max="10249" width="11.625" style="497" customWidth="1"/>
    <col min="10250" max="10250" width="9.75" style="497" customWidth="1"/>
    <col min="10251" max="10251" width="9.875" style="497" customWidth="1"/>
    <col min="10252" max="10252" width="12" style="497" customWidth="1"/>
    <col min="10253" max="10253" width="9.875" style="497" customWidth="1"/>
    <col min="10254" max="10255" width="10.375" style="497" customWidth="1"/>
    <col min="10256" max="10256" width="16.25" style="497" customWidth="1"/>
    <col min="10257" max="10257" width="9.875" style="497" bestFit="1" customWidth="1"/>
    <col min="10258" max="10496" width="8.75" style="497"/>
    <col min="10497" max="10497" width="5" style="497" customWidth="1"/>
    <col min="10498" max="10498" width="40.875" style="497" customWidth="1"/>
    <col min="10499" max="10499" width="10.125" style="497" customWidth="1"/>
    <col min="10500" max="10500" width="10.75" style="497" customWidth="1"/>
    <col min="10501" max="10501" width="10" style="497" customWidth="1"/>
    <col min="10502" max="10502" width="9.625" style="497" bestFit="1" customWidth="1"/>
    <col min="10503" max="10503" width="10.75" style="497" customWidth="1"/>
    <col min="10504" max="10504" width="12.25" style="497" customWidth="1"/>
    <col min="10505" max="10505" width="11.625" style="497" customWidth="1"/>
    <col min="10506" max="10506" width="9.75" style="497" customWidth="1"/>
    <col min="10507" max="10507" width="9.875" style="497" customWidth="1"/>
    <col min="10508" max="10508" width="12" style="497" customWidth="1"/>
    <col min="10509" max="10509" width="9.875" style="497" customWidth="1"/>
    <col min="10510" max="10511" width="10.375" style="497" customWidth="1"/>
    <col min="10512" max="10512" width="16.25" style="497" customWidth="1"/>
    <col min="10513" max="10513" width="9.875" style="497" bestFit="1" customWidth="1"/>
    <col min="10514" max="10752" width="8.75" style="497"/>
    <col min="10753" max="10753" width="5" style="497" customWidth="1"/>
    <col min="10754" max="10754" width="40.875" style="497" customWidth="1"/>
    <col min="10755" max="10755" width="10.125" style="497" customWidth="1"/>
    <col min="10756" max="10756" width="10.75" style="497" customWidth="1"/>
    <col min="10757" max="10757" width="10" style="497" customWidth="1"/>
    <col min="10758" max="10758" width="9.625" style="497" bestFit="1" customWidth="1"/>
    <col min="10759" max="10759" width="10.75" style="497" customWidth="1"/>
    <col min="10760" max="10760" width="12.25" style="497" customWidth="1"/>
    <col min="10761" max="10761" width="11.625" style="497" customWidth="1"/>
    <col min="10762" max="10762" width="9.75" style="497" customWidth="1"/>
    <col min="10763" max="10763" width="9.875" style="497" customWidth="1"/>
    <col min="10764" max="10764" width="12" style="497" customWidth="1"/>
    <col min="10765" max="10765" width="9.875" style="497" customWidth="1"/>
    <col min="10766" max="10767" width="10.375" style="497" customWidth="1"/>
    <col min="10768" max="10768" width="16.25" style="497" customWidth="1"/>
    <col min="10769" max="10769" width="9.875" style="497" bestFit="1" customWidth="1"/>
    <col min="10770" max="11008" width="8.75" style="497"/>
    <col min="11009" max="11009" width="5" style="497" customWidth="1"/>
    <col min="11010" max="11010" width="40.875" style="497" customWidth="1"/>
    <col min="11011" max="11011" width="10.125" style="497" customWidth="1"/>
    <col min="11012" max="11012" width="10.75" style="497" customWidth="1"/>
    <col min="11013" max="11013" width="10" style="497" customWidth="1"/>
    <col min="11014" max="11014" width="9.625" style="497" bestFit="1" customWidth="1"/>
    <col min="11015" max="11015" width="10.75" style="497" customWidth="1"/>
    <col min="11016" max="11016" width="12.25" style="497" customWidth="1"/>
    <col min="11017" max="11017" width="11.625" style="497" customWidth="1"/>
    <col min="11018" max="11018" width="9.75" style="497" customWidth="1"/>
    <col min="11019" max="11019" width="9.875" style="497" customWidth="1"/>
    <col min="11020" max="11020" width="12" style="497" customWidth="1"/>
    <col min="11021" max="11021" width="9.875" style="497" customWidth="1"/>
    <col min="11022" max="11023" width="10.375" style="497" customWidth="1"/>
    <col min="11024" max="11024" width="16.25" style="497" customWidth="1"/>
    <col min="11025" max="11025" width="9.875" style="497" bestFit="1" customWidth="1"/>
    <col min="11026" max="11264" width="8.75" style="497"/>
    <col min="11265" max="11265" width="5" style="497" customWidth="1"/>
    <col min="11266" max="11266" width="40.875" style="497" customWidth="1"/>
    <col min="11267" max="11267" width="10.125" style="497" customWidth="1"/>
    <col min="11268" max="11268" width="10.75" style="497" customWidth="1"/>
    <col min="11269" max="11269" width="10" style="497" customWidth="1"/>
    <col min="11270" max="11270" width="9.625" style="497" bestFit="1" customWidth="1"/>
    <col min="11271" max="11271" width="10.75" style="497" customWidth="1"/>
    <col min="11272" max="11272" width="12.25" style="497" customWidth="1"/>
    <col min="11273" max="11273" width="11.625" style="497" customWidth="1"/>
    <col min="11274" max="11274" width="9.75" style="497" customWidth="1"/>
    <col min="11275" max="11275" width="9.875" style="497" customWidth="1"/>
    <col min="11276" max="11276" width="12" style="497" customWidth="1"/>
    <col min="11277" max="11277" width="9.875" style="497" customWidth="1"/>
    <col min="11278" max="11279" width="10.375" style="497" customWidth="1"/>
    <col min="11280" max="11280" width="16.25" style="497" customWidth="1"/>
    <col min="11281" max="11281" width="9.875" style="497" bestFit="1" customWidth="1"/>
    <col min="11282" max="11520" width="8.75" style="497"/>
    <col min="11521" max="11521" width="5" style="497" customWidth="1"/>
    <col min="11522" max="11522" width="40.875" style="497" customWidth="1"/>
    <col min="11523" max="11523" width="10.125" style="497" customWidth="1"/>
    <col min="11524" max="11524" width="10.75" style="497" customWidth="1"/>
    <col min="11525" max="11525" width="10" style="497" customWidth="1"/>
    <col min="11526" max="11526" width="9.625" style="497" bestFit="1" customWidth="1"/>
    <col min="11527" max="11527" width="10.75" style="497" customWidth="1"/>
    <col min="11528" max="11528" width="12.25" style="497" customWidth="1"/>
    <col min="11529" max="11529" width="11.625" style="497" customWidth="1"/>
    <col min="11530" max="11530" width="9.75" style="497" customWidth="1"/>
    <col min="11531" max="11531" width="9.875" style="497" customWidth="1"/>
    <col min="11532" max="11532" width="12" style="497" customWidth="1"/>
    <col min="11533" max="11533" width="9.875" style="497" customWidth="1"/>
    <col min="11534" max="11535" width="10.375" style="497" customWidth="1"/>
    <col min="11536" max="11536" width="16.25" style="497" customWidth="1"/>
    <col min="11537" max="11537" width="9.875" style="497" bestFit="1" customWidth="1"/>
    <col min="11538" max="11776" width="8.75" style="497"/>
    <col min="11777" max="11777" width="5" style="497" customWidth="1"/>
    <col min="11778" max="11778" width="40.875" style="497" customWidth="1"/>
    <col min="11779" max="11779" width="10.125" style="497" customWidth="1"/>
    <col min="11780" max="11780" width="10.75" style="497" customWidth="1"/>
    <col min="11781" max="11781" width="10" style="497" customWidth="1"/>
    <col min="11782" max="11782" width="9.625" style="497" bestFit="1" customWidth="1"/>
    <col min="11783" max="11783" width="10.75" style="497" customWidth="1"/>
    <col min="11784" max="11784" width="12.25" style="497" customWidth="1"/>
    <col min="11785" max="11785" width="11.625" style="497" customWidth="1"/>
    <col min="11786" max="11786" width="9.75" style="497" customWidth="1"/>
    <col min="11787" max="11787" width="9.875" style="497" customWidth="1"/>
    <col min="11788" max="11788" width="12" style="497" customWidth="1"/>
    <col min="11789" max="11789" width="9.875" style="497" customWidth="1"/>
    <col min="11790" max="11791" width="10.375" style="497" customWidth="1"/>
    <col min="11792" max="11792" width="16.25" style="497" customWidth="1"/>
    <col min="11793" max="11793" width="9.875" style="497" bestFit="1" customWidth="1"/>
    <col min="11794" max="12032" width="8.75" style="497"/>
    <col min="12033" max="12033" width="5" style="497" customWidth="1"/>
    <col min="12034" max="12034" width="40.875" style="497" customWidth="1"/>
    <col min="12035" max="12035" width="10.125" style="497" customWidth="1"/>
    <col min="12036" max="12036" width="10.75" style="497" customWidth="1"/>
    <col min="12037" max="12037" width="10" style="497" customWidth="1"/>
    <col min="12038" max="12038" width="9.625" style="497" bestFit="1" customWidth="1"/>
    <col min="12039" max="12039" width="10.75" style="497" customWidth="1"/>
    <col min="12040" max="12040" width="12.25" style="497" customWidth="1"/>
    <col min="12041" max="12041" width="11.625" style="497" customWidth="1"/>
    <col min="12042" max="12042" width="9.75" style="497" customWidth="1"/>
    <col min="12043" max="12043" width="9.875" style="497" customWidth="1"/>
    <col min="12044" max="12044" width="12" style="497" customWidth="1"/>
    <col min="12045" max="12045" width="9.875" style="497" customWidth="1"/>
    <col min="12046" max="12047" width="10.375" style="497" customWidth="1"/>
    <col min="12048" max="12048" width="16.25" style="497" customWidth="1"/>
    <col min="12049" max="12049" width="9.875" style="497" bestFit="1" customWidth="1"/>
    <col min="12050" max="12288" width="8.75" style="497"/>
    <col min="12289" max="12289" width="5" style="497" customWidth="1"/>
    <col min="12290" max="12290" width="40.875" style="497" customWidth="1"/>
    <col min="12291" max="12291" width="10.125" style="497" customWidth="1"/>
    <col min="12292" max="12292" width="10.75" style="497" customWidth="1"/>
    <col min="12293" max="12293" width="10" style="497" customWidth="1"/>
    <col min="12294" max="12294" width="9.625" style="497" bestFit="1" customWidth="1"/>
    <col min="12295" max="12295" width="10.75" style="497" customWidth="1"/>
    <col min="12296" max="12296" width="12.25" style="497" customWidth="1"/>
    <col min="12297" max="12297" width="11.625" style="497" customWidth="1"/>
    <col min="12298" max="12298" width="9.75" style="497" customWidth="1"/>
    <col min="12299" max="12299" width="9.875" style="497" customWidth="1"/>
    <col min="12300" max="12300" width="12" style="497" customWidth="1"/>
    <col min="12301" max="12301" width="9.875" style="497" customWidth="1"/>
    <col min="12302" max="12303" width="10.375" style="497" customWidth="1"/>
    <col min="12304" max="12304" width="16.25" style="497" customWidth="1"/>
    <col min="12305" max="12305" width="9.875" style="497" bestFit="1" customWidth="1"/>
    <col min="12306" max="12544" width="8.75" style="497"/>
    <col min="12545" max="12545" width="5" style="497" customWidth="1"/>
    <col min="12546" max="12546" width="40.875" style="497" customWidth="1"/>
    <col min="12547" max="12547" width="10.125" style="497" customWidth="1"/>
    <col min="12548" max="12548" width="10.75" style="497" customWidth="1"/>
    <col min="12549" max="12549" width="10" style="497" customWidth="1"/>
    <col min="12550" max="12550" width="9.625" style="497" bestFit="1" customWidth="1"/>
    <col min="12551" max="12551" width="10.75" style="497" customWidth="1"/>
    <col min="12552" max="12552" width="12.25" style="497" customWidth="1"/>
    <col min="12553" max="12553" width="11.625" style="497" customWidth="1"/>
    <col min="12554" max="12554" width="9.75" style="497" customWidth="1"/>
    <col min="12555" max="12555" width="9.875" style="497" customWidth="1"/>
    <col min="12556" max="12556" width="12" style="497" customWidth="1"/>
    <col min="12557" max="12557" width="9.875" style="497" customWidth="1"/>
    <col min="12558" max="12559" width="10.375" style="497" customWidth="1"/>
    <col min="12560" max="12560" width="16.25" style="497" customWidth="1"/>
    <col min="12561" max="12561" width="9.875" style="497" bestFit="1" customWidth="1"/>
    <col min="12562" max="12800" width="8.75" style="497"/>
    <col min="12801" max="12801" width="5" style="497" customWidth="1"/>
    <col min="12802" max="12802" width="40.875" style="497" customWidth="1"/>
    <col min="12803" max="12803" width="10.125" style="497" customWidth="1"/>
    <col min="12804" max="12804" width="10.75" style="497" customWidth="1"/>
    <col min="12805" max="12805" width="10" style="497" customWidth="1"/>
    <col min="12806" max="12806" width="9.625" style="497" bestFit="1" customWidth="1"/>
    <col min="12807" max="12807" width="10.75" style="497" customWidth="1"/>
    <col min="12808" max="12808" width="12.25" style="497" customWidth="1"/>
    <col min="12809" max="12809" width="11.625" style="497" customWidth="1"/>
    <col min="12810" max="12810" width="9.75" style="497" customWidth="1"/>
    <col min="12811" max="12811" width="9.875" style="497" customWidth="1"/>
    <col min="12812" max="12812" width="12" style="497" customWidth="1"/>
    <col min="12813" max="12813" width="9.875" style="497" customWidth="1"/>
    <col min="12814" max="12815" width="10.375" style="497" customWidth="1"/>
    <col min="12816" max="12816" width="16.25" style="497" customWidth="1"/>
    <col min="12817" max="12817" width="9.875" style="497" bestFit="1" customWidth="1"/>
    <col min="12818" max="13056" width="8.75" style="497"/>
    <col min="13057" max="13057" width="5" style="497" customWidth="1"/>
    <col min="13058" max="13058" width="40.875" style="497" customWidth="1"/>
    <col min="13059" max="13059" width="10.125" style="497" customWidth="1"/>
    <col min="13060" max="13060" width="10.75" style="497" customWidth="1"/>
    <col min="13061" max="13061" width="10" style="497" customWidth="1"/>
    <col min="13062" max="13062" width="9.625" style="497" bestFit="1" customWidth="1"/>
    <col min="13063" max="13063" width="10.75" style="497" customWidth="1"/>
    <col min="13064" max="13064" width="12.25" style="497" customWidth="1"/>
    <col min="13065" max="13065" width="11.625" style="497" customWidth="1"/>
    <col min="13066" max="13066" width="9.75" style="497" customWidth="1"/>
    <col min="13067" max="13067" width="9.875" style="497" customWidth="1"/>
    <col min="13068" max="13068" width="12" style="497" customWidth="1"/>
    <col min="13069" max="13069" width="9.875" style="497" customWidth="1"/>
    <col min="13070" max="13071" width="10.375" style="497" customWidth="1"/>
    <col min="13072" max="13072" width="16.25" style="497" customWidth="1"/>
    <col min="13073" max="13073" width="9.875" style="497" bestFit="1" customWidth="1"/>
    <col min="13074" max="13312" width="8.75" style="497"/>
    <col min="13313" max="13313" width="5" style="497" customWidth="1"/>
    <col min="13314" max="13314" width="40.875" style="497" customWidth="1"/>
    <col min="13315" max="13315" width="10.125" style="497" customWidth="1"/>
    <col min="13316" max="13316" width="10.75" style="497" customWidth="1"/>
    <col min="13317" max="13317" width="10" style="497" customWidth="1"/>
    <col min="13318" max="13318" width="9.625" style="497" bestFit="1" customWidth="1"/>
    <col min="13319" max="13319" width="10.75" style="497" customWidth="1"/>
    <col min="13320" max="13320" width="12.25" style="497" customWidth="1"/>
    <col min="13321" max="13321" width="11.625" style="497" customWidth="1"/>
    <col min="13322" max="13322" width="9.75" style="497" customWidth="1"/>
    <col min="13323" max="13323" width="9.875" style="497" customWidth="1"/>
    <col min="13324" max="13324" width="12" style="497" customWidth="1"/>
    <col min="13325" max="13325" width="9.875" style="497" customWidth="1"/>
    <col min="13326" max="13327" width="10.375" style="497" customWidth="1"/>
    <col min="13328" max="13328" width="16.25" style="497" customWidth="1"/>
    <col min="13329" max="13329" width="9.875" style="497" bestFit="1" customWidth="1"/>
    <col min="13330" max="13568" width="8.75" style="497"/>
    <col min="13569" max="13569" width="5" style="497" customWidth="1"/>
    <col min="13570" max="13570" width="40.875" style="497" customWidth="1"/>
    <col min="13571" max="13571" width="10.125" style="497" customWidth="1"/>
    <col min="13572" max="13572" width="10.75" style="497" customWidth="1"/>
    <col min="13573" max="13573" width="10" style="497" customWidth="1"/>
    <col min="13574" max="13574" width="9.625" style="497" bestFit="1" customWidth="1"/>
    <col min="13575" max="13575" width="10.75" style="497" customWidth="1"/>
    <col min="13576" max="13576" width="12.25" style="497" customWidth="1"/>
    <col min="13577" max="13577" width="11.625" style="497" customWidth="1"/>
    <col min="13578" max="13578" width="9.75" style="497" customWidth="1"/>
    <col min="13579" max="13579" width="9.875" style="497" customWidth="1"/>
    <col min="13580" max="13580" width="12" style="497" customWidth="1"/>
    <col min="13581" max="13581" width="9.875" style="497" customWidth="1"/>
    <col min="13582" max="13583" width="10.375" style="497" customWidth="1"/>
    <col min="13584" max="13584" width="16.25" style="497" customWidth="1"/>
    <col min="13585" max="13585" width="9.875" style="497" bestFit="1" customWidth="1"/>
    <col min="13586" max="13824" width="8.75" style="497"/>
    <col min="13825" max="13825" width="5" style="497" customWidth="1"/>
    <col min="13826" max="13826" width="40.875" style="497" customWidth="1"/>
    <col min="13827" max="13827" width="10.125" style="497" customWidth="1"/>
    <col min="13828" max="13828" width="10.75" style="497" customWidth="1"/>
    <col min="13829" max="13829" width="10" style="497" customWidth="1"/>
    <col min="13830" max="13830" width="9.625" style="497" bestFit="1" customWidth="1"/>
    <col min="13831" max="13831" width="10.75" style="497" customWidth="1"/>
    <col min="13832" max="13832" width="12.25" style="497" customWidth="1"/>
    <col min="13833" max="13833" width="11.625" style="497" customWidth="1"/>
    <col min="13834" max="13834" width="9.75" style="497" customWidth="1"/>
    <col min="13835" max="13835" width="9.875" style="497" customWidth="1"/>
    <col min="13836" max="13836" width="12" style="497" customWidth="1"/>
    <col min="13837" max="13837" width="9.875" style="497" customWidth="1"/>
    <col min="13838" max="13839" width="10.375" style="497" customWidth="1"/>
    <col min="13840" max="13840" width="16.25" style="497" customWidth="1"/>
    <col min="13841" max="13841" width="9.875" style="497" bestFit="1" customWidth="1"/>
    <col min="13842" max="14080" width="8.75" style="497"/>
    <col min="14081" max="14081" width="5" style="497" customWidth="1"/>
    <col min="14082" max="14082" width="40.875" style="497" customWidth="1"/>
    <col min="14083" max="14083" width="10.125" style="497" customWidth="1"/>
    <col min="14084" max="14084" width="10.75" style="497" customWidth="1"/>
    <col min="14085" max="14085" width="10" style="497" customWidth="1"/>
    <col min="14086" max="14086" width="9.625" style="497" bestFit="1" customWidth="1"/>
    <col min="14087" max="14087" width="10.75" style="497" customWidth="1"/>
    <col min="14088" max="14088" width="12.25" style="497" customWidth="1"/>
    <col min="14089" max="14089" width="11.625" style="497" customWidth="1"/>
    <col min="14090" max="14090" width="9.75" style="497" customWidth="1"/>
    <col min="14091" max="14091" width="9.875" style="497" customWidth="1"/>
    <col min="14092" max="14092" width="12" style="497" customWidth="1"/>
    <col min="14093" max="14093" width="9.875" style="497" customWidth="1"/>
    <col min="14094" max="14095" width="10.375" style="497" customWidth="1"/>
    <col min="14096" max="14096" width="16.25" style="497" customWidth="1"/>
    <col min="14097" max="14097" width="9.875" style="497" bestFit="1" customWidth="1"/>
    <col min="14098" max="14336" width="8.75" style="497"/>
    <col min="14337" max="14337" width="5" style="497" customWidth="1"/>
    <col min="14338" max="14338" width="40.875" style="497" customWidth="1"/>
    <col min="14339" max="14339" width="10.125" style="497" customWidth="1"/>
    <col min="14340" max="14340" width="10.75" style="497" customWidth="1"/>
    <col min="14341" max="14341" width="10" style="497" customWidth="1"/>
    <col min="14342" max="14342" width="9.625" style="497" bestFit="1" customWidth="1"/>
    <col min="14343" max="14343" width="10.75" style="497" customWidth="1"/>
    <col min="14344" max="14344" width="12.25" style="497" customWidth="1"/>
    <col min="14345" max="14345" width="11.625" style="497" customWidth="1"/>
    <col min="14346" max="14346" width="9.75" style="497" customWidth="1"/>
    <col min="14347" max="14347" width="9.875" style="497" customWidth="1"/>
    <col min="14348" max="14348" width="12" style="497" customWidth="1"/>
    <col min="14349" max="14349" width="9.875" style="497" customWidth="1"/>
    <col min="14350" max="14351" width="10.375" style="497" customWidth="1"/>
    <col min="14352" max="14352" width="16.25" style="497" customWidth="1"/>
    <col min="14353" max="14353" width="9.875" style="497" bestFit="1" customWidth="1"/>
    <col min="14354" max="14592" width="8.75" style="497"/>
    <col min="14593" max="14593" width="5" style="497" customWidth="1"/>
    <col min="14594" max="14594" width="40.875" style="497" customWidth="1"/>
    <col min="14595" max="14595" width="10.125" style="497" customWidth="1"/>
    <col min="14596" max="14596" width="10.75" style="497" customWidth="1"/>
    <col min="14597" max="14597" width="10" style="497" customWidth="1"/>
    <col min="14598" max="14598" width="9.625" style="497" bestFit="1" customWidth="1"/>
    <col min="14599" max="14599" width="10.75" style="497" customWidth="1"/>
    <col min="14600" max="14600" width="12.25" style="497" customWidth="1"/>
    <col min="14601" max="14601" width="11.625" style="497" customWidth="1"/>
    <col min="14602" max="14602" width="9.75" style="497" customWidth="1"/>
    <col min="14603" max="14603" width="9.875" style="497" customWidth="1"/>
    <col min="14604" max="14604" width="12" style="497" customWidth="1"/>
    <col min="14605" max="14605" width="9.875" style="497" customWidth="1"/>
    <col min="14606" max="14607" width="10.375" style="497" customWidth="1"/>
    <col min="14608" max="14608" width="16.25" style="497" customWidth="1"/>
    <col min="14609" max="14609" width="9.875" style="497" bestFit="1" customWidth="1"/>
    <col min="14610" max="14848" width="8.75" style="497"/>
    <col min="14849" max="14849" width="5" style="497" customWidth="1"/>
    <col min="14850" max="14850" width="40.875" style="497" customWidth="1"/>
    <col min="14851" max="14851" width="10.125" style="497" customWidth="1"/>
    <col min="14852" max="14852" width="10.75" style="497" customWidth="1"/>
    <col min="14853" max="14853" width="10" style="497" customWidth="1"/>
    <col min="14854" max="14854" width="9.625" style="497" bestFit="1" customWidth="1"/>
    <col min="14855" max="14855" width="10.75" style="497" customWidth="1"/>
    <col min="14856" max="14856" width="12.25" style="497" customWidth="1"/>
    <col min="14857" max="14857" width="11.625" style="497" customWidth="1"/>
    <col min="14858" max="14858" width="9.75" style="497" customWidth="1"/>
    <col min="14859" max="14859" width="9.875" style="497" customWidth="1"/>
    <col min="14860" max="14860" width="12" style="497" customWidth="1"/>
    <col min="14861" max="14861" width="9.875" style="497" customWidth="1"/>
    <col min="14862" max="14863" width="10.375" style="497" customWidth="1"/>
    <col min="14864" max="14864" width="16.25" style="497" customWidth="1"/>
    <col min="14865" max="14865" width="9.875" style="497" bestFit="1" customWidth="1"/>
    <col min="14866" max="15104" width="8.75" style="497"/>
    <col min="15105" max="15105" width="5" style="497" customWidth="1"/>
    <col min="15106" max="15106" width="40.875" style="497" customWidth="1"/>
    <col min="15107" max="15107" width="10.125" style="497" customWidth="1"/>
    <col min="15108" max="15108" width="10.75" style="497" customWidth="1"/>
    <col min="15109" max="15109" width="10" style="497" customWidth="1"/>
    <col min="15110" max="15110" width="9.625" style="497" bestFit="1" customWidth="1"/>
    <col min="15111" max="15111" width="10.75" style="497" customWidth="1"/>
    <col min="15112" max="15112" width="12.25" style="497" customWidth="1"/>
    <col min="15113" max="15113" width="11.625" style="497" customWidth="1"/>
    <col min="15114" max="15114" width="9.75" style="497" customWidth="1"/>
    <col min="15115" max="15115" width="9.875" style="497" customWidth="1"/>
    <col min="15116" max="15116" width="12" style="497" customWidth="1"/>
    <col min="15117" max="15117" width="9.875" style="497" customWidth="1"/>
    <col min="15118" max="15119" width="10.375" style="497" customWidth="1"/>
    <col min="15120" max="15120" width="16.25" style="497" customWidth="1"/>
    <col min="15121" max="15121" width="9.875" style="497" bestFit="1" customWidth="1"/>
    <col min="15122" max="15360" width="8.75" style="497"/>
    <col min="15361" max="15361" width="5" style="497" customWidth="1"/>
    <col min="15362" max="15362" width="40.875" style="497" customWidth="1"/>
    <col min="15363" max="15363" width="10.125" style="497" customWidth="1"/>
    <col min="15364" max="15364" width="10.75" style="497" customWidth="1"/>
    <col min="15365" max="15365" width="10" style="497" customWidth="1"/>
    <col min="15366" max="15366" width="9.625" style="497" bestFit="1" customWidth="1"/>
    <col min="15367" max="15367" width="10.75" style="497" customWidth="1"/>
    <col min="15368" max="15368" width="12.25" style="497" customWidth="1"/>
    <col min="15369" max="15369" width="11.625" style="497" customWidth="1"/>
    <col min="15370" max="15370" width="9.75" style="497" customWidth="1"/>
    <col min="15371" max="15371" width="9.875" style="497" customWidth="1"/>
    <col min="15372" max="15372" width="12" style="497" customWidth="1"/>
    <col min="15373" max="15373" width="9.875" style="497" customWidth="1"/>
    <col min="15374" max="15375" width="10.375" style="497" customWidth="1"/>
    <col min="15376" max="15376" width="16.25" style="497" customWidth="1"/>
    <col min="15377" max="15377" width="9.875" style="497" bestFit="1" customWidth="1"/>
    <col min="15378" max="15616" width="8.75" style="497"/>
    <col min="15617" max="15617" width="5" style="497" customWidth="1"/>
    <col min="15618" max="15618" width="40.875" style="497" customWidth="1"/>
    <col min="15619" max="15619" width="10.125" style="497" customWidth="1"/>
    <col min="15620" max="15620" width="10.75" style="497" customWidth="1"/>
    <col min="15621" max="15621" width="10" style="497" customWidth="1"/>
    <col min="15622" max="15622" width="9.625" style="497" bestFit="1" customWidth="1"/>
    <col min="15623" max="15623" width="10.75" style="497" customWidth="1"/>
    <col min="15624" max="15624" width="12.25" style="497" customWidth="1"/>
    <col min="15625" max="15625" width="11.625" style="497" customWidth="1"/>
    <col min="15626" max="15626" width="9.75" style="497" customWidth="1"/>
    <col min="15627" max="15627" width="9.875" style="497" customWidth="1"/>
    <col min="15628" max="15628" width="12" style="497" customWidth="1"/>
    <col min="15629" max="15629" width="9.875" style="497" customWidth="1"/>
    <col min="15630" max="15631" width="10.375" style="497" customWidth="1"/>
    <col min="15632" max="15632" width="16.25" style="497" customWidth="1"/>
    <col min="15633" max="15633" width="9.875" style="497" bestFit="1" customWidth="1"/>
    <col min="15634" max="15872" width="8.75" style="497"/>
    <col min="15873" max="15873" width="5" style="497" customWidth="1"/>
    <col min="15874" max="15874" width="40.875" style="497" customWidth="1"/>
    <col min="15875" max="15875" width="10.125" style="497" customWidth="1"/>
    <col min="15876" max="15876" width="10.75" style="497" customWidth="1"/>
    <col min="15877" max="15877" width="10" style="497" customWidth="1"/>
    <col min="15878" max="15878" width="9.625" style="497" bestFit="1" customWidth="1"/>
    <col min="15879" max="15879" width="10.75" style="497" customWidth="1"/>
    <col min="15880" max="15880" width="12.25" style="497" customWidth="1"/>
    <col min="15881" max="15881" width="11.625" style="497" customWidth="1"/>
    <col min="15882" max="15882" width="9.75" style="497" customWidth="1"/>
    <col min="15883" max="15883" width="9.875" style="497" customWidth="1"/>
    <col min="15884" max="15884" width="12" style="497" customWidth="1"/>
    <col min="15885" max="15885" width="9.875" style="497" customWidth="1"/>
    <col min="15886" max="15887" width="10.375" style="497" customWidth="1"/>
    <col min="15888" max="15888" width="16.25" style="497" customWidth="1"/>
    <col min="15889" max="15889" width="9.875" style="497" bestFit="1" customWidth="1"/>
    <col min="15890" max="16128" width="8.75" style="497"/>
    <col min="16129" max="16129" width="5" style="497" customWidth="1"/>
    <col min="16130" max="16130" width="40.875" style="497" customWidth="1"/>
    <col min="16131" max="16131" width="10.125" style="497" customWidth="1"/>
    <col min="16132" max="16132" width="10.75" style="497" customWidth="1"/>
    <col min="16133" max="16133" width="10" style="497" customWidth="1"/>
    <col min="16134" max="16134" width="9.625" style="497" bestFit="1" customWidth="1"/>
    <col min="16135" max="16135" width="10.75" style="497" customWidth="1"/>
    <col min="16136" max="16136" width="12.25" style="497" customWidth="1"/>
    <col min="16137" max="16137" width="11.625" style="497" customWidth="1"/>
    <col min="16138" max="16138" width="9.75" style="497" customWidth="1"/>
    <col min="16139" max="16139" width="9.875" style="497" customWidth="1"/>
    <col min="16140" max="16140" width="12" style="497" customWidth="1"/>
    <col min="16141" max="16141" width="9.875" style="497" customWidth="1"/>
    <col min="16142" max="16143" width="10.375" style="497" customWidth="1"/>
    <col min="16144" max="16144" width="16.25" style="497" customWidth="1"/>
    <col min="16145" max="16145" width="9.875" style="497" bestFit="1" customWidth="1"/>
    <col min="16146" max="16384" width="8.75" style="497"/>
  </cols>
  <sheetData>
    <row r="1" spans="1:17" x14ac:dyDescent="0.25">
      <c r="A1" s="916" t="s">
        <v>802</v>
      </c>
      <c r="B1" s="916"/>
      <c r="C1" s="916"/>
      <c r="D1" s="916"/>
      <c r="E1" s="916"/>
      <c r="F1" s="916"/>
      <c r="G1" s="916"/>
      <c r="H1" s="916"/>
      <c r="I1" s="916"/>
      <c r="J1" s="916"/>
      <c r="K1" s="916"/>
      <c r="L1" s="916"/>
      <c r="M1" s="916"/>
      <c r="N1" s="916"/>
      <c r="O1" s="916"/>
      <c r="P1" s="916"/>
    </row>
    <row r="2" spans="1:17" x14ac:dyDescent="0.25">
      <c r="A2" s="583"/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</row>
    <row r="3" spans="1:17" ht="16.5" thickBot="1" x14ac:dyDescent="0.3"/>
    <row r="4" spans="1:17" s="712" customFormat="1" ht="77.25" thickBot="1" x14ac:dyDescent="0.3">
      <c r="A4" s="711"/>
      <c r="B4" s="456" t="s">
        <v>137</v>
      </c>
      <c r="C4" s="456" t="s">
        <v>31</v>
      </c>
      <c r="D4" s="456" t="s">
        <v>32</v>
      </c>
      <c r="E4" s="456" t="s">
        <v>33</v>
      </c>
      <c r="F4" s="457" t="s">
        <v>440</v>
      </c>
      <c r="G4" s="457" t="s">
        <v>266</v>
      </c>
      <c r="H4" s="456" t="s">
        <v>345</v>
      </c>
      <c r="I4" s="458" t="s">
        <v>52</v>
      </c>
      <c r="J4" s="458" t="s">
        <v>60</v>
      </c>
      <c r="K4" s="457" t="s">
        <v>267</v>
      </c>
      <c r="L4" s="456" t="s">
        <v>346</v>
      </c>
      <c r="M4" s="458" t="s">
        <v>74</v>
      </c>
      <c r="N4" s="457" t="s">
        <v>70</v>
      </c>
      <c r="O4" s="456" t="s">
        <v>48</v>
      </c>
      <c r="P4" s="456" t="s">
        <v>257</v>
      </c>
    </row>
    <row r="5" spans="1:17" s="712" customFormat="1" ht="16.5" thickBot="1" x14ac:dyDescent="0.3">
      <c r="A5" s="711"/>
      <c r="B5" s="456"/>
      <c r="C5" s="456" t="s">
        <v>155</v>
      </c>
      <c r="D5" s="456" t="s">
        <v>156</v>
      </c>
      <c r="E5" s="456" t="s">
        <v>157</v>
      </c>
      <c r="F5" s="457" t="s">
        <v>158</v>
      </c>
      <c r="G5" s="457" t="s">
        <v>258</v>
      </c>
      <c r="H5" s="456" t="s">
        <v>271</v>
      </c>
      <c r="I5" s="458" t="s">
        <v>159</v>
      </c>
      <c r="J5" s="458" t="s">
        <v>160</v>
      </c>
      <c r="K5" s="457" t="s">
        <v>161</v>
      </c>
      <c r="L5" s="456" t="s">
        <v>272</v>
      </c>
      <c r="M5" s="459"/>
      <c r="N5" s="457"/>
      <c r="O5" s="456" t="s">
        <v>269</v>
      </c>
      <c r="P5" s="456" t="s">
        <v>270</v>
      </c>
    </row>
    <row r="6" spans="1:17" s="464" customFormat="1" ht="16.5" thickBot="1" x14ac:dyDescent="0.3">
      <c r="A6" s="460"/>
      <c r="B6" s="460" t="s">
        <v>138</v>
      </c>
      <c r="C6" s="460" t="s">
        <v>139</v>
      </c>
      <c r="D6" s="460" t="s">
        <v>140</v>
      </c>
      <c r="E6" s="460" t="s">
        <v>141</v>
      </c>
      <c r="F6" s="461" t="s">
        <v>142</v>
      </c>
      <c r="G6" s="461" t="s">
        <v>143</v>
      </c>
      <c r="H6" s="460" t="s">
        <v>34</v>
      </c>
      <c r="I6" s="462" t="s">
        <v>35</v>
      </c>
      <c r="J6" s="460" t="s">
        <v>36</v>
      </c>
      <c r="K6" s="461" t="s">
        <v>37</v>
      </c>
      <c r="L6" s="460" t="s">
        <v>38</v>
      </c>
      <c r="M6" s="463" t="s">
        <v>39</v>
      </c>
      <c r="N6" s="461" t="s">
        <v>40</v>
      </c>
      <c r="O6" s="460" t="s">
        <v>264</v>
      </c>
      <c r="P6" s="460" t="s">
        <v>275</v>
      </c>
    </row>
    <row r="7" spans="1:17" s="471" customFormat="1" x14ac:dyDescent="0.25">
      <c r="A7" s="465"/>
      <c r="B7" s="466"/>
      <c r="C7" s="467"/>
      <c r="D7" s="467"/>
      <c r="E7" s="467"/>
      <c r="F7" s="467"/>
      <c r="G7" s="468"/>
      <c r="H7" s="469"/>
      <c r="I7" s="467"/>
      <c r="J7" s="467"/>
      <c r="K7" s="468"/>
      <c r="L7" s="469"/>
      <c r="M7" s="467"/>
      <c r="N7" s="468"/>
      <c r="O7" s="470"/>
      <c r="P7" s="469"/>
    </row>
    <row r="8" spans="1:17" s="478" customFormat="1" x14ac:dyDescent="0.25">
      <c r="A8" s="472"/>
      <c r="B8" s="473" t="s">
        <v>347</v>
      </c>
      <c r="C8" s="474">
        <v>407003</v>
      </c>
      <c r="D8" s="474">
        <v>87915</v>
      </c>
      <c r="E8" s="474">
        <v>8619686</v>
      </c>
      <c r="F8" s="475">
        <v>200146</v>
      </c>
      <c r="G8" s="476">
        <v>12230899</v>
      </c>
      <c r="H8" s="477">
        <f>SUM(C8:G8)</f>
        <v>21545649</v>
      </c>
      <c r="I8" s="474">
        <v>25445709</v>
      </c>
      <c r="J8" s="474">
        <v>489648</v>
      </c>
      <c r="K8" s="476">
        <v>2165619</v>
      </c>
      <c r="L8" s="477">
        <f>SUM(I8:K8)</f>
        <v>28100976</v>
      </c>
      <c r="M8" s="474">
        <v>400000</v>
      </c>
      <c r="N8" s="476">
        <v>3236816</v>
      </c>
      <c r="O8" s="477">
        <f>SUM(M8:N8)</f>
        <v>3636816</v>
      </c>
      <c r="P8" s="477">
        <f>SUM(O8+L8+H8)</f>
        <v>53283441</v>
      </c>
    </row>
    <row r="9" spans="1:17" s="478" customFormat="1" x14ac:dyDescent="0.25">
      <c r="A9" s="472"/>
      <c r="B9" s="481" t="s">
        <v>865</v>
      </c>
      <c r="C9" s="474">
        <v>420221</v>
      </c>
      <c r="D9" s="474">
        <v>87636</v>
      </c>
      <c r="E9" s="474">
        <v>9409751</v>
      </c>
      <c r="F9" s="475">
        <v>200146</v>
      </c>
      <c r="G9" s="476">
        <v>13611900</v>
      </c>
      <c r="H9" s="477">
        <f>SUM(C9:G9)</f>
        <v>23729654</v>
      </c>
      <c r="I9" s="474">
        <v>24520552</v>
      </c>
      <c r="J9" s="474">
        <v>317706</v>
      </c>
      <c r="K9" s="476">
        <v>2163093</v>
      </c>
      <c r="L9" s="477">
        <f>SUM(I9:K9)</f>
        <v>27001351</v>
      </c>
      <c r="M9" s="474">
        <v>400000</v>
      </c>
      <c r="N9" s="476">
        <v>736816</v>
      </c>
      <c r="O9" s="477">
        <f>SUM(M9:N9)</f>
        <v>1136816</v>
      </c>
      <c r="P9" s="477">
        <f>SUM(O9+L9+H9)</f>
        <v>51867821</v>
      </c>
    </row>
    <row r="10" spans="1:17" x14ac:dyDescent="0.25">
      <c r="A10" s="465"/>
      <c r="B10" s="713"/>
      <c r="C10" s="552"/>
      <c r="D10" s="714"/>
      <c r="E10" s="714"/>
      <c r="F10" s="714"/>
      <c r="G10" s="701"/>
      <c r="H10" s="469"/>
      <c r="I10" s="552"/>
      <c r="J10" s="552"/>
      <c r="K10" s="715"/>
      <c r="L10" s="479"/>
      <c r="M10" s="552"/>
      <c r="N10" s="715"/>
      <c r="O10" s="716"/>
      <c r="P10" s="469"/>
    </row>
    <row r="11" spans="1:17" x14ac:dyDescent="0.25">
      <c r="A11" s="465" t="s">
        <v>452</v>
      </c>
      <c r="B11" s="480" t="s">
        <v>453</v>
      </c>
      <c r="C11" s="552"/>
      <c r="D11" s="552"/>
      <c r="E11" s="552"/>
      <c r="F11" s="552"/>
      <c r="G11" s="701"/>
      <c r="H11" s="469"/>
      <c r="I11" s="552"/>
      <c r="J11" s="552"/>
      <c r="K11" s="701"/>
      <c r="L11" s="479"/>
      <c r="M11" s="552"/>
      <c r="N11" s="701"/>
      <c r="O11" s="716"/>
      <c r="P11" s="469"/>
    </row>
    <row r="12" spans="1:17" x14ac:dyDescent="0.25">
      <c r="A12" s="465"/>
      <c r="B12" s="480"/>
      <c r="C12" s="552"/>
      <c r="D12" s="552"/>
      <c r="E12" s="552"/>
      <c r="F12" s="552"/>
      <c r="G12" s="701"/>
      <c r="H12" s="469"/>
      <c r="I12" s="552"/>
      <c r="J12" s="552"/>
      <c r="K12" s="701"/>
      <c r="L12" s="479"/>
      <c r="M12" s="552"/>
      <c r="N12" s="701"/>
      <c r="O12" s="716"/>
      <c r="P12" s="469"/>
    </row>
    <row r="13" spans="1:17" x14ac:dyDescent="0.25">
      <c r="A13" s="465"/>
      <c r="B13" s="480" t="s">
        <v>77</v>
      </c>
      <c r="C13" s="552"/>
      <c r="D13" s="552"/>
      <c r="E13" s="552"/>
      <c r="F13" s="552"/>
      <c r="G13" s="701"/>
      <c r="H13" s="469"/>
      <c r="I13" s="552"/>
      <c r="J13" s="552"/>
      <c r="K13" s="701"/>
      <c r="L13" s="479"/>
      <c r="M13" s="552"/>
      <c r="N13" s="701"/>
      <c r="O13" s="716"/>
      <c r="P13" s="469"/>
    </row>
    <row r="14" spans="1:17" x14ac:dyDescent="0.25">
      <c r="A14" s="465"/>
      <c r="B14" s="481" t="s">
        <v>78</v>
      </c>
      <c r="C14" s="552"/>
      <c r="D14" s="552"/>
      <c r="E14" s="552"/>
      <c r="F14" s="552"/>
      <c r="G14" s="701"/>
      <c r="H14" s="469"/>
      <c r="I14" s="552"/>
      <c r="J14" s="552"/>
      <c r="K14" s="701"/>
      <c r="L14" s="479"/>
      <c r="M14" s="552"/>
      <c r="N14" s="701"/>
      <c r="O14" s="716"/>
      <c r="P14" s="469"/>
    </row>
    <row r="15" spans="1:17" x14ac:dyDescent="0.25">
      <c r="A15" s="465"/>
      <c r="B15" s="491" t="s">
        <v>690</v>
      </c>
      <c r="C15" s="552"/>
      <c r="D15" s="552"/>
      <c r="E15" s="552"/>
      <c r="F15" s="552"/>
      <c r="G15" s="701"/>
      <c r="H15" s="469"/>
      <c r="I15" s="552"/>
      <c r="J15" s="552"/>
      <c r="K15" s="701"/>
      <c r="L15" s="479"/>
      <c r="M15" s="552"/>
      <c r="N15" s="701"/>
      <c r="O15" s="716"/>
      <c r="P15" s="469"/>
    </row>
    <row r="16" spans="1:17" ht="31.5" x14ac:dyDescent="0.25">
      <c r="A16" s="465"/>
      <c r="B16" s="713" t="s">
        <v>900</v>
      </c>
      <c r="C16" s="552"/>
      <c r="D16" s="552"/>
      <c r="E16" s="552">
        <v>-53</v>
      </c>
      <c r="F16" s="552"/>
      <c r="G16" s="552"/>
      <c r="H16" s="469">
        <f>SUM(C16:G16)</f>
        <v>-53</v>
      </c>
      <c r="I16" s="552"/>
      <c r="J16" s="552"/>
      <c r="K16" s="701"/>
      <c r="L16" s="479">
        <f t="shared" ref="L16" si="0">SUM(I16:K16)</f>
        <v>0</v>
      </c>
      <c r="M16" s="552"/>
      <c r="N16" s="701"/>
      <c r="O16" s="716"/>
      <c r="P16" s="469">
        <f t="shared" ref="P16" si="1">O16+L16+H16</f>
        <v>-53</v>
      </c>
      <c r="Q16" s="497" t="s">
        <v>677</v>
      </c>
    </row>
    <row r="17" spans="1:17" ht="31.5" x14ac:dyDescent="0.25">
      <c r="A17" s="465"/>
      <c r="B17" s="713" t="s">
        <v>900</v>
      </c>
      <c r="C17" s="552"/>
      <c r="D17" s="552"/>
      <c r="E17" s="552"/>
      <c r="F17" s="552"/>
      <c r="G17" s="552">
        <v>-22000</v>
      </c>
      <c r="H17" s="469">
        <f>SUM(C17:G17)</f>
        <v>-22000</v>
      </c>
      <c r="I17" s="552"/>
      <c r="J17" s="552"/>
      <c r="K17" s="701"/>
      <c r="L17" s="479">
        <f t="shared" ref="L17:L18" si="2">SUM(I17:K17)</f>
        <v>0</v>
      </c>
      <c r="M17" s="552"/>
      <c r="N17" s="701"/>
      <c r="O17" s="716"/>
      <c r="P17" s="469">
        <f t="shared" ref="P17:P18" si="3">O17+L17+H17</f>
        <v>-22000</v>
      </c>
      <c r="Q17" s="497" t="s">
        <v>677</v>
      </c>
    </row>
    <row r="18" spans="1:17" x14ac:dyDescent="0.25">
      <c r="A18" s="465"/>
      <c r="B18" s="713" t="s">
        <v>1028</v>
      </c>
      <c r="C18" s="552">
        <v>-62</v>
      </c>
      <c r="D18" s="552"/>
      <c r="E18" s="552">
        <v>62</v>
      </c>
      <c r="F18" s="552"/>
      <c r="G18" s="552"/>
      <c r="H18" s="469">
        <f t="shared" ref="H18" si="4">SUM(C18:G18)</f>
        <v>0</v>
      </c>
      <c r="I18" s="552"/>
      <c r="J18" s="552"/>
      <c r="K18" s="701"/>
      <c r="L18" s="479">
        <f t="shared" si="2"/>
        <v>0</v>
      </c>
      <c r="M18" s="552"/>
      <c r="N18" s="701"/>
      <c r="O18" s="716"/>
      <c r="P18" s="469">
        <f t="shared" si="3"/>
        <v>0</v>
      </c>
      <c r="Q18" s="497" t="s">
        <v>674</v>
      </c>
    </row>
    <row r="19" spans="1:17" x14ac:dyDescent="0.25">
      <c r="A19" s="465"/>
      <c r="B19" s="713" t="s">
        <v>1029</v>
      </c>
      <c r="C19" s="552">
        <v>-5</v>
      </c>
      <c r="D19" s="552"/>
      <c r="E19" s="552">
        <v>5</v>
      </c>
      <c r="F19" s="552"/>
      <c r="G19" s="552"/>
      <c r="H19" s="469">
        <f t="shared" ref="H19:H20" si="5">SUM(C19:G19)</f>
        <v>0</v>
      </c>
      <c r="I19" s="552"/>
      <c r="J19" s="552"/>
      <c r="K19" s="701"/>
      <c r="L19" s="479">
        <f t="shared" ref="L19:L20" si="6">SUM(I19:K19)</f>
        <v>0</v>
      </c>
      <c r="M19" s="552"/>
      <c r="N19" s="701"/>
      <c r="O19" s="716"/>
      <c r="P19" s="469">
        <f t="shared" ref="P19:P20" si="7">O19+L19+H19</f>
        <v>0</v>
      </c>
      <c r="Q19" s="497" t="s">
        <v>674</v>
      </c>
    </row>
    <row r="20" spans="1:17" x14ac:dyDescent="0.25">
      <c r="A20" s="465"/>
      <c r="B20" s="713" t="s">
        <v>1029</v>
      </c>
      <c r="C20" s="552">
        <v>-12</v>
      </c>
      <c r="D20" s="552"/>
      <c r="E20" s="552">
        <v>12</v>
      </c>
      <c r="F20" s="552"/>
      <c r="G20" s="552"/>
      <c r="H20" s="469">
        <f t="shared" si="5"/>
        <v>0</v>
      </c>
      <c r="I20" s="552"/>
      <c r="J20" s="552"/>
      <c r="K20" s="701"/>
      <c r="L20" s="479">
        <f t="shared" si="6"/>
        <v>0</v>
      </c>
      <c r="M20" s="552"/>
      <c r="N20" s="701"/>
      <c r="O20" s="716"/>
      <c r="P20" s="469">
        <f t="shared" si="7"/>
        <v>0</v>
      </c>
      <c r="Q20" s="497" t="s">
        <v>674</v>
      </c>
    </row>
    <row r="21" spans="1:17" x14ac:dyDescent="0.25">
      <c r="A21" s="465"/>
      <c r="B21" s="713"/>
      <c r="C21" s="552"/>
      <c r="D21" s="552"/>
      <c r="E21" s="552"/>
      <c r="F21" s="552"/>
      <c r="G21" s="701"/>
      <c r="H21" s="469"/>
      <c r="I21" s="552"/>
      <c r="J21" s="552"/>
      <c r="K21" s="701"/>
      <c r="L21" s="479"/>
      <c r="M21" s="552"/>
      <c r="N21" s="701"/>
      <c r="O21" s="716"/>
      <c r="P21" s="469"/>
    </row>
    <row r="22" spans="1:17" x14ac:dyDescent="0.25">
      <c r="A22" s="465"/>
      <c r="B22" s="491" t="s">
        <v>909</v>
      </c>
      <c r="C22" s="552"/>
      <c r="D22" s="552"/>
      <c r="E22" s="552"/>
      <c r="F22" s="552"/>
      <c r="G22" s="701"/>
      <c r="H22" s="469"/>
      <c r="I22" s="552"/>
      <c r="J22" s="552"/>
      <c r="K22" s="701"/>
      <c r="L22" s="479"/>
      <c r="M22" s="552"/>
      <c r="N22" s="701"/>
      <c r="O22" s="716"/>
      <c r="P22" s="469"/>
    </row>
    <row r="23" spans="1:17" x14ac:dyDescent="0.25">
      <c r="A23" s="465"/>
      <c r="B23" s="713" t="s">
        <v>910</v>
      </c>
      <c r="C23" s="552"/>
      <c r="D23" s="552"/>
      <c r="E23" s="552"/>
      <c r="F23" s="552"/>
      <c r="G23" s="552">
        <f>532789+194689</f>
        <v>727478</v>
      </c>
      <c r="H23" s="469">
        <f>SUM(C23:G23)</f>
        <v>727478</v>
      </c>
      <c r="I23" s="552"/>
      <c r="J23" s="552"/>
      <c r="K23" s="701"/>
      <c r="L23" s="479">
        <f t="shared" ref="L23" si="8">SUM(I23:K23)</f>
        <v>0</v>
      </c>
      <c r="M23" s="552"/>
      <c r="N23" s="701"/>
      <c r="O23" s="716"/>
      <c r="P23" s="469">
        <f t="shared" ref="P23" si="9">O23+L23+H23</f>
        <v>727478</v>
      </c>
      <c r="Q23" s="497" t="s">
        <v>673</v>
      </c>
    </row>
    <row r="24" spans="1:17" x14ac:dyDescent="0.25">
      <c r="A24" s="465"/>
      <c r="B24" s="713"/>
      <c r="C24" s="552"/>
      <c r="D24" s="552"/>
      <c r="E24" s="552"/>
      <c r="F24" s="552"/>
      <c r="G24" s="701"/>
      <c r="H24" s="469"/>
      <c r="I24" s="552"/>
      <c r="J24" s="552"/>
      <c r="K24" s="701"/>
      <c r="L24" s="479"/>
      <c r="M24" s="552"/>
      <c r="N24" s="701"/>
      <c r="O24" s="716"/>
      <c r="P24" s="469"/>
    </row>
    <row r="25" spans="1:17" x14ac:dyDescent="0.25">
      <c r="A25" s="465"/>
      <c r="B25" s="491" t="s">
        <v>909</v>
      </c>
      <c r="C25" s="552"/>
      <c r="D25" s="552"/>
      <c r="E25" s="552"/>
      <c r="F25" s="552"/>
      <c r="G25" s="701"/>
      <c r="H25" s="469"/>
      <c r="I25" s="552"/>
      <c r="J25" s="552"/>
      <c r="K25" s="701"/>
      <c r="L25" s="479"/>
      <c r="M25" s="552"/>
      <c r="N25" s="701"/>
      <c r="O25" s="716"/>
      <c r="P25" s="469"/>
    </row>
    <row r="26" spans="1:17" ht="31.5" x14ac:dyDescent="0.25">
      <c r="A26" s="465"/>
      <c r="B26" s="713" t="s">
        <v>921</v>
      </c>
      <c r="C26" s="552"/>
      <c r="D26" s="552"/>
      <c r="E26" s="552"/>
      <c r="F26" s="552"/>
      <c r="G26" s="701">
        <f>23493+289</f>
        <v>23782</v>
      </c>
      <c r="H26" s="469">
        <f>SUM(C26:G26)</f>
        <v>23782</v>
      </c>
      <c r="I26" s="552"/>
      <c r="J26" s="552"/>
      <c r="K26" s="701"/>
      <c r="L26" s="479">
        <f t="shared" ref="L26" si="10">SUM(I26:K26)</f>
        <v>0</v>
      </c>
      <c r="M26" s="552"/>
      <c r="N26" s="701"/>
      <c r="O26" s="716"/>
      <c r="P26" s="469">
        <f t="shared" ref="P26" si="11">O26+L26+H26</f>
        <v>23782</v>
      </c>
      <c r="Q26" s="497" t="s">
        <v>673</v>
      </c>
    </row>
    <row r="27" spans="1:17" x14ac:dyDescent="0.25">
      <c r="A27" s="465"/>
      <c r="B27" s="713"/>
      <c r="C27" s="552"/>
      <c r="D27" s="552"/>
      <c r="E27" s="552"/>
      <c r="F27" s="552"/>
      <c r="G27" s="701"/>
      <c r="H27" s="469"/>
      <c r="I27" s="552"/>
      <c r="J27" s="552"/>
      <c r="K27" s="701"/>
      <c r="L27" s="479"/>
      <c r="M27" s="552"/>
      <c r="N27" s="701"/>
      <c r="O27" s="716"/>
      <c r="P27" s="469"/>
    </row>
    <row r="28" spans="1:17" x14ac:dyDescent="0.25">
      <c r="A28" s="465"/>
      <c r="B28" s="481" t="s">
        <v>459</v>
      </c>
      <c r="C28" s="552"/>
      <c r="D28" s="552"/>
      <c r="E28" s="552"/>
      <c r="F28" s="552"/>
      <c r="G28" s="701"/>
      <c r="H28" s="469"/>
      <c r="I28" s="552"/>
      <c r="J28" s="552"/>
      <c r="K28" s="701"/>
      <c r="L28" s="479"/>
      <c r="M28" s="552"/>
      <c r="N28" s="701"/>
      <c r="O28" s="716"/>
      <c r="P28" s="469"/>
    </row>
    <row r="29" spans="1:17" x14ac:dyDescent="0.25">
      <c r="A29" s="465"/>
      <c r="B29" s="491" t="s">
        <v>690</v>
      </c>
      <c r="C29" s="552"/>
      <c r="D29" s="552"/>
      <c r="E29" s="552"/>
      <c r="F29" s="552"/>
      <c r="G29" s="701"/>
      <c r="H29" s="469"/>
      <c r="I29" s="552"/>
      <c r="J29" s="552"/>
      <c r="K29" s="701"/>
      <c r="L29" s="479"/>
      <c r="M29" s="552"/>
      <c r="N29" s="701"/>
      <c r="O29" s="716"/>
      <c r="P29" s="469"/>
    </row>
    <row r="30" spans="1:17" ht="18" customHeight="1" x14ac:dyDescent="0.25">
      <c r="A30" s="465"/>
      <c r="B30" s="713" t="s">
        <v>908</v>
      </c>
      <c r="C30" s="552"/>
      <c r="D30" s="552"/>
      <c r="E30" s="552"/>
      <c r="F30" s="552"/>
      <c r="G30" s="552">
        <v>-164570</v>
      </c>
      <c r="H30" s="469">
        <f>SUM(C30:G30)</f>
        <v>-164570</v>
      </c>
      <c r="I30" s="552"/>
      <c r="J30" s="552"/>
      <c r="K30" s="701"/>
      <c r="L30" s="479">
        <f t="shared" ref="L30" si="12">SUM(I30:K30)</f>
        <v>0</v>
      </c>
      <c r="M30" s="552"/>
      <c r="N30" s="701"/>
      <c r="O30" s="716"/>
      <c r="P30" s="469">
        <f t="shared" ref="P30" si="13">O30+L30+H30</f>
        <v>-164570</v>
      </c>
      <c r="Q30" s="497" t="s">
        <v>677</v>
      </c>
    </row>
    <row r="31" spans="1:17" ht="18" customHeight="1" x14ac:dyDescent="0.25">
      <c r="A31" s="465"/>
      <c r="B31" s="713"/>
      <c r="C31" s="552"/>
      <c r="D31" s="552"/>
      <c r="E31" s="552"/>
      <c r="F31" s="552"/>
      <c r="G31" s="701"/>
      <c r="H31" s="469"/>
      <c r="I31" s="552"/>
      <c r="J31" s="552"/>
      <c r="K31" s="701"/>
      <c r="L31" s="479"/>
      <c r="M31" s="552"/>
      <c r="N31" s="701"/>
      <c r="O31" s="716"/>
      <c r="P31" s="469"/>
    </row>
    <row r="32" spans="1:17" x14ac:dyDescent="0.25">
      <c r="A32" s="488"/>
      <c r="B32" s="491" t="s">
        <v>918</v>
      </c>
      <c r="C32" s="717"/>
      <c r="D32" s="717"/>
      <c r="E32" s="717"/>
      <c r="F32" s="717"/>
      <c r="G32" s="718"/>
      <c r="H32" s="469"/>
      <c r="I32" s="717"/>
      <c r="J32" s="717"/>
      <c r="K32" s="718"/>
      <c r="L32" s="479"/>
      <c r="M32" s="717"/>
      <c r="N32" s="718"/>
      <c r="O32" s="719"/>
      <c r="P32" s="469"/>
    </row>
    <row r="33" spans="1:17" ht="31.5" x14ac:dyDescent="0.25">
      <c r="A33" s="496"/>
      <c r="B33" s="713" t="s">
        <v>900</v>
      </c>
      <c r="C33" s="717"/>
      <c r="D33" s="717"/>
      <c r="E33" s="717">
        <v>-15000</v>
      </c>
      <c r="F33" s="708"/>
      <c r="G33" s="718">
        <v>-35000</v>
      </c>
      <c r="H33" s="469">
        <f t="shared" ref="H33" si="14">SUM(C33:G33)</f>
        <v>-50000</v>
      </c>
      <c r="I33" s="717"/>
      <c r="J33" s="717"/>
      <c r="K33" s="720"/>
      <c r="L33" s="479">
        <f t="shared" ref="L33" si="15">SUM(I33:K33)</f>
        <v>0</v>
      </c>
      <c r="M33" s="717"/>
      <c r="N33" s="720"/>
      <c r="O33" s="719"/>
      <c r="P33" s="469">
        <f t="shared" ref="P33" si="16">O33+L33+H33</f>
        <v>-50000</v>
      </c>
      <c r="Q33" s="497" t="s">
        <v>677</v>
      </c>
    </row>
    <row r="34" spans="1:17" ht="31.5" x14ac:dyDescent="0.25">
      <c r="A34" s="496"/>
      <c r="B34" s="713" t="s">
        <v>1032</v>
      </c>
      <c r="C34" s="717"/>
      <c r="D34" s="717"/>
      <c r="E34" s="717">
        <v>-50000</v>
      </c>
      <c r="F34" s="708"/>
      <c r="G34" s="718"/>
      <c r="H34" s="469">
        <f t="shared" ref="H34" si="17">SUM(C34:G34)</f>
        <v>-50000</v>
      </c>
      <c r="I34" s="717"/>
      <c r="J34" s="717"/>
      <c r="K34" s="720"/>
      <c r="L34" s="479">
        <f t="shared" ref="L34" si="18">SUM(I34:K34)</f>
        <v>0</v>
      </c>
      <c r="M34" s="717"/>
      <c r="N34" s="720"/>
      <c r="O34" s="719"/>
      <c r="P34" s="469">
        <f t="shared" ref="P34" si="19">O34+L34+H34</f>
        <v>-50000</v>
      </c>
      <c r="Q34" s="497" t="s">
        <v>677</v>
      </c>
    </row>
    <row r="35" spans="1:17" x14ac:dyDescent="0.25">
      <c r="A35" s="465"/>
      <c r="B35" s="713"/>
      <c r="C35" s="552"/>
      <c r="D35" s="552"/>
      <c r="E35" s="552"/>
      <c r="F35" s="552"/>
      <c r="G35" s="701"/>
      <c r="H35" s="469"/>
      <c r="I35" s="552"/>
      <c r="J35" s="552"/>
      <c r="K35" s="701"/>
      <c r="L35" s="479"/>
      <c r="M35" s="552"/>
      <c r="N35" s="701"/>
      <c r="O35" s="716"/>
      <c r="P35" s="469"/>
    </row>
    <row r="36" spans="1:17" ht="31.5" x14ac:dyDescent="0.25">
      <c r="A36" s="465"/>
      <c r="B36" s="480" t="s">
        <v>79</v>
      </c>
      <c r="C36" s="552"/>
      <c r="D36" s="552"/>
      <c r="E36" s="552"/>
      <c r="F36" s="552"/>
      <c r="G36" s="701"/>
      <c r="H36" s="469"/>
      <c r="I36" s="552"/>
      <c r="J36" s="552"/>
      <c r="K36" s="701"/>
      <c r="L36" s="479"/>
      <c r="M36" s="552"/>
      <c r="N36" s="701"/>
      <c r="O36" s="716"/>
      <c r="P36" s="469"/>
    </row>
    <row r="37" spans="1:17" x14ac:dyDescent="0.25">
      <c r="A37" s="465"/>
      <c r="B37" s="481" t="s">
        <v>80</v>
      </c>
      <c r="C37" s="552"/>
      <c r="D37" s="552"/>
      <c r="E37" s="552"/>
      <c r="F37" s="552"/>
      <c r="G37" s="701"/>
      <c r="H37" s="469"/>
      <c r="I37" s="552"/>
      <c r="J37" s="552"/>
      <c r="K37" s="701"/>
      <c r="L37" s="479"/>
      <c r="M37" s="552"/>
      <c r="N37" s="701"/>
      <c r="O37" s="716"/>
      <c r="P37" s="469"/>
    </row>
    <row r="38" spans="1:17" ht="31.5" x14ac:dyDescent="0.25">
      <c r="A38" s="465"/>
      <c r="B38" s="491" t="s">
        <v>584</v>
      </c>
      <c r="C38" s="552"/>
      <c r="D38" s="552"/>
      <c r="E38" s="552"/>
      <c r="F38" s="552"/>
      <c r="G38" s="701"/>
      <c r="H38" s="469"/>
      <c r="I38" s="552"/>
      <c r="J38" s="552"/>
      <c r="K38" s="701"/>
      <c r="L38" s="479"/>
      <c r="M38" s="552"/>
      <c r="N38" s="701"/>
      <c r="O38" s="716"/>
      <c r="P38" s="469"/>
    </row>
    <row r="39" spans="1:17" ht="31.5" x14ac:dyDescent="0.25">
      <c r="A39" s="465"/>
      <c r="B39" s="713" t="s">
        <v>872</v>
      </c>
      <c r="C39" s="552"/>
      <c r="D39" s="552"/>
      <c r="E39" s="552">
        <v>-1000</v>
      </c>
      <c r="F39" s="552"/>
      <c r="G39" s="552"/>
      <c r="H39" s="469">
        <f>SUM(C39:G39)</f>
        <v>-1000</v>
      </c>
      <c r="I39" s="552"/>
      <c r="J39" s="552"/>
      <c r="K39" s="701"/>
      <c r="L39" s="479">
        <f t="shared" ref="L39:L40" si="20">SUM(I39:K39)</f>
        <v>0</v>
      </c>
      <c r="M39" s="552"/>
      <c r="N39" s="701"/>
      <c r="O39" s="716"/>
      <c r="P39" s="469">
        <f t="shared" ref="P39:P40" si="21">O39+L39+H39</f>
        <v>-1000</v>
      </c>
      <c r="Q39" s="497" t="s">
        <v>674</v>
      </c>
    </row>
    <row r="40" spans="1:17" x14ac:dyDescent="0.25">
      <c r="A40" s="465"/>
      <c r="B40" s="713" t="s">
        <v>1031</v>
      </c>
      <c r="C40" s="552">
        <v>539</v>
      </c>
      <c r="D40" s="552">
        <v>-539</v>
      </c>
      <c r="E40" s="552"/>
      <c r="F40" s="552"/>
      <c r="G40" s="701"/>
      <c r="H40" s="469">
        <f t="shared" ref="H40" si="22">SUM(C40:G40)</f>
        <v>0</v>
      </c>
      <c r="I40" s="552"/>
      <c r="J40" s="552"/>
      <c r="K40" s="701"/>
      <c r="L40" s="479">
        <f t="shared" si="20"/>
        <v>0</v>
      </c>
      <c r="M40" s="552"/>
      <c r="N40" s="701"/>
      <c r="O40" s="716"/>
      <c r="P40" s="469">
        <f t="shared" si="21"/>
        <v>0</v>
      </c>
      <c r="Q40" s="497" t="s">
        <v>674</v>
      </c>
    </row>
    <row r="41" spans="1:17" ht="31.5" x14ac:dyDescent="0.25">
      <c r="A41" s="465"/>
      <c r="B41" s="713" t="s">
        <v>1033</v>
      </c>
      <c r="C41" s="552"/>
      <c r="D41" s="552"/>
      <c r="E41" s="552"/>
      <c r="F41" s="552"/>
      <c r="G41" s="701">
        <v>-3369</v>
      </c>
      <c r="H41" s="469">
        <f t="shared" ref="H41" si="23">SUM(C41:G41)</f>
        <v>-3369</v>
      </c>
      <c r="I41" s="552"/>
      <c r="J41" s="552"/>
      <c r="K41" s="701">
        <v>3369</v>
      </c>
      <c r="L41" s="479">
        <f t="shared" ref="L41" si="24">SUM(I41:K41)</f>
        <v>3369</v>
      </c>
      <c r="M41" s="552"/>
      <c r="N41" s="701"/>
      <c r="O41" s="716"/>
      <c r="P41" s="469">
        <f t="shared" ref="P41:P66" si="25">O41+L41+H41</f>
        <v>0</v>
      </c>
      <c r="Q41" s="497" t="s">
        <v>674</v>
      </c>
    </row>
    <row r="42" spans="1:17" x14ac:dyDescent="0.25">
      <c r="A42" s="465"/>
      <c r="B42" s="551"/>
      <c r="C42" s="552"/>
      <c r="D42" s="552"/>
      <c r="E42" s="552"/>
      <c r="F42" s="552"/>
      <c r="G42" s="701"/>
      <c r="H42" s="469"/>
      <c r="I42" s="552"/>
      <c r="J42" s="552"/>
      <c r="K42" s="701"/>
      <c r="L42" s="479"/>
      <c r="M42" s="552"/>
      <c r="N42" s="701"/>
      <c r="O42" s="716"/>
      <c r="P42" s="469"/>
    </row>
    <row r="43" spans="1:17" x14ac:dyDescent="0.25">
      <c r="A43" s="465"/>
      <c r="B43" s="491" t="s">
        <v>1030</v>
      </c>
      <c r="C43" s="552"/>
      <c r="D43" s="552"/>
      <c r="E43" s="552"/>
      <c r="F43" s="552"/>
      <c r="G43" s="701"/>
      <c r="H43" s="469"/>
      <c r="I43" s="552"/>
      <c r="J43" s="552"/>
      <c r="K43" s="701"/>
      <c r="L43" s="479"/>
      <c r="M43" s="552"/>
      <c r="N43" s="701"/>
      <c r="O43" s="716"/>
      <c r="P43" s="469">
        <f t="shared" si="25"/>
        <v>0</v>
      </c>
    </row>
    <row r="44" spans="1:17" ht="31.5" x14ac:dyDescent="0.25">
      <c r="A44" s="465"/>
      <c r="B44" s="713" t="s">
        <v>933</v>
      </c>
      <c r="C44" s="552"/>
      <c r="D44" s="552"/>
      <c r="E44" s="552">
        <v>-10000</v>
      </c>
      <c r="F44" s="552"/>
      <c r="G44" s="552"/>
      <c r="H44" s="469">
        <f t="shared" ref="H44:H47" si="26">SUM(C44:G44)</f>
        <v>-10000</v>
      </c>
      <c r="I44" s="552"/>
      <c r="J44" s="552"/>
      <c r="K44" s="701"/>
      <c r="L44" s="479">
        <f t="shared" ref="L44:L52" si="27">SUM(I44:K44)</f>
        <v>0</v>
      </c>
      <c r="M44" s="552"/>
      <c r="N44" s="701"/>
      <c r="O44" s="716"/>
      <c r="P44" s="469">
        <f t="shared" si="25"/>
        <v>-10000</v>
      </c>
      <c r="Q44" s="497" t="s">
        <v>674</v>
      </c>
    </row>
    <row r="45" spans="1:17" ht="31.5" x14ac:dyDescent="0.25">
      <c r="A45" s="465"/>
      <c r="B45" s="713" t="s">
        <v>934</v>
      </c>
      <c r="C45" s="552"/>
      <c r="D45" s="552"/>
      <c r="E45" s="552"/>
      <c r="F45" s="552"/>
      <c r="G45" s="552">
        <v>-2000</v>
      </c>
      <c r="H45" s="469">
        <f t="shared" si="26"/>
        <v>-2000</v>
      </c>
      <c r="I45" s="552"/>
      <c r="J45" s="552"/>
      <c r="K45" s="701"/>
      <c r="L45" s="479">
        <f t="shared" si="27"/>
        <v>0</v>
      </c>
      <c r="M45" s="552"/>
      <c r="N45" s="701"/>
      <c r="O45" s="716"/>
      <c r="P45" s="469">
        <f t="shared" si="25"/>
        <v>-2000</v>
      </c>
      <c r="Q45" s="497" t="s">
        <v>674</v>
      </c>
    </row>
    <row r="46" spans="1:17" ht="47.25" x14ac:dyDescent="0.25">
      <c r="A46" s="465"/>
      <c r="B46" s="713" t="s">
        <v>935</v>
      </c>
      <c r="C46" s="552"/>
      <c r="D46" s="552"/>
      <c r="E46" s="552"/>
      <c r="F46" s="552"/>
      <c r="G46" s="552">
        <v>-500</v>
      </c>
      <c r="H46" s="469">
        <f t="shared" si="26"/>
        <v>-500</v>
      </c>
      <c r="I46" s="552"/>
      <c r="J46" s="552"/>
      <c r="K46" s="701"/>
      <c r="L46" s="479">
        <f t="shared" si="27"/>
        <v>0</v>
      </c>
      <c r="M46" s="552"/>
      <c r="N46" s="701"/>
      <c r="O46" s="716"/>
      <c r="P46" s="469">
        <f t="shared" si="25"/>
        <v>-500</v>
      </c>
      <c r="Q46" s="497" t="s">
        <v>674</v>
      </c>
    </row>
    <row r="47" spans="1:17" x14ac:dyDescent="0.25">
      <c r="A47" s="465"/>
      <c r="B47" s="713" t="s">
        <v>936</v>
      </c>
      <c r="C47" s="552"/>
      <c r="D47" s="552"/>
      <c r="E47" s="552"/>
      <c r="F47" s="552"/>
      <c r="G47" s="552">
        <v>-500</v>
      </c>
      <c r="H47" s="469">
        <f t="shared" si="26"/>
        <v>-500</v>
      </c>
      <c r="I47" s="552"/>
      <c r="J47" s="552"/>
      <c r="K47" s="701"/>
      <c r="L47" s="479">
        <f t="shared" si="27"/>
        <v>0</v>
      </c>
      <c r="M47" s="552"/>
      <c r="N47" s="701"/>
      <c r="O47" s="716"/>
      <c r="P47" s="469">
        <f t="shared" si="25"/>
        <v>-500</v>
      </c>
      <c r="Q47" s="497" t="s">
        <v>674</v>
      </c>
    </row>
    <row r="48" spans="1:17" ht="31.5" x14ac:dyDescent="0.25">
      <c r="A48" s="465"/>
      <c r="B48" s="713" t="s">
        <v>937</v>
      </c>
      <c r="C48" s="552"/>
      <c r="D48" s="552"/>
      <c r="E48" s="552"/>
      <c r="F48" s="552"/>
      <c r="G48" s="552">
        <v>-250</v>
      </c>
      <c r="H48" s="469">
        <f>SUM(C48:G48)</f>
        <v>-250</v>
      </c>
      <c r="I48" s="552"/>
      <c r="J48" s="552"/>
      <c r="K48" s="701"/>
      <c r="L48" s="479">
        <f t="shared" si="27"/>
        <v>0</v>
      </c>
      <c r="M48" s="552"/>
      <c r="N48" s="701"/>
      <c r="O48" s="716"/>
      <c r="P48" s="469">
        <f t="shared" si="25"/>
        <v>-250</v>
      </c>
      <c r="Q48" s="497" t="s">
        <v>674</v>
      </c>
    </row>
    <row r="49" spans="1:17" x14ac:dyDescent="0.25">
      <c r="A49" s="465"/>
      <c r="B49" s="713" t="s">
        <v>938</v>
      </c>
      <c r="C49" s="552"/>
      <c r="D49" s="552"/>
      <c r="E49" s="552"/>
      <c r="F49" s="552"/>
      <c r="G49" s="552">
        <v>-1000</v>
      </c>
      <c r="H49" s="469">
        <f t="shared" ref="H49:H52" si="28">SUM(C49:G49)</f>
        <v>-1000</v>
      </c>
      <c r="I49" s="552"/>
      <c r="J49" s="552"/>
      <c r="K49" s="701"/>
      <c r="L49" s="479">
        <f t="shared" si="27"/>
        <v>0</v>
      </c>
      <c r="M49" s="552"/>
      <c r="N49" s="701"/>
      <c r="O49" s="716"/>
      <c r="P49" s="469">
        <f t="shared" ref="P49:P52" si="29">O49+L49+H49</f>
        <v>-1000</v>
      </c>
      <c r="Q49" s="497" t="s">
        <v>674</v>
      </c>
    </row>
    <row r="50" spans="1:17" x14ac:dyDescent="0.25">
      <c r="A50" s="465"/>
      <c r="B50" s="713" t="s">
        <v>939</v>
      </c>
      <c r="C50" s="552"/>
      <c r="D50" s="552"/>
      <c r="E50" s="552"/>
      <c r="F50" s="552"/>
      <c r="G50" s="552">
        <v>-250</v>
      </c>
      <c r="H50" s="469">
        <f t="shared" si="28"/>
        <v>-250</v>
      </c>
      <c r="I50" s="552"/>
      <c r="J50" s="552"/>
      <c r="K50" s="701"/>
      <c r="L50" s="479">
        <f t="shared" si="27"/>
        <v>0</v>
      </c>
      <c r="M50" s="552"/>
      <c r="N50" s="701"/>
      <c r="O50" s="716"/>
      <c r="P50" s="469">
        <f t="shared" si="29"/>
        <v>-250</v>
      </c>
      <c r="Q50" s="497" t="s">
        <v>674</v>
      </c>
    </row>
    <row r="51" spans="1:17" x14ac:dyDescent="0.25">
      <c r="A51" s="465"/>
      <c r="B51" s="713" t="s">
        <v>940</v>
      </c>
      <c r="C51" s="552"/>
      <c r="D51" s="552"/>
      <c r="E51" s="552"/>
      <c r="F51" s="552"/>
      <c r="G51" s="552">
        <v>-100</v>
      </c>
      <c r="H51" s="469">
        <f t="shared" si="28"/>
        <v>-100</v>
      </c>
      <c r="I51" s="552"/>
      <c r="J51" s="552"/>
      <c r="K51" s="701"/>
      <c r="L51" s="479">
        <f t="shared" si="27"/>
        <v>0</v>
      </c>
      <c r="M51" s="552"/>
      <c r="N51" s="701"/>
      <c r="O51" s="716"/>
      <c r="P51" s="469">
        <f t="shared" si="29"/>
        <v>-100</v>
      </c>
      <c r="Q51" s="497" t="s">
        <v>674</v>
      </c>
    </row>
    <row r="52" spans="1:17" ht="47.25" x14ac:dyDescent="0.25">
      <c r="A52" s="465"/>
      <c r="B52" s="713" t="s">
        <v>941</v>
      </c>
      <c r="C52" s="552"/>
      <c r="D52" s="552"/>
      <c r="E52" s="552"/>
      <c r="F52" s="552"/>
      <c r="G52" s="552">
        <v>-2500</v>
      </c>
      <c r="H52" s="469">
        <f t="shared" si="28"/>
        <v>-2500</v>
      </c>
      <c r="I52" s="552"/>
      <c r="J52" s="552"/>
      <c r="K52" s="701"/>
      <c r="L52" s="479">
        <f t="shared" si="27"/>
        <v>0</v>
      </c>
      <c r="M52" s="552"/>
      <c r="N52" s="701"/>
      <c r="O52" s="716"/>
      <c r="P52" s="469">
        <f t="shared" si="29"/>
        <v>-2500</v>
      </c>
      <c r="Q52" s="497" t="s">
        <v>674</v>
      </c>
    </row>
    <row r="53" spans="1:17" ht="31.5" x14ac:dyDescent="0.25">
      <c r="A53" s="465"/>
      <c r="B53" s="713" t="s">
        <v>942</v>
      </c>
      <c r="C53" s="552">
        <v>-3335</v>
      </c>
      <c r="D53" s="552">
        <v>-882</v>
      </c>
      <c r="E53" s="552">
        <v>-483</v>
      </c>
      <c r="F53" s="552"/>
      <c r="G53" s="552"/>
      <c r="H53" s="469">
        <f t="shared" ref="H53:H56" si="30">SUM(C53:G53)</f>
        <v>-4700</v>
      </c>
      <c r="I53" s="552"/>
      <c r="J53" s="552"/>
      <c r="K53" s="701"/>
      <c r="L53" s="479">
        <f t="shared" ref="L53:L57" si="31">SUM(I53:K53)</f>
        <v>0</v>
      </c>
      <c r="M53" s="552"/>
      <c r="N53" s="701"/>
      <c r="O53" s="716"/>
      <c r="P53" s="469">
        <f t="shared" ref="P53:P57" si="32">O53+L53+H53</f>
        <v>-4700</v>
      </c>
      <c r="Q53" s="497" t="s">
        <v>674</v>
      </c>
    </row>
    <row r="54" spans="1:17" x14ac:dyDescent="0.25">
      <c r="A54" s="465"/>
      <c r="B54" s="713" t="s">
        <v>943</v>
      </c>
      <c r="C54" s="552"/>
      <c r="D54" s="552"/>
      <c r="E54" s="552"/>
      <c r="F54" s="552"/>
      <c r="G54" s="552">
        <v>-500</v>
      </c>
      <c r="H54" s="469">
        <f t="shared" si="30"/>
        <v>-500</v>
      </c>
      <c r="I54" s="552"/>
      <c r="J54" s="552"/>
      <c r="K54" s="701"/>
      <c r="L54" s="479">
        <f t="shared" si="31"/>
        <v>0</v>
      </c>
      <c r="M54" s="552"/>
      <c r="N54" s="701"/>
      <c r="O54" s="716"/>
      <c r="P54" s="469">
        <f t="shared" si="32"/>
        <v>-500</v>
      </c>
      <c r="Q54" s="497" t="s">
        <v>674</v>
      </c>
    </row>
    <row r="55" spans="1:17" ht="31.5" x14ac:dyDescent="0.25">
      <c r="A55" s="465"/>
      <c r="B55" s="713" t="s">
        <v>944</v>
      </c>
      <c r="C55" s="552"/>
      <c r="D55" s="552"/>
      <c r="E55" s="552"/>
      <c r="F55" s="552"/>
      <c r="G55" s="552">
        <v>-2000</v>
      </c>
      <c r="H55" s="469">
        <f t="shared" si="30"/>
        <v>-2000</v>
      </c>
      <c r="I55" s="552"/>
      <c r="J55" s="552"/>
      <c r="K55" s="701"/>
      <c r="L55" s="479">
        <f t="shared" si="31"/>
        <v>0</v>
      </c>
      <c r="M55" s="552"/>
      <c r="N55" s="701"/>
      <c r="O55" s="716"/>
      <c r="P55" s="469">
        <f t="shared" si="32"/>
        <v>-2000</v>
      </c>
      <c r="Q55" s="497" t="s">
        <v>674</v>
      </c>
    </row>
    <row r="56" spans="1:17" ht="47.25" x14ac:dyDescent="0.25">
      <c r="A56" s="465"/>
      <c r="B56" s="713" t="s">
        <v>945</v>
      </c>
      <c r="C56" s="552"/>
      <c r="D56" s="552"/>
      <c r="E56" s="552"/>
      <c r="F56" s="552"/>
      <c r="G56" s="552">
        <v>-4000</v>
      </c>
      <c r="H56" s="469">
        <f t="shared" si="30"/>
        <v>-4000</v>
      </c>
      <c r="I56" s="552"/>
      <c r="J56" s="552"/>
      <c r="K56" s="701"/>
      <c r="L56" s="479">
        <f t="shared" si="31"/>
        <v>0</v>
      </c>
      <c r="M56" s="552"/>
      <c r="N56" s="701"/>
      <c r="O56" s="716"/>
      <c r="P56" s="469">
        <f t="shared" si="32"/>
        <v>-4000</v>
      </c>
      <c r="Q56" s="497" t="s">
        <v>674</v>
      </c>
    </row>
    <row r="57" spans="1:17" ht="47.25" x14ac:dyDescent="0.25">
      <c r="A57" s="465"/>
      <c r="B57" s="713" t="s">
        <v>946</v>
      </c>
      <c r="C57" s="552"/>
      <c r="D57" s="552"/>
      <c r="E57" s="552"/>
      <c r="F57" s="552"/>
      <c r="G57" s="552">
        <v>-600</v>
      </c>
      <c r="H57" s="469">
        <f>SUM(C57:G57)</f>
        <v>-600</v>
      </c>
      <c r="I57" s="552"/>
      <c r="J57" s="552"/>
      <c r="K57" s="701"/>
      <c r="L57" s="479">
        <f t="shared" si="31"/>
        <v>0</v>
      </c>
      <c r="M57" s="552"/>
      <c r="N57" s="701"/>
      <c r="O57" s="716"/>
      <c r="P57" s="469">
        <f t="shared" si="32"/>
        <v>-600</v>
      </c>
      <c r="Q57" s="497" t="s">
        <v>674</v>
      </c>
    </row>
    <row r="58" spans="1:17" x14ac:dyDescent="0.25">
      <c r="A58" s="465"/>
      <c r="B58" s="713" t="s">
        <v>947</v>
      </c>
      <c r="C58" s="552"/>
      <c r="D58" s="552"/>
      <c r="E58" s="552"/>
      <c r="F58" s="552"/>
      <c r="G58" s="552">
        <v>-2500</v>
      </c>
      <c r="H58" s="469">
        <f t="shared" ref="H58:H61" si="33">SUM(C58:G58)</f>
        <v>-2500</v>
      </c>
      <c r="I58" s="552"/>
      <c r="J58" s="552"/>
      <c r="K58" s="701"/>
      <c r="L58" s="479">
        <f t="shared" ref="L58:L67" si="34">SUM(I58:K58)</f>
        <v>0</v>
      </c>
      <c r="M58" s="552"/>
      <c r="N58" s="701"/>
      <c r="O58" s="716"/>
      <c r="P58" s="469">
        <f t="shared" si="25"/>
        <v>-2500</v>
      </c>
      <c r="Q58" s="497" t="s">
        <v>674</v>
      </c>
    </row>
    <row r="59" spans="1:17" x14ac:dyDescent="0.25">
      <c r="A59" s="465"/>
      <c r="B59" s="713" t="s">
        <v>948</v>
      </c>
      <c r="C59" s="552"/>
      <c r="D59" s="552"/>
      <c r="E59" s="552">
        <v>-2346</v>
      </c>
      <c r="F59" s="552"/>
      <c r="G59" s="552"/>
      <c r="H59" s="469">
        <f t="shared" si="33"/>
        <v>-2346</v>
      </c>
      <c r="I59" s="552"/>
      <c r="J59" s="552"/>
      <c r="K59" s="701"/>
      <c r="L59" s="479">
        <f t="shared" si="34"/>
        <v>0</v>
      </c>
      <c r="M59" s="552"/>
      <c r="N59" s="701"/>
      <c r="O59" s="716"/>
      <c r="P59" s="469">
        <f t="shared" si="25"/>
        <v>-2346</v>
      </c>
      <c r="Q59" s="497" t="s">
        <v>674</v>
      </c>
    </row>
    <row r="60" spans="1:17" ht="31.5" x14ac:dyDescent="0.25">
      <c r="A60" s="465"/>
      <c r="B60" s="713" t="s">
        <v>949</v>
      </c>
      <c r="C60" s="552"/>
      <c r="D60" s="552"/>
      <c r="E60" s="552"/>
      <c r="F60" s="552"/>
      <c r="G60" s="552">
        <v>-1000</v>
      </c>
      <c r="H60" s="469">
        <f t="shared" si="33"/>
        <v>-1000</v>
      </c>
      <c r="I60" s="552"/>
      <c r="J60" s="552"/>
      <c r="K60" s="701"/>
      <c r="L60" s="479">
        <f t="shared" si="34"/>
        <v>0</v>
      </c>
      <c r="M60" s="552"/>
      <c r="N60" s="701"/>
      <c r="O60" s="716"/>
      <c r="P60" s="469">
        <f t="shared" si="25"/>
        <v>-1000</v>
      </c>
      <c r="Q60" s="497" t="s">
        <v>674</v>
      </c>
    </row>
    <row r="61" spans="1:17" ht="31.5" x14ac:dyDescent="0.25">
      <c r="A61" s="465"/>
      <c r="B61" s="713" t="s">
        <v>950</v>
      </c>
      <c r="C61" s="552"/>
      <c r="D61" s="552"/>
      <c r="E61" s="552"/>
      <c r="F61" s="552"/>
      <c r="G61" s="552">
        <v>-2000</v>
      </c>
      <c r="H61" s="469">
        <f t="shared" si="33"/>
        <v>-2000</v>
      </c>
      <c r="I61" s="552"/>
      <c r="J61" s="552"/>
      <c r="K61" s="701"/>
      <c r="L61" s="479">
        <f t="shared" si="34"/>
        <v>0</v>
      </c>
      <c r="M61" s="552"/>
      <c r="N61" s="701"/>
      <c r="O61" s="716"/>
      <c r="P61" s="469">
        <f t="shared" si="25"/>
        <v>-2000</v>
      </c>
      <c r="Q61" s="497" t="s">
        <v>674</v>
      </c>
    </row>
    <row r="62" spans="1:17" ht="31.5" x14ac:dyDescent="0.25">
      <c r="A62" s="465"/>
      <c r="B62" s="713" t="s">
        <v>951</v>
      </c>
      <c r="C62" s="552"/>
      <c r="D62" s="552"/>
      <c r="E62" s="552"/>
      <c r="F62" s="552"/>
      <c r="G62" s="552">
        <v>-1800</v>
      </c>
      <c r="H62" s="469">
        <f>SUM(C62:G62)</f>
        <v>-1800</v>
      </c>
      <c r="I62" s="552"/>
      <c r="J62" s="552"/>
      <c r="K62" s="701"/>
      <c r="L62" s="479">
        <f t="shared" ref="L62:L66" si="35">SUM(I62:K62)</f>
        <v>0</v>
      </c>
      <c r="M62" s="552"/>
      <c r="N62" s="701"/>
      <c r="O62" s="716"/>
      <c r="P62" s="469">
        <f t="shared" si="25"/>
        <v>-1800</v>
      </c>
      <c r="Q62" s="497" t="s">
        <v>674</v>
      </c>
    </row>
    <row r="63" spans="1:17" x14ac:dyDescent="0.25">
      <c r="A63" s="465"/>
      <c r="B63" s="713" t="s">
        <v>952</v>
      </c>
      <c r="C63" s="552"/>
      <c r="D63" s="552"/>
      <c r="E63" s="552"/>
      <c r="F63" s="552"/>
      <c r="G63" s="552">
        <v>-1000</v>
      </c>
      <c r="H63" s="469">
        <f t="shared" ref="H63:H66" si="36">SUM(C63:G63)</f>
        <v>-1000</v>
      </c>
      <c r="I63" s="552"/>
      <c r="J63" s="552"/>
      <c r="K63" s="701"/>
      <c r="L63" s="479">
        <f t="shared" si="35"/>
        <v>0</v>
      </c>
      <c r="M63" s="552"/>
      <c r="N63" s="701"/>
      <c r="O63" s="716"/>
      <c r="P63" s="469">
        <f t="shared" si="25"/>
        <v>-1000</v>
      </c>
      <c r="Q63" s="497" t="s">
        <v>674</v>
      </c>
    </row>
    <row r="64" spans="1:17" x14ac:dyDescent="0.25">
      <c r="A64" s="465"/>
      <c r="B64" s="713" t="s">
        <v>953</v>
      </c>
      <c r="C64" s="552"/>
      <c r="D64" s="552"/>
      <c r="E64" s="552"/>
      <c r="F64" s="552"/>
      <c r="G64" s="552">
        <v>-500</v>
      </c>
      <c r="H64" s="469">
        <f t="shared" si="36"/>
        <v>-500</v>
      </c>
      <c r="I64" s="552"/>
      <c r="J64" s="552"/>
      <c r="K64" s="701"/>
      <c r="L64" s="479">
        <f t="shared" si="35"/>
        <v>0</v>
      </c>
      <c r="M64" s="552"/>
      <c r="N64" s="701"/>
      <c r="O64" s="716"/>
      <c r="P64" s="469">
        <f t="shared" si="25"/>
        <v>-500</v>
      </c>
      <c r="Q64" s="497" t="s">
        <v>674</v>
      </c>
    </row>
    <row r="65" spans="1:17" x14ac:dyDescent="0.25">
      <c r="A65" s="465"/>
      <c r="B65" s="713" t="s">
        <v>954</v>
      </c>
      <c r="C65" s="552"/>
      <c r="D65" s="552"/>
      <c r="E65" s="552"/>
      <c r="F65" s="552"/>
      <c r="G65" s="552">
        <f>-1000-483</f>
        <v>-1483</v>
      </c>
      <c r="H65" s="469">
        <f t="shared" si="36"/>
        <v>-1483</v>
      </c>
      <c r="I65" s="552"/>
      <c r="J65" s="552"/>
      <c r="K65" s="701"/>
      <c r="L65" s="479">
        <f t="shared" si="35"/>
        <v>0</v>
      </c>
      <c r="M65" s="552"/>
      <c r="N65" s="701"/>
      <c r="O65" s="716"/>
      <c r="P65" s="469">
        <f t="shared" si="25"/>
        <v>-1483</v>
      </c>
      <c r="Q65" s="497" t="s">
        <v>674</v>
      </c>
    </row>
    <row r="66" spans="1:17" x14ac:dyDescent="0.25">
      <c r="A66" s="465"/>
      <c r="B66" s="713" t="s">
        <v>955</v>
      </c>
      <c r="C66" s="552"/>
      <c r="D66" s="552"/>
      <c r="E66" s="552"/>
      <c r="F66" s="552"/>
      <c r="G66" s="552">
        <v>-10000</v>
      </c>
      <c r="H66" s="469">
        <f t="shared" si="36"/>
        <v>-10000</v>
      </c>
      <c r="I66" s="552"/>
      <c r="J66" s="552"/>
      <c r="K66" s="701"/>
      <c r="L66" s="479">
        <f t="shared" si="35"/>
        <v>0</v>
      </c>
      <c r="M66" s="552"/>
      <c r="N66" s="701"/>
      <c r="O66" s="716"/>
      <c r="P66" s="469">
        <f t="shared" si="25"/>
        <v>-10000</v>
      </c>
      <c r="Q66" s="497" t="s">
        <v>674</v>
      </c>
    </row>
    <row r="67" spans="1:17" x14ac:dyDescent="0.25">
      <c r="A67" s="465"/>
      <c r="B67" s="713" t="s">
        <v>956</v>
      </c>
      <c r="C67" s="552"/>
      <c r="D67" s="552"/>
      <c r="E67" s="552"/>
      <c r="F67" s="552"/>
      <c r="G67" s="552">
        <v>-5000</v>
      </c>
      <c r="H67" s="469">
        <f>SUM(C67:G67)</f>
        <v>-5000</v>
      </c>
      <c r="I67" s="552"/>
      <c r="J67" s="552"/>
      <c r="K67" s="701"/>
      <c r="L67" s="479">
        <f t="shared" si="34"/>
        <v>0</v>
      </c>
      <c r="M67" s="552"/>
      <c r="N67" s="701"/>
      <c r="O67" s="716"/>
      <c r="P67" s="469">
        <f t="shared" ref="P67" si="37">O67+L67+H67</f>
        <v>-5000</v>
      </c>
      <c r="Q67" s="497" t="s">
        <v>674</v>
      </c>
    </row>
    <row r="68" spans="1:17" x14ac:dyDescent="0.25">
      <c r="A68" s="465"/>
      <c r="B68" s="713" t="s">
        <v>957</v>
      </c>
      <c r="C68" s="552"/>
      <c r="D68" s="552"/>
      <c r="E68" s="552"/>
      <c r="F68" s="552"/>
      <c r="G68" s="552">
        <v>-5000</v>
      </c>
      <c r="H68" s="469">
        <f t="shared" ref="H68:H69" si="38">SUM(C68:G68)</f>
        <v>-5000</v>
      </c>
      <c r="I68" s="552"/>
      <c r="J68" s="552"/>
      <c r="K68" s="701"/>
      <c r="L68" s="479">
        <f t="shared" ref="L68:L69" si="39">SUM(I68:K68)</f>
        <v>0</v>
      </c>
      <c r="M68" s="552"/>
      <c r="N68" s="701"/>
      <c r="O68" s="716"/>
      <c r="P68" s="469">
        <f t="shared" ref="P68:P69" si="40">O68+L68+H68</f>
        <v>-5000</v>
      </c>
      <c r="Q68" s="497" t="s">
        <v>674</v>
      </c>
    </row>
    <row r="69" spans="1:17" x14ac:dyDescent="0.25">
      <c r="A69" s="465"/>
      <c r="B69" s="713" t="s">
        <v>958</v>
      </c>
      <c r="C69" s="552"/>
      <c r="D69" s="552"/>
      <c r="E69" s="552"/>
      <c r="F69" s="552"/>
      <c r="G69" s="552">
        <v>-5000</v>
      </c>
      <c r="H69" s="469">
        <f t="shared" si="38"/>
        <v>-5000</v>
      </c>
      <c r="I69" s="552"/>
      <c r="J69" s="552"/>
      <c r="K69" s="701"/>
      <c r="L69" s="479">
        <f t="shared" si="39"/>
        <v>0</v>
      </c>
      <c r="M69" s="552"/>
      <c r="N69" s="701"/>
      <c r="O69" s="716"/>
      <c r="P69" s="469">
        <f t="shared" si="40"/>
        <v>-5000</v>
      </c>
      <c r="Q69" s="497" t="s">
        <v>674</v>
      </c>
    </row>
    <row r="70" spans="1:17" x14ac:dyDescent="0.25">
      <c r="A70" s="465"/>
      <c r="B70" s="551"/>
      <c r="C70" s="552"/>
      <c r="D70" s="552"/>
      <c r="E70" s="552"/>
      <c r="F70" s="552"/>
      <c r="G70" s="701"/>
      <c r="H70" s="469"/>
      <c r="I70" s="552"/>
      <c r="J70" s="552"/>
      <c r="K70" s="701"/>
      <c r="L70" s="479"/>
      <c r="M70" s="552"/>
      <c r="N70" s="701"/>
      <c r="O70" s="716"/>
      <c r="P70" s="469"/>
    </row>
    <row r="71" spans="1:17" x14ac:dyDescent="0.25">
      <c r="A71" s="488"/>
      <c r="B71" s="492" t="s">
        <v>103</v>
      </c>
      <c r="C71" s="717"/>
      <c r="D71" s="708"/>
      <c r="E71" s="708"/>
      <c r="F71" s="708"/>
      <c r="G71" s="718"/>
      <c r="H71" s="469"/>
      <c r="I71" s="717"/>
      <c r="J71" s="717"/>
      <c r="K71" s="720"/>
      <c r="L71" s="479"/>
      <c r="M71" s="717"/>
      <c r="N71" s="720"/>
      <c r="O71" s="719"/>
      <c r="P71" s="469"/>
    </row>
    <row r="72" spans="1:17" s="487" customFormat="1" x14ac:dyDescent="0.25">
      <c r="A72" s="482"/>
      <c r="B72" s="491" t="s">
        <v>918</v>
      </c>
      <c r="C72" s="483"/>
      <c r="D72" s="483"/>
      <c r="E72" s="483"/>
      <c r="F72" s="483"/>
      <c r="G72" s="484"/>
      <c r="H72" s="485"/>
      <c r="I72" s="483"/>
      <c r="J72" s="483"/>
      <c r="K72" s="484"/>
      <c r="L72" s="486"/>
      <c r="M72" s="483"/>
      <c r="N72" s="484"/>
      <c r="O72" s="485"/>
      <c r="P72" s="485"/>
    </row>
    <row r="73" spans="1:17" x14ac:dyDescent="0.25">
      <c r="A73" s="721"/>
      <c r="B73" s="713" t="s">
        <v>807</v>
      </c>
      <c r="C73" s="552">
        <v>-2000</v>
      </c>
      <c r="D73" s="552">
        <v>-1000</v>
      </c>
      <c r="E73" s="552">
        <v>-2000</v>
      </c>
      <c r="F73" s="552"/>
      <c r="G73" s="484"/>
      <c r="H73" s="469">
        <f>SUM(C73:G73)</f>
        <v>-5000</v>
      </c>
      <c r="I73" s="467"/>
      <c r="J73" s="467"/>
      <c r="K73" s="701"/>
      <c r="L73" s="479">
        <f>SUM(I73:K73)</f>
        <v>0</v>
      </c>
      <c r="M73" s="467"/>
      <c r="N73" s="468"/>
      <c r="O73" s="469"/>
      <c r="P73" s="469">
        <f>O73+L73+H73</f>
        <v>-5000</v>
      </c>
      <c r="Q73" s="497" t="s">
        <v>674</v>
      </c>
    </row>
    <row r="74" spans="1:17" s="487" customFormat="1" x14ac:dyDescent="0.25">
      <c r="A74" s="482"/>
      <c r="B74" s="491" t="s">
        <v>690</v>
      </c>
      <c r="C74" s="483"/>
      <c r="D74" s="483"/>
      <c r="E74" s="483"/>
      <c r="F74" s="483"/>
      <c r="G74" s="484"/>
      <c r="H74" s="485"/>
      <c r="I74" s="483"/>
      <c r="J74" s="483"/>
      <c r="K74" s="484"/>
      <c r="L74" s="486"/>
      <c r="M74" s="483"/>
      <c r="N74" s="484"/>
      <c r="O74" s="485"/>
      <c r="P74" s="485"/>
    </row>
    <row r="75" spans="1:17" x14ac:dyDescent="0.25">
      <c r="A75" s="721"/>
      <c r="B75" s="713" t="s">
        <v>807</v>
      </c>
      <c r="C75" s="552">
        <v>-500</v>
      </c>
      <c r="D75" s="483"/>
      <c r="E75" s="483"/>
      <c r="F75" s="552"/>
      <c r="G75" s="701">
        <v>500</v>
      </c>
      <c r="H75" s="469">
        <f>SUM(C75:G75)</f>
        <v>0</v>
      </c>
      <c r="I75" s="467"/>
      <c r="J75" s="467"/>
      <c r="K75" s="701"/>
      <c r="L75" s="479">
        <f>SUM(I75:K75)</f>
        <v>0</v>
      </c>
      <c r="M75" s="467"/>
      <c r="N75" s="468"/>
      <c r="O75" s="469"/>
      <c r="P75" s="469">
        <f>O75+L75+H75</f>
        <v>0</v>
      </c>
      <c r="Q75" s="497" t="s">
        <v>674</v>
      </c>
    </row>
    <row r="76" spans="1:17" x14ac:dyDescent="0.25">
      <c r="A76" s="721"/>
      <c r="B76" s="713" t="s">
        <v>1034</v>
      </c>
      <c r="C76" s="552"/>
      <c r="D76" s="483"/>
      <c r="E76" s="552">
        <v>-100</v>
      </c>
      <c r="F76" s="483"/>
      <c r="G76" s="552">
        <v>100</v>
      </c>
      <c r="H76" s="469">
        <f>SUM(C76:G76)</f>
        <v>0</v>
      </c>
      <c r="I76" s="467"/>
      <c r="J76" s="467"/>
      <c r="K76" s="701"/>
      <c r="L76" s="479">
        <f>SUM(I76:K76)</f>
        <v>0</v>
      </c>
      <c r="M76" s="467"/>
      <c r="N76" s="468"/>
      <c r="O76" s="469"/>
      <c r="P76" s="469">
        <f>O76+L76+H76</f>
        <v>0</v>
      </c>
      <c r="Q76" s="497" t="s">
        <v>674</v>
      </c>
    </row>
    <row r="77" spans="1:17" x14ac:dyDescent="0.25">
      <c r="A77" s="721"/>
      <c r="B77" s="713"/>
      <c r="C77" s="552"/>
      <c r="D77" s="552"/>
      <c r="E77" s="552"/>
      <c r="F77" s="552"/>
      <c r="G77" s="701"/>
      <c r="H77" s="469"/>
      <c r="I77" s="467"/>
      <c r="J77" s="467"/>
      <c r="K77" s="701"/>
      <c r="L77" s="479"/>
      <c r="M77" s="467"/>
      <c r="N77" s="468"/>
      <c r="O77" s="469"/>
      <c r="P77" s="469"/>
    </row>
    <row r="78" spans="1:17" x14ac:dyDescent="0.25">
      <c r="A78" s="488"/>
      <c r="B78" s="492" t="s">
        <v>126</v>
      </c>
      <c r="C78" s="717"/>
      <c r="D78" s="708"/>
      <c r="E78" s="708"/>
      <c r="F78" s="708"/>
      <c r="G78" s="718"/>
      <c r="H78" s="469"/>
      <c r="I78" s="717"/>
      <c r="J78" s="717"/>
      <c r="K78" s="720"/>
      <c r="L78" s="479"/>
      <c r="M78" s="717"/>
      <c r="N78" s="720"/>
      <c r="O78" s="719"/>
      <c r="P78" s="469"/>
    </row>
    <row r="79" spans="1:17" s="487" customFormat="1" x14ac:dyDescent="0.25">
      <c r="A79" s="482"/>
      <c r="B79" s="491" t="s">
        <v>690</v>
      </c>
      <c r="C79" s="483"/>
      <c r="D79" s="483"/>
      <c r="E79" s="483"/>
      <c r="F79" s="483"/>
      <c r="G79" s="484"/>
      <c r="H79" s="485"/>
      <c r="I79" s="483"/>
      <c r="J79" s="483"/>
      <c r="K79" s="484"/>
      <c r="L79" s="486"/>
      <c r="M79" s="483"/>
      <c r="N79" s="484"/>
      <c r="O79" s="485"/>
      <c r="P79" s="485"/>
    </row>
    <row r="80" spans="1:17" x14ac:dyDescent="0.25">
      <c r="A80" s="721"/>
      <c r="B80" s="713" t="s">
        <v>901</v>
      </c>
      <c r="C80" s="552"/>
      <c r="D80" s="552"/>
      <c r="E80" s="552">
        <v>53</v>
      </c>
      <c r="F80" s="552"/>
      <c r="G80" s="701"/>
      <c r="H80" s="469">
        <f>SUM(C80:G80)</f>
        <v>53</v>
      </c>
      <c r="I80" s="467"/>
      <c r="J80" s="467"/>
      <c r="K80" s="701"/>
      <c r="L80" s="479">
        <f>SUM(I80:K80)</f>
        <v>0</v>
      </c>
      <c r="M80" s="467"/>
      <c r="N80" s="468"/>
      <c r="O80" s="469"/>
      <c r="P80" s="469">
        <f>O80+L80+H80</f>
        <v>53</v>
      </c>
      <c r="Q80" s="497" t="s">
        <v>674</v>
      </c>
    </row>
    <row r="81" spans="1:17" x14ac:dyDescent="0.25">
      <c r="A81" s="721"/>
      <c r="B81" s="713"/>
      <c r="C81" s="552"/>
      <c r="D81" s="552"/>
      <c r="E81" s="552"/>
      <c r="F81" s="552"/>
      <c r="G81" s="701"/>
      <c r="H81" s="469"/>
      <c r="I81" s="467"/>
      <c r="J81" s="467"/>
      <c r="K81" s="701"/>
      <c r="L81" s="479"/>
      <c r="M81" s="467"/>
      <c r="N81" s="468"/>
      <c r="O81" s="469"/>
      <c r="P81" s="469"/>
    </row>
    <row r="82" spans="1:17" ht="31.5" x14ac:dyDescent="0.25">
      <c r="A82" s="721"/>
      <c r="B82" s="480" t="s">
        <v>105</v>
      </c>
      <c r="C82" s="552"/>
      <c r="D82" s="552"/>
      <c r="E82" s="552"/>
      <c r="F82" s="552"/>
      <c r="G82" s="701"/>
      <c r="H82" s="469"/>
      <c r="I82" s="467"/>
      <c r="J82" s="467"/>
      <c r="K82" s="701"/>
      <c r="L82" s="479"/>
      <c r="M82" s="467"/>
      <c r="N82" s="468"/>
      <c r="O82" s="469"/>
      <c r="P82" s="469"/>
    </row>
    <row r="83" spans="1:17" ht="31.5" x14ac:dyDescent="0.25">
      <c r="A83" s="721"/>
      <c r="B83" s="491" t="s">
        <v>584</v>
      </c>
      <c r="C83" s="552"/>
      <c r="D83" s="552"/>
      <c r="E83" s="552"/>
      <c r="F83" s="552"/>
      <c r="G83" s="701"/>
      <c r="H83" s="469"/>
      <c r="I83" s="467"/>
      <c r="J83" s="467"/>
      <c r="K83" s="701"/>
      <c r="L83" s="479"/>
      <c r="M83" s="467"/>
      <c r="N83" s="468"/>
      <c r="O83" s="469"/>
      <c r="P83" s="469"/>
    </row>
    <row r="84" spans="1:17" x14ac:dyDescent="0.25">
      <c r="A84" s="721"/>
      <c r="B84" s="713"/>
      <c r="C84" s="552"/>
      <c r="D84" s="552"/>
      <c r="E84" s="552"/>
      <c r="F84" s="552"/>
      <c r="G84" s="701"/>
      <c r="H84" s="469">
        <f t="shared" ref="H84" si="41">SUM(C84:G84)</f>
        <v>0</v>
      </c>
      <c r="I84" s="467"/>
      <c r="J84" s="467"/>
      <c r="K84" s="701"/>
      <c r="L84" s="479">
        <f t="shared" ref="L84" si="42">SUM(I84:K84)</f>
        <v>0</v>
      </c>
      <c r="M84" s="467"/>
      <c r="N84" s="468"/>
      <c r="O84" s="469"/>
      <c r="P84" s="469">
        <f t="shared" ref="P84" si="43">O84+L84+H84</f>
        <v>0</v>
      </c>
      <c r="Q84" s="497" t="s">
        <v>806</v>
      </c>
    </row>
    <row r="85" spans="1:17" x14ac:dyDescent="0.25">
      <c r="A85" s="488"/>
      <c r="B85" s="492" t="s">
        <v>876</v>
      </c>
      <c r="C85" s="717"/>
      <c r="D85" s="708"/>
      <c r="E85" s="708"/>
      <c r="F85" s="708"/>
      <c r="G85" s="718"/>
      <c r="H85" s="469"/>
      <c r="I85" s="717"/>
      <c r="J85" s="717"/>
      <c r="K85" s="720"/>
      <c r="L85" s="479"/>
      <c r="M85" s="717"/>
      <c r="N85" s="720"/>
      <c r="O85" s="719"/>
      <c r="P85" s="469"/>
    </row>
    <row r="86" spans="1:17" x14ac:dyDescent="0.25">
      <c r="A86" s="488"/>
      <c r="B86" s="491" t="s">
        <v>690</v>
      </c>
      <c r="C86" s="717"/>
      <c r="D86" s="708"/>
      <c r="E86" s="708"/>
      <c r="F86" s="708"/>
      <c r="G86" s="722"/>
      <c r="H86" s="479"/>
      <c r="I86" s="717"/>
      <c r="J86" s="717"/>
      <c r="K86" s="720"/>
      <c r="L86" s="479"/>
      <c r="M86" s="717"/>
      <c r="N86" s="720"/>
      <c r="O86" s="719"/>
      <c r="P86" s="479"/>
    </row>
    <row r="87" spans="1:17" ht="31.5" x14ac:dyDescent="0.25">
      <c r="A87" s="488"/>
      <c r="B87" s="551" t="s">
        <v>877</v>
      </c>
      <c r="C87" s="717"/>
      <c r="D87" s="708"/>
      <c r="E87" s="708">
        <v>2450</v>
      </c>
      <c r="F87" s="708"/>
      <c r="G87" s="722"/>
      <c r="H87" s="479">
        <f>SUM(C87:G87)</f>
        <v>2450</v>
      </c>
      <c r="I87" s="717"/>
      <c r="J87" s="717"/>
      <c r="K87" s="720"/>
      <c r="L87" s="479">
        <f>SUM(I87:K87)</f>
        <v>0</v>
      </c>
      <c r="M87" s="717"/>
      <c r="N87" s="720"/>
      <c r="O87" s="719"/>
      <c r="P87" s="479">
        <f>O87+L87+H87</f>
        <v>2450</v>
      </c>
      <c r="Q87" s="497" t="s">
        <v>674</v>
      </c>
    </row>
    <row r="88" spans="1:17" x14ac:dyDescent="0.25">
      <c r="A88" s="488"/>
      <c r="B88" s="551" t="s">
        <v>919</v>
      </c>
      <c r="C88" s="717">
        <v>-5900</v>
      </c>
      <c r="D88" s="708"/>
      <c r="E88" s="708"/>
      <c r="F88" s="708"/>
      <c r="G88" s="722"/>
      <c r="H88" s="479">
        <f>SUM(C88:G88)</f>
        <v>-5900</v>
      </c>
      <c r="I88" s="717"/>
      <c r="J88" s="717"/>
      <c r="K88" s="720"/>
      <c r="L88" s="479">
        <f>SUM(I88:K88)</f>
        <v>0</v>
      </c>
      <c r="M88" s="717"/>
      <c r="N88" s="720"/>
      <c r="O88" s="719"/>
      <c r="P88" s="479">
        <f>O88+L88+H88</f>
        <v>-5900</v>
      </c>
      <c r="Q88" s="497" t="s">
        <v>674</v>
      </c>
    </row>
    <row r="89" spans="1:17" x14ac:dyDescent="0.25">
      <c r="A89" s="488"/>
      <c r="B89" s="551" t="s">
        <v>920</v>
      </c>
      <c r="C89" s="717"/>
      <c r="D89" s="708">
        <v>5900</v>
      </c>
      <c r="E89" s="708"/>
      <c r="F89" s="708"/>
      <c r="G89" s="722"/>
      <c r="H89" s="479">
        <f>SUM(C89:G89)</f>
        <v>5900</v>
      </c>
      <c r="I89" s="717"/>
      <c r="J89" s="717"/>
      <c r="K89" s="720"/>
      <c r="L89" s="479">
        <f>SUM(I89:K89)</f>
        <v>0</v>
      </c>
      <c r="M89" s="717"/>
      <c r="N89" s="720"/>
      <c r="O89" s="719"/>
      <c r="P89" s="479">
        <f>O89+L89+H89</f>
        <v>5900</v>
      </c>
      <c r="Q89" s="497" t="s">
        <v>674</v>
      </c>
    </row>
    <row r="90" spans="1:17" ht="31.5" x14ac:dyDescent="0.25">
      <c r="A90" s="488"/>
      <c r="B90" s="551" t="s">
        <v>1035</v>
      </c>
      <c r="C90" s="717">
        <v>-298</v>
      </c>
      <c r="D90" s="552"/>
      <c r="E90" s="708">
        <v>298</v>
      </c>
      <c r="F90" s="708"/>
      <c r="G90" s="722"/>
      <c r="H90" s="479">
        <f>SUM(C90:G90)</f>
        <v>0</v>
      </c>
      <c r="I90" s="717"/>
      <c r="J90" s="717"/>
      <c r="K90" s="720"/>
      <c r="L90" s="479">
        <f>SUM(I90:K90)</f>
        <v>0</v>
      </c>
      <c r="M90" s="717"/>
      <c r="N90" s="720"/>
      <c r="O90" s="719"/>
      <c r="P90" s="479">
        <f>O90+L90+H90</f>
        <v>0</v>
      </c>
      <c r="Q90" s="497" t="s">
        <v>674</v>
      </c>
    </row>
    <row r="91" spans="1:17" x14ac:dyDescent="0.25">
      <c r="A91" s="488"/>
      <c r="B91" s="551" t="s">
        <v>919</v>
      </c>
      <c r="C91" s="717">
        <v>-2006</v>
      </c>
      <c r="D91" s="708">
        <v>37</v>
      </c>
      <c r="E91" s="708">
        <v>1969</v>
      </c>
      <c r="F91" s="708"/>
      <c r="G91" s="722"/>
      <c r="H91" s="479">
        <f>SUM(C91:G91)</f>
        <v>0</v>
      </c>
      <c r="I91" s="717"/>
      <c r="J91" s="717"/>
      <c r="K91" s="720"/>
      <c r="L91" s="479">
        <f>SUM(I91:K91)</f>
        <v>0</v>
      </c>
      <c r="M91" s="717"/>
      <c r="N91" s="720"/>
      <c r="O91" s="719"/>
      <c r="P91" s="479">
        <f>O91+L91+H91</f>
        <v>0</v>
      </c>
      <c r="Q91" s="497" t="s">
        <v>674</v>
      </c>
    </row>
    <row r="92" spans="1:17" x14ac:dyDescent="0.25">
      <c r="A92" s="465"/>
      <c r="B92" s="723"/>
      <c r="C92" s="552"/>
      <c r="D92" s="552"/>
      <c r="E92" s="552"/>
      <c r="F92" s="552"/>
      <c r="G92" s="701"/>
      <c r="H92" s="469"/>
      <c r="I92" s="552"/>
      <c r="J92" s="552"/>
      <c r="K92" s="701"/>
      <c r="L92" s="479"/>
      <c r="M92" s="552"/>
      <c r="N92" s="701"/>
      <c r="O92" s="716"/>
      <c r="P92" s="469"/>
    </row>
    <row r="93" spans="1:17" s="487" customFormat="1" x14ac:dyDescent="0.25">
      <c r="A93" s="482"/>
      <c r="B93" s="491" t="s">
        <v>918</v>
      </c>
      <c r="C93" s="483"/>
      <c r="D93" s="483"/>
      <c r="E93" s="483"/>
      <c r="F93" s="483"/>
      <c r="G93" s="484"/>
      <c r="H93" s="485"/>
      <c r="I93" s="483"/>
      <c r="J93" s="483"/>
      <c r="K93" s="484"/>
      <c r="L93" s="486"/>
      <c r="M93" s="483"/>
      <c r="N93" s="484"/>
      <c r="O93" s="485"/>
      <c r="P93" s="485"/>
    </row>
    <row r="94" spans="1:17" x14ac:dyDescent="0.25">
      <c r="A94" s="721"/>
      <c r="B94" s="713" t="s">
        <v>1020</v>
      </c>
      <c r="C94" s="552">
        <v>-14062</v>
      </c>
      <c r="D94" s="483"/>
      <c r="E94" s="483"/>
      <c r="F94" s="552"/>
      <c r="G94" s="484"/>
      <c r="H94" s="469">
        <f>SUM(C94:G94)</f>
        <v>-14062</v>
      </c>
      <c r="I94" s="483"/>
      <c r="J94" s="467"/>
      <c r="K94" s="701"/>
      <c r="L94" s="479">
        <f>SUM(I94:K94)</f>
        <v>0</v>
      </c>
      <c r="M94" s="467"/>
      <c r="N94" s="468"/>
      <c r="O94" s="469"/>
      <c r="P94" s="469">
        <f>O94+L94+H94</f>
        <v>-14062</v>
      </c>
      <c r="Q94" s="497" t="s">
        <v>673</v>
      </c>
    </row>
    <row r="95" spans="1:17" x14ac:dyDescent="0.25">
      <c r="A95" s="721"/>
      <c r="B95" s="713"/>
      <c r="C95" s="552"/>
      <c r="D95" s="552"/>
      <c r="E95" s="552"/>
      <c r="F95" s="552"/>
      <c r="G95" s="701"/>
      <c r="H95" s="469"/>
      <c r="I95" s="467"/>
      <c r="J95" s="467"/>
      <c r="K95" s="701"/>
      <c r="L95" s="479"/>
      <c r="M95" s="467"/>
      <c r="N95" s="468"/>
      <c r="O95" s="469"/>
      <c r="P95" s="469"/>
    </row>
    <row r="96" spans="1:17" x14ac:dyDescent="0.25">
      <c r="A96" s="488"/>
      <c r="B96" s="492" t="s">
        <v>672</v>
      </c>
      <c r="C96" s="717"/>
      <c r="D96" s="708"/>
      <c r="E96" s="708"/>
      <c r="F96" s="708"/>
      <c r="G96" s="718"/>
      <c r="H96" s="469"/>
      <c r="I96" s="717"/>
      <c r="J96" s="717"/>
      <c r="K96" s="720"/>
      <c r="L96" s="479"/>
      <c r="M96" s="717"/>
      <c r="N96" s="720"/>
      <c r="O96" s="719"/>
      <c r="P96" s="469"/>
    </row>
    <row r="97" spans="1:17" x14ac:dyDescent="0.25">
      <c r="A97" s="488"/>
      <c r="B97" s="491" t="s">
        <v>690</v>
      </c>
      <c r="C97" s="717"/>
      <c r="D97" s="708"/>
      <c r="E97" s="708"/>
      <c r="F97" s="708"/>
      <c r="G97" s="722"/>
      <c r="H97" s="479"/>
      <c r="I97" s="717"/>
      <c r="J97" s="717"/>
      <c r="K97" s="720"/>
      <c r="L97" s="479"/>
      <c r="M97" s="717"/>
      <c r="N97" s="720"/>
      <c r="O97" s="719"/>
      <c r="P97" s="479"/>
    </row>
    <row r="98" spans="1:17" ht="31.5" x14ac:dyDescent="0.25">
      <c r="A98" s="488"/>
      <c r="B98" s="551" t="s">
        <v>868</v>
      </c>
      <c r="C98" s="717"/>
      <c r="D98" s="708"/>
      <c r="E98" s="708">
        <v>-100000</v>
      </c>
      <c r="F98" s="708"/>
      <c r="G98" s="718">
        <v>100000</v>
      </c>
      <c r="H98" s="479">
        <f>SUM(C98:G98)</f>
        <v>0</v>
      </c>
      <c r="I98" s="717"/>
      <c r="J98" s="717"/>
      <c r="K98" s="720"/>
      <c r="L98" s="479">
        <f>SUM(I98:K98)</f>
        <v>0</v>
      </c>
      <c r="M98" s="717"/>
      <c r="N98" s="720"/>
      <c r="O98" s="719"/>
      <c r="P98" s="479">
        <f>O98+L98+H98</f>
        <v>0</v>
      </c>
      <c r="Q98" s="497" t="s">
        <v>673</v>
      </c>
    </row>
    <row r="99" spans="1:17" x14ac:dyDescent="0.25">
      <c r="A99" s="721"/>
      <c r="B99" s="713" t="s">
        <v>959</v>
      </c>
      <c r="C99" s="483"/>
      <c r="D99" s="483"/>
      <c r="E99" s="552">
        <v>484</v>
      </c>
      <c r="F99" s="552"/>
      <c r="G99" s="484"/>
      <c r="H99" s="469">
        <f>SUM(C99:G99)</f>
        <v>484</v>
      </c>
      <c r="I99" s="552">
        <v>-484</v>
      </c>
      <c r="J99" s="467"/>
      <c r="K99" s="701"/>
      <c r="L99" s="479">
        <f>SUM(I99:K99)</f>
        <v>-484</v>
      </c>
      <c r="M99" s="467"/>
      <c r="N99" s="468"/>
      <c r="O99" s="469"/>
      <c r="P99" s="469">
        <f>O99+L99+H99</f>
        <v>0</v>
      </c>
      <c r="Q99" s="497" t="s">
        <v>673</v>
      </c>
    </row>
    <row r="100" spans="1:17" x14ac:dyDescent="0.25">
      <c r="A100" s="721"/>
      <c r="B100" s="713"/>
      <c r="C100" s="483"/>
      <c r="D100" s="483"/>
      <c r="E100" s="483"/>
      <c r="F100" s="552"/>
      <c r="G100" s="484"/>
      <c r="H100" s="469"/>
      <c r="I100" s="552"/>
      <c r="J100" s="467"/>
      <c r="K100" s="701"/>
      <c r="L100" s="479"/>
      <c r="M100" s="467"/>
      <c r="N100" s="468"/>
      <c r="O100" s="469"/>
      <c r="P100" s="469"/>
    </row>
    <row r="101" spans="1:17" s="487" customFormat="1" x14ac:dyDescent="0.25">
      <c r="A101" s="482"/>
      <c r="B101" s="491" t="s">
        <v>918</v>
      </c>
      <c r="C101" s="483"/>
      <c r="D101" s="483"/>
      <c r="E101" s="483"/>
      <c r="F101" s="483"/>
      <c r="G101" s="484"/>
      <c r="H101" s="485"/>
      <c r="I101" s="483"/>
      <c r="J101" s="483"/>
      <c r="K101" s="484"/>
      <c r="L101" s="486"/>
      <c r="M101" s="483"/>
      <c r="N101" s="484"/>
      <c r="O101" s="485"/>
      <c r="P101" s="485"/>
    </row>
    <row r="102" spans="1:17" x14ac:dyDescent="0.25">
      <c r="A102" s="721"/>
      <c r="B102" s="713" t="s">
        <v>959</v>
      </c>
      <c r="C102" s="483"/>
      <c r="D102" s="483"/>
      <c r="E102" s="483"/>
      <c r="F102" s="552"/>
      <c r="G102" s="484"/>
      <c r="H102" s="469">
        <f>SUM(C102:G102)</f>
        <v>0</v>
      </c>
      <c r="I102" s="552">
        <v>-29311</v>
      </c>
      <c r="J102" s="467"/>
      <c r="K102" s="701"/>
      <c r="L102" s="479">
        <f>SUM(I102:K102)</f>
        <v>-29311</v>
      </c>
      <c r="M102" s="467"/>
      <c r="N102" s="468"/>
      <c r="O102" s="469"/>
      <c r="P102" s="469">
        <f>O102+L102+H102</f>
        <v>-29311</v>
      </c>
      <c r="Q102" s="497" t="s">
        <v>673</v>
      </c>
    </row>
    <row r="103" spans="1:17" ht="94.5" x14ac:dyDescent="0.25">
      <c r="A103" s="721"/>
      <c r="B103" s="713" t="s">
        <v>1168</v>
      </c>
      <c r="C103" s="483"/>
      <c r="D103" s="483"/>
      <c r="E103" s="483"/>
      <c r="F103" s="552"/>
      <c r="G103" s="552">
        <v>-100000</v>
      </c>
      <c r="H103" s="469">
        <f>SUM(C103:G103)</f>
        <v>-100000</v>
      </c>
      <c r="I103" s="552"/>
      <c r="J103" s="467"/>
      <c r="K103" s="701"/>
      <c r="L103" s="479">
        <f>SUM(I103:K103)</f>
        <v>0</v>
      </c>
      <c r="M103" s="467"/>
      <c r="N103" s="468"/>
      <c r="O103" s="469"/>
      <c r="P103" s="469">
        <f>O103+L103+H103</f>
        <v>-100000</v>
      </c>
      <c r="Q103" s="497" t="s">
        <v>677</v>
      </c>
    </row>
    <row r="104" spans="1:17" x14ac:dyDescent="0.25">
      <c r="A104" s="721"/>
      <c r="B104" s="713"/>
      <c r="C104" s="483"/>
      <c r="D104" s="483"/>
      <c r="E104" s="483"/>
      <c r="F104" s="552"/>
      <c r="G104" s="484"/>
      <c r="H104" s="469"/>
      <c r="I104" s="552"/>
      <c r="J104" s="467"/>
      <c r="K104" s="701"/>
      <c r="L104" s="479"/>
      <c r="M104" s="467"/>
      <c r="N104" s="468"/>
      <c r="O104" s="469"/>
      <c r="P104" s="469"/>
    </row>
    <row r="105" spans="1:17" ht="31.5" x14ac:dyDescent="0.25">
      <c r="A105" s="488"/>
      <c r="B105" s="492" t="s">
        <v>105</v>
      </c>
      <c r="C105" s="717"/>
      <c r="D105" s="717"/>
      <c r="E105" s="717"/>
      <c r="F105" s="717"/>
      <c r="G105" s="718"/>
      <c r="H105" s="479"/>
      <c r="I105" s="717"/>
      <c r="J105" s="717"/>
      <c r="K105" s="718"/>
      <c r="L105" s="479"/>
      <c r="M105" s="717"/>
      <c r="N105" s="718"/>
      <c r="O105" s="719"/>
      <c r="P105" s="479"/>
    </row>
    <row r="106" spans="1:17" s="487" customFormat="1" x14ac:dyDescent="0.25">
      <c r="A106" s="482"/>
      <c r="B106" s="491" t="s">
        <v>918</v>
      </c>
      <c r="C106" s="483"/>
      <c r="D106" s="483"/>
      <c r="E106" s="483"/>
      <c r="F106" s="483"/>
      <c r="G106" s="484"/>
      <c r="H106" s="485"/>
      <c r="I106" s="483"/>
      <c r="J106" s="483"/>
      <c r="K106" s="484"/>
      <c r="L106" s="486"/>
      <c r="M106" s="483"/>
      <c r="N106" s="484"/>
      <c r="O106" s="485"/>
      <c r="P106" s="485"/>
    </row>
    <row r="107" spans="1:17" ht="47.25" x14ac:dyDescent="0.25">
      <c r="A107" s="721"/>
      <c r="B107" s="713" t="s">
        <v>960</v>
      </c>
      <c r="C107" s="483"/>
      <c r="D107" s="483"/>
      <c r="E107" s="483"/>
      <c r="F107" s="552"/>
      <c r="G107" s="484"/>
      <c r="H107" s="469">
        <f>SUM(C107:G107)</f>
        <v>0</v>
      </c>
      <c r="I107" s="552">
        <v>-23655</v>
      </c>
      <c r="J107" s="467"/>
      <c r="K107" s="701"/>
      <c r="L107" s="479">
        <f>SUM(I107:K107)</f>
        <v>-23655</v>
      </c>
      <c r="M107" s="467"/>
      <c r="N107" s="468"/>
      <c r="O107" s="469"/>
      <c r="P107" s="469">
        <f>O107+L107+H107</f>
        <v>-23655</v>
      </c>
      <c r="Q107" s="497" t="s">
        <v>808</v>
      </c>
    </row>
    <row r="108" spans="1:17" x14ac:dyDescent="0.25">
      <c r="A108" s="488"/>
      <c r="B108" s="551"/>
      <c r="C108" s="717"/>
      <c r="D108" s="717"/>
      <c r="E108" s="717"/>
      <c r="F108" s="717"/>
      <c r="G108" s="718"/>
      <c r="H108" s="479"/>
      <c r="I108" s="717"/>
      <c r="J108" s="717"/>
      <c r="K108" s="718"/>
      <c r="L108" s="479"/>
      <c r="M108" s="717"/>
      <c r="N108" s="718"/>
      <c r="O108" s="719"/>
      <c r="P108" s="479"/>
    </row>
    <row r="109" spans="1:17" s="471" customFormat="1" x14ac:dyDescent="0.25">
      <c r="A109" s="488" t="s">
        <v>488</v>
      </c>
      <c r="B109" s="493" t="s">
        <v>489</v>
      </c>
      <c r="C109" s="494"/>
      <c r="D109" s="494"/>
      <c r="E109" s="494"/>
      <c r="F109" s="494"/>
      <c r="G109" s="495"/>
      <c r="H109" s="479"/>
      <c r="I109" s="494"/>
      <c r="J109" s="494"/>
      <c r="K109" s="495"/>
      <c r="L109" s="479"/>
      <c r="M109" s="494"/>
      <c r="N109" s="495"/>
      <c r="O109" s="479"/>
      <c r="P109" s="479"/>
    </row>
    <row r="110" spans="1:17" x14ac:dyDescent="0.25">
      <c r="A110" s="488"/>
      <c r="B110" s="491" t="s">
        <v>454</v>
      </c>
      <c r="C110" s="717"/>
      <c r="D110" s="717"/>
      <c r="E110" s="717"/>
      <c r="F110" s="717"/>
      <c r="G110" s="718"/>
      <c r="H110" s="469"/>
      <c r="I110" s="717"/>
      <c r="J110" s="717"/>
      <c r="K110" s="718"/>
      <c r="L110" s="479"/>
      <c r="M110" s="717"/>
      <c r="N110" s="718"/>
      <c r="O110" s="719"/>
      <c r="P110" s="469"/>
    </row>
    <row r="111" spans="1:17" ht="51" customHeight="1" x14ac:dyDescent="0.25">
      <c r="A111" s="496"/>
      <c r="B111" s="702" t="s">
        <v>811</v>
      </c>
      <c r="C111" s="717"/>
      <c r="D111" s="708"/>
      <c r="E111" s="708">
        <f>22109+12013</f>
        <v>34122</v>
      </c>
      <c r="F111" s="708"/>
      <c r="G111" s="718"/>
      <c r="H111" s="469">
        <f t="shared" ref="H111" si="44">SUM(C111:G111)</f>
        <v>34122</v>
      </c>
      <c r="I111" s="717"/>
      <c r="J111" s="717"/>
      <c r="K111" s="720"/>
      <c r="L111" s="479">
        <f t="shared" ref="L111" si="45">SUM(I111:K111)</f>
        <v>0</v>
      </c>
      <c r="M111" s="717"/>
      <c r="N111" s="720"/>
      <c r="O111" s="719"/>
      <c r="P111" s="469">
        <f t="shared" ref="P111" si="46">O111+L111+H111</f>
        <v>34122</v>
      </c>
      <c r="Q111" s="497" t="s">
        <v>673</v>
      </c>
    </row>
    <row r="112" spans="1:17" ht="31.5" x14ac:dyDescent="0.25">
      <c r="A112" s="496"/>
      <c r="B112" s="702" t="s">
        <v>1024</v>
      </c>
      <c r="C112" s="717"/>
      <c r="D112" s="708"/>
      <c r="E112" s="708">
        <f>2349+634</f>
        <v>2983</v>
      </c>
      <c r="F112" s="708"/>
      <c r="G112" s="718"/>
      <c r="H112" s="469">
        <f t="shared" ref="H112" si="47">SUM(C112:G112)</f>
        <v>2983</v>
      </c>
      <c r="I112" s="717"/>
      <c r="J112" s="717"/>
      <c r="K112" s="720"/>
      <c r="L112" s="479">
        <f t="shared" ref="L112" si="48">SUM(I112:K112)</f>
        <v>0</v>
      </c>
      <c r="M112" s="717"/>
      <c r="N112" s="720"/>
      <c r="O112" s="719"/>
      <c r="P112" s="469">
        <f t="shared" ref="P112" si="49">O112+L112+H112</f>
        <v>2983</v>
      </c>
      <c r="Q112" s="497" t="s">
        <v>673</v>
      </c>
    </row>
    <row r="113" spans="1:17" x14ac:dyDescent="0.25">
      <c r="A113" s="496"/>
      <c r="B113" s="498"/>
      <c r="C113" s="717"/>
      <c r="D113" s="717"/>
      <c r="E113" s="717"/>
      <c r="F113" s="717"/>
      <c r="G113" s="718"/>
      <c r="H113" s="469"/>
      <c r="I113" s="717"/>
      <c r="J113" s="717"/>
      <c r="K113" s="718"/>
      <c r="L113" s="479"/>
      <c r="M113" s="717"/>
      <c r="N113" s="718"/>
      <c r="O113" s="719"/>
      <c r="P113" s="469"/>
    </row>
    <row r="114" spans="1:17" x14ac:dyDescent="0.25">
      <c r="A114" s="488"/>
      <c r="B114" s="491" t="s">
        <v>690</v>
      </c>
      <c r="C114" s="717"/>
      <c r="D114" s="708"/>
      <c r="E114" s="708"/>
      <c r="F114" s="708"/>
      <c r="G114" s="722"/>
      <c r="H114" s="479"/>
      <c r="I114" s="717"/>
      <c r="J114" s="717"/>
      <c r="K114" s="720"/>
      <c r="L114" s="479"/>
      <c r="M114" s="717"/>
      <c r="N114" s="720"/>
      <c r="O114" s="719"/>
      <c r="P114" s="479"/>
    </row>
    <row r="115" spans="1:17" ht="31.5" x14ac:dyDescent="0.25">
      <c r="A115" s="496"/>
      <c r="B115" s="703" t="s">
        <v>915</v>
      </c>
      <c r="C115" s="717"/>
      <c r="D115" s="708"/>
      <c r="E115" s="708"/>
      <c r="F115" s="708">
        <v>20000</v>
      </c>
      <c r="G115" s="718"/>
      <c r="H115" s="469">
        <f t="shared" ref="H115" si="50">SUM(C115:G115)</f>
        <v>20000</v>
      </c>
      <c r="I115" s="717"/>
      <c r="J115" s="717"/>
      <c r="K115" s="720"/>
      <c r="L115" s="479">
        <f t="shared" ref="L115" si="51">SUM(I115:K115)</f>
        <v>0</v>
      </c>
      <c r="M115" s="717"/>
      <c r="N115" s="720"/>
      <c r="O115" s="719"/>
      <c r="P115" s="469">
        <f t="shared" ref="P115" si="52">O115+L115+H115</f>
        <v>20000</v>
      </c>
      <c r="Q115" s="497" t="s">
        <v>677</v>
      </c>
    </row>
    <row r="116" spans="1:17" ht="31.5" x14ac:dyDescent="0.25">
      <c r="A116" s="496"/>
      <c r="B116" s="703" t="s">
        <v>905</v>
      </c>
      <c r="C116" s="717">
        <v>12370</v>
      </c>
      <c r="D116" s="708">
        <v>9206</v>
      </c>
      <c r="E116" s="708">
        <v>-40193</v>
      </c>
      <c r="F116" s="708"/>
      <c r="G116" s="718">
        <v>300</v>
      </c>
      <c r="H116" s="469">
        <f t="shared" ref="H116" si="53">SUM(C116:G116)</f>
        <v>-18317</v>
      </c>
      <c r="I116" s="717"/>
      <c r="J116" s="717"/>
      <c r="K116" s="720">
        <v>18317</v>
      </c>
      <c r="L116" s="479">
        <f t="shared" ref="L116" si="54">SUM(I116:K116)</f>
        <v>18317</v>
      </c>
      <c r="M116" s="717"/>
      <c r="N116" s="720"/>
      <c r="O116" s="719"/>
      <c r="P116" s="469">
        <f t="shared" ref="P116" si="55">O116+L116+H116</f>
        <v>0</v>
      </c>
      <c r="Q116" s="497" t="s">
        <v>677</v>
      </c>
    </row>
    <row r="117" spans="1:17" x14ac:dyDescent="0.25">
      <c r="A117" s="496"/>
      <c r="B117" s="498"/>
      <c r="C117" s="717"/>
      <c r="D117" s="708"/>
      <c r="E117" s="708"/>
      <c r="F117" s="708"/>
      <c r="G117" s="718"/>
      <c r="H117" s="469"/>
      <c r="I117" s="717"/>
      <c r="J117" s="717"/>
      <c r="K117" s="720"/>
      <c r="L117" s="479"/>
      <c r="M117" s="717"/>
      <c r="N117" s="720"/>
      <c r="O117" s="719"/>
      <c r="P117" s="469"/>
    </row>
    <row r="118" spans="1:17" s="471" customFormat="1" x14ac:dyDescent="0.25">
      <c r="A118" s="488" t="s">
        <v>41</v>
      </c>
      <c r="B118" s="493" t="s">
        <v>42</v>
      </c>
      <c r="C118" s="494"/>
      <c r="D118" s="494"/>
      <c r="E118" s="494"/>
      <c r="F118" s="494"/>
      <c r="G118" s="495"/>
      <c r="H118" s="479"/>
      <c r="I118" s="494"/>
      <c r="J118" s="494"/>
      <c r="K118" s="495"/>
      <c r="L118" s="479"/>
      <c r="M118" s="494"/>
      <c r="N118" s="495"/>
      <c r="O118" s="479"/>
      <c r="P118" s="479"/>
    </row>
    <row r="119" spans="1:17" ht="31.5" x14ac:dyDescent="0.25">
      <c r="A119" s="488"/>
      <c r="B119" s="492" t="s">
        <v>805</v>
      </c>
      <c r="C119" s="717"/>
      <c r="D119" s="708"/>
      <c r="E119" s="708"/>
      <c r="F119" s="708"/>
      <c r="G119" s="718"/>
      <c r="H119" s="469"/>
      <c r="I119" s="717"/>
      <c r="J119" s="717"/>
      <c r="K119" s="720"/>
      <c r="L119" s="479"/>
      <c r="M119" s="717"/>
      <c r="N119" s="720"/>
      <c r="O119" s="719"/>
      <c r="P119" s="469"/>
    </row>
    <row r="120" spans="1:17" x14ac:dyDescent="0.25">
      <c r="A120" s="488"/>
      <c r="B120" s="491" t="s">
        <v>918</v>
      </c>
      <c r="C120" s="717"/>
      <c r="D120" s="717"/>
      <c r="E120" s="717"/>
      <c r="F120" s="717"/>
      <c r="G120" s="718"/>
      <c r="H120" s="469"/>
      <c r="I120" s="717"/>
      <c r="J120" s="717"/>
      <c r="K120" s="718"/>
      <c r="L120" s="479"/>
      <c r="M120" s="717"/>
      <c r="N120" s="718"/>
      <c r="O120" s="719"/>
      <c r="P120" s="469"/>
    </row>
    <row r="121" spans="1:17" x14ac:dyDescent="0.25">
      <c r="A121" s="496"/>
      <c r="B121" s="704" t="s">
        <v>1161</v>
      </c>
      <c r="C121" s="717"/>
      <c r="D121" s="717"/>
      <c r="E121" s="717"/>
      <c r="F121" s="708"/>
      <c r="G121" s="718"/>
      <c r="H121" s="469">
        <f t="shared" ref="H121" si="56">SUM(C121:G121)</f>
        <v>0</v>
      </c>
      <c r="I121" s="717"/>
      <c r="J121" s="717">
        <v>-50000</v>
      </c>
      <c r="K121" s="720"/>
      <c r="L121" s="479">
        <f t="shared" ref="L121" si="57">SUM(I121:K121)</f>
        <v>-50000</v>
      </c>
      <c r="M121" s="717"/>
      <c r="N121" s="720"/>
      <c r="O121" s="719"/>
      <c r="P121" s="469">
        <f t="shared" ref="P121" si="58">O121+L121+H121</f>
        <v>-50000</v>
      </c>
      <c r="Q121" s="497" t="s">
        <v>677</v>
      </c>
    </row>
    <row r="122" spans="1:17" ht="62.25" customHeight="1" x14ac:dyDescent="0.25">
      <c r="A122" s="496"/>
      <c r="B122" s="705" t="s">
        <v>922</v>
      </c>
      <c r="C122" s="717"/>
      <c r="D122" s="717"/>
      <c r="E122" s="717"/>
      <c r="F122" s="708"/>
      <c r="G122" s="718"/>
      <c r="H122" s="469">
        <f t="shared" ref="H122:H123" si="59">SUM(C122:G122)</f>
        <v>0</v>
      </c>
      <c r="I122" s="717"/>
      <c r="J122" s="717">
        <v>-1334</v>
      </c>
      <c r="K122" s="720"/>
      <c r="L122" s="479">
        <f t="shared" ref="L122:L123" si="60">SUM(I122:K122)</f>
        <v>-1334</v>
      </c>
      <c r="M122" s="717"/>
      <c r="N122" s="720"/>
      <c r="O122" s="719"/>
      <c r="P122" s="469">
        <f t="shared" ref="P122:P123" si="61">O122+L122+H122</f>
        <v>-1334</v>
      </c>
      <c r="Q122" s="497" t="s">
        <v>677</v>
      </c>
    </row>
    <row r="123" spans="1:17" ht="47.25" x14ac:dyDescent="0.25">
      <c r="A123" s="496"/>
      <c r="B123" s="704" t="s">
        <v>923</v>
      </c>
      <c r="C123" s="717"/>
      <c r="D123" s="717"/>
      <c r="E123" s="717"/>
      <c r="F123" s="708"/>
      <c r="G123" s="718"/>
      <c r="H123" s="469">
        <f t="shared" si="59"/>
        <v>0</v>
      </c>
      <c r="I123" s="717">
        <v>-5000</v>
      </c>
      <c r="J123" s="717"/>
      <c r="K123" s="720"/>
      <c r="L123" s="479">
        <f t="shared" si="60"/>
        <v>-5000</v>
      </c>
      <c r="M123" s="717"/>
      <c r="N123" s="720"/>
      <c r="O123" s="719"/>
      <c r="P123" s="469">
        <f t="shared" si="61"/>
        <v>-5000</v>
      </c>
      <c r="Q123" s="497" t="s">
        <v>677</v>
      </c>
    </row>
    <row r="124" spans="1:17" ht="52.5" customHeight="1" x14ac:dyDescent="0.25">
      <c r="A124" s="496"/>
      <c r="B124" s="705" t="s">
        <v>924</v>
      </c>
      <c r="C124" s="717"/>
      <c r="D124" s="717"/>
      <c r="E124" s="717"/>
      <c r="F124" s="708"/>
      <c r="G124" s="718"/>
      <c r="H124" s="469">
        <f t="shared" ref="H124:H128" si="62">SUM(C124:G124)</f>
        <v>0</v>
      </c>
      <c r="I124" s="717">
        <v>-25000</v>
      </c>
      <c r="J124" s="717"/>
      <c r="K124" s="720"/>
      <c r="L124" s="479">
        <f t="shared" ref="L124:L128" si="63">SUM(I124:K124)</f>
        <v>-25000</v>
      </c>
      <c r="M124" s="717"/>
      <c r="N124" s="720"/>
      <c r="O124" s="719"/>
      <c r="P124" s="469">
        <f t="shared" ref="P124:P128" si="64">O124+L124+H124</f>
        <v>-25000</v>
      </c>
      <c r="Q124" s="497" t="s">
        <v>677</v>
      </c>
    </row>
    <row r="125" spans="1:17" ht="31.5" x14ac:dyDescent="0.25">
      <c r="A125" s="496"/>
      <c r="B125" s="704" t="s">
        <v>925</v>
      </c>
      <c r="C125" s="717"/>
      <c r="D125" s="717"/>
      <c r="E125" s="717"/>
      <c r="F125" s="708"/>
      <c r="G125" s="718"/>
      <c r="H125" s="469">
        <f t="shared" si="62"/>
        <v>0</v>
      </c>
      <c r="I125" s="717"/>
      <c r="J125" s="717">
        <v>-5000</v>
      </c>
      <c r="K125" s="720"/>
      <c r="L125" s="479">
        <f t="shared" si="63"/>
        <v>-5000</v>
      </c>
      <c r="M125" s="717"/>
      <c r="N125" s="720"/>
      <c r="O125" s="719"/>
      <c r="P125" s="469">
        <f t="shared" si="64"/>
        <v>-5000</v>
      </c>
      <c r="Q125" s="497" t="s">
        <v>677</v>
      </c>
    </row>
    <row r="126" spans="1:17" x14ac:dyDescent="0.25">
      <c r="A126" s="496"/>
      <c r="B126" s="498"/>
      <c r="C126" s="717"/>
      <c r="D126" s="717"/>
      <c r="E126" s="717"/>
      <c r="F126" s="708"/>
      <c r="G126" s="718"/>
      <c r="H126" s="469"/>
      <c r="I126" s="717"/>
      <c r="J126" s="717"/>
      <c r="K126" s="720"/>
      <c r="L126" s="479"/>
      <c r="M126" s="717"/>
      <c r="N126" s="720"/>
      <c r="O126" s="719"/>
      <c r="P126" s="469"/>
    </row>
    <row r="127" spans="1:17" x14ac:dyDescent="0.25">
      <c r="A127" s="496"/>
      <c r="B127" s="491" t="s">
        <v>690</v>
      </c>
      <c r="C127" s="717"/>
      <c r="D127" s="717"/>
      <c r="E127" s="717"/>
      <c r="F127" s="708"/>
      <c r="G127" s="718"/>
      <c r="H127" s="469">
        <f t="shared" si="62"/>
        <v>0</v>
      </c>
      <c r="I127" s="717"/>
      <c r="J127" s="717"/>
      <c r="K127" s="720"/>
      <c r="L127" s="479">
        <f t="shared" si="63"/>
        <v>0</v>
      </c>
      <c r="M127" s="717"/>
      <c r="N127" s="720"/>
      <c r="O127" s="719"/>
      <c r="P127" s="469">
        <f t="shared" si="64"/>
        <v>0</v>
      </c>
      <c r="Q127" s="497" t="s">
        <v>677</v>
      </c>
    </row>
    <row r="128" spans="1:17" x14ac:dyDescent="0.25">
      <c r="A128" s="496"/>
      <c r="B128" s="498" t="s">
        <v>1036</v>
      </c>
      <c r="C128" s="717"/>
      <c r="D128" s="717"/>
      <c r="E128" s="717">
        <v>-1983</v>
      </c>
      <c r="F128" s="708"/>
      <c r="G128" s="718"/>
      <c r="H128" s="469">
        <f t="shared" si="62"/>
        <v>-1983</v>
      </c>
      <c r="I128" s="717">
        <v>7341</v>
      </c>
      <c r="J128" s="717">
        <v>-5358</v>
      </c>
      <c r="K128" s="720"/>
      <c r="L128" s="479">
        <f t="shared" si="63"/>
        <v>1983</v>
      </c>
      <c r="M128" s="717"/>
      <c r="N128" s="720"/>
      <c r="O128" s="719"/>
      <c r="P128" s="469">
        <f t="shared" si="64"/>
        <v>0</v>
      </c>
      <c r="Q128" s="497" t="s">
        <v>677</v>
      </c>
    </row>
    <row r="129" spans="1:17" ht="30.75" customHeight="1" x14ac:dyDescent="0.25">
      <c r="A129" s="496"/>
      <c r="B129" s="498" t="s">
        <v>1037</v>
      </c>
      <c r="C129" s="717"/>
      <c r="D129" s="717"/>
      <c r="E129" s="717">
        <v>-1607</v>
      </c>
      <c r="F129" s="708"/>
      <c r="G129" s="718"/>
      <c r="H129" s="469">
        <f t="shared" ref="H129:H131" si="65">SUM(C129:G129)</f>
        <v>-1607</v>
      </c>
      <c r="I129" s="717"/>
      <c r="J129" s="717">
        <v>1607</v>
      </c>
      <c r="K129" s="720"/>
      <c r="L129" s="479">
        <f t="shared" ref="L129:L131" si="66">SUM(I129:K129)</f>
        <v>1607</v>
      </c>
      <c r="M129" s="717"/>
      <c r="N129" s="720"/>
      <c r="O129" s="719"/>
      <c r="P129" s="469">
        <f t="shared" ref="P129:P131" si="67">O129+L129+H129</f>
        <v>0</v>
      </c>
      <c r="Q129" s="497" t="s">
        <v>677</v>
      </c>
    </row>
    <row r="130" spans="1:17" ht="97.5" customHeight="1" x14ac:dyDescent="0.25">
      <c r="A130" s="496"/>
      <c r="B130" s="498" t="s">
        <v>1038</v>
      </c>
      <c r="C130" s="717"/>
      <c r="D130" s="717"/>
      <c r="E130" s="717"/>
      <c r="F130" s="708"/>
      <c r="G130" s="718">
        <v>-15598</v>
      </c>
      <c r="H130" s="469">
        <f t="shared" si="65"/>
        <v>-15598</v>
      </c>
      <c r="I130" s="717">
        <v>15598</v>
      </c>
      <c r="J130" s="717"/>
      <c r="K130" s="720"/>
      <c r="L130" s="479">
        <f t="shared" si="66"/>
        <v>15598</v>
      </c>
      <c r="M130" s="717"/>
      <c r="N130" s="720"/>
      <c r="O130" s="719"/>
      <c r="P130" s="469">
        <f t="shared" si="67"/>
        <v>0</v>
      </c>
      <c r="Q130" s="497" t="s">
        <v>677</v>
      </c>
    </row>
    <row r="131" spans="1:17" x14ac:dyDescent="0.25">
      <c r="A131" s="496"/>
      <c r="B131" s="498" t="s">
        <v>1162</v>
      </c>
      <c r="C131" s="717"/>
      <c r="D131" s="717"/>
      <c r="E131" s="717"/>
      <c r="F131" s="708"/>
      <c r="G131" s="718"/>
      <c r="H131" s="469">
        <f t="shared" si="65"/>
        <v>0</v>
      </c>
      <c r="I131" s="717"/>
      <c r="J131" s="717">
        <v>-5000</v>
      </c>
      <c r="K131" s="720"/>
      <c r="L131" s="479">
        <f t="shared" si="66"/>
        <v>-5000</v>
      </c>
      <c r="M131" s="717"/>
      <c r="N131" s="720"/>
      <c r="O131" s="719"/>
      <c r="P131" s="469">
        <f t="shared" si="67"/>
        <v>-5000</v>
      </c>
      <c r="Q131" s="497" t="s">
        <v>677</v>
      </c>
    </row>
    <row r="132" spans="1:17" ht="93.75" customHeight="1" x14ac:dyDescent="0.25">
      <c r="A132" s="496"/>
      <c r="B132" s="498" t="s">
        <v>1305</v>
      </c>
      <c r="C132" s="717"/>
      <c r="D132" s="717"/>
      <c r="E132" s="717"/>
      <c r="F132" s="708"/>
      <c r="G132" s="718"/>
      <c r="H132" s="469">
        <f t="shared" ref="H132" si="68">SUM(C132:G132)</f>
        <v>0</v>
      </c>
      <c r="I132" s="717"/>
      <c r="J132" s="717">
        <v>5000</v>
      </c>
      <c r="K132" s="720"/>
      <c r="L132" s="479">
        <f t="shared" ref="L132" si="69">SUM(I132:K132)</f>
        <v>5000</v>
      </c>
      <c r="M132" s="717"/>
      <c r="N132" s="720"/>
      <c r="O132" s="719"/>
      <c r="P132" s="469">
        <f t="shared" ref="P132" si="70">O132+L132+H132</f>
        <v>5000</v>
      </c>
      <c r="Q132" s="497" t="s">
        <v>677</v>
      </c>
    </row>
    <row r="133" spans="1:17" x14ac:dyDescent="0.25">
      <c r="A133" s="488"/>
      <c r="B133" s="492"/>
      <c r="C133" s="717"/>
      <c r="D133" s="708"/>
      <c r="E133" s="708"/>
      <c r="F133" s="708"/>
      <c r="G133" s="718"/>
      <c r="H133" s="469"/>
      <c r="I133" s="717"/>
      <c r="J133" s="717"/>
      <c r="K133" s="720"/>
      <c r="L133" s="479"/>
      <c r="M133" s="717"/>
      <c r="N133" s="720"/>
      <c r="O133" s="719"/>
      <c r="P133" s="469"/>
    </row>
    <row r="134" spans="1:17" x14ac:dyDescent="0.25">
      <c r="A134" s="488"/>
      <c r="B134" s="492" t="s">
        <v>84</v>
      </c>
      <c r="C134" s="717"/>
      <c r="D134" s="708"/>
      <c r="E134" s="708"/>
      <c r="F134" s="708"/>
      <c r="G134" s="718"/>
      <c r="H134" s="479"/>
      <c r="I134" s="717"/>
      <c r="J134" s="717"/>
      <c r="K134" s="720"/>
      <c r="L134" s="479"/>
      <c r="M134" s="717"/>
      <c r="N134" s="720"/>
      <c r="O134" s="719"/>
      <c r="P134" s="479"/>
    </row>
    <row r="135" spans="1:17" x14ac:dyDescent="0.25">
      <c r="A135" s="721"/>
      <c r="B135" s="491" t="s">
        <v>918</v>
      </c>
      <c r="C135" s="552"/>
      <c r="D135" s="552"/>
      <c r="E135" s="552"/>
      <c r="F135" s="552"/>
      <c r="G135" s="701"/>
      <c r="H135" s="716"/>
      <c r="I135" s="552"/>
      <c r="J135" s="552"/>
      <c r="K135" s="701"/>
      <c r="L135" s="719"/>
      <c r="M135" s="552"/>
      <c r="N135" s="701"/>
      <c r="O135" s="716"/>
      <c r="P135" s="716"/>
    </row>
    <row r="136" spans="1:17" ht="31.5" x14ac:dyDescent="0.25">
      <c r="A136" s="724"/>
      <c r="B136" s="704" t="s">
        <v>1163</v>
      </c>
      <c r="C136" s="717"/>
      <c r="D136" s="708"/>
      <c r="E136" s="708"/>
      <c r="F136" s="708"/>
      <c r="G136" s="722"/>
      <c r="H136" s="469">
        <f t="shared" ref="H136:H151" si="71">SUM(C136:G136)</f>
        <v>0</v>
      </c>
      <c r="I136" s="717">
        <v>-47450</v>
      </c>
      <c r="J136" s="717"/>
      <c r="K136" s="720"/>
      <c r="L136" s="479">
        <f t="shared" ref="L136:L151" si="72">SUM(I136:K136)</f>
        <v>-47450</v>
      </c>
      <c r="M136" s="717"/>
      <c r="N136" s="720"/>
      <c r="O136" s="719"/>
      <c r="P136" s="469">
        <f t="shared" ref="P136:P151" si="73">O136+L136+H136</f>
        <v>-47450</v>
      </c>
      <c r="Q136" s="497" t="s">
        <v>673</v>
      </c>
    </row>
    <row r="137" spans="1:17" ht="31.5" x14ac:dyDescent="0.25">
      <c r="A137" s="724"/>
      <c r="B137" s="704" t="s">
        <v>1163</v>
      </c>
      <c r="C137" s="717"/>
      <c r="D137" s="708"/>
      <c r="E137" s="708"/>
      <c r="F137" s="708"/>
      <c r="G137" s="722"/>
      <c r="H137" s="469">
        <f t="shared" si="71"/>
        <v>0</v>
      </c>
      <c r="I137" s="717">
        <v>-100000</v>
      </c>
      <c r="J137" s="717"/>
      <c r="K137" s="720"/>
      <c r="L137" s="479">
        <f t="shared" si="72"/>
        <v>-100000</v>
      </c>
      <c r="M137" s="717"/>
      <c r="N137" s="720"/>
      <c r="O137" s="719"/>
      <c r="P137" s="469">
        <f t="shared" si="73"/>
        <v>-100000</v>
      </c>
      <c r="Q137" s="497" t="s">
        <v>673</v>
      </c>
    </row>
    <row r="138" spans="1:17" ht="63" x14ac:dyDescent="0.25">
      <c r="A138" s="724"/>
      <c r="B138" s="704" t="s">
        <v>927</v>
      </c>
      <c r="C138" s="717"/>
      <c r="D138" s="708"/>
      <c r="E138" s="708">
        <v>-3650</v>
      </c>
      <c r="F138" s="708"/>
      <c r="G138" s="722"/>
      <c r="H138" s="469">
        <f t="shared" si="71"/>
        <v>-3650</v>
      </c>
      <c r="I138" s="717">
        <v>-9507</v>
      </c>
      <c r="J138" s="717"/>
      <c r="K138" s="720"/>
      <c r="L138" s="479">
        <f t="shared" si="72"/>
        <v>-9507</v>
      </c>
      <c r="M138" s="717"/>
      <c r="N138" s="720"/>
      <c r="O138" s="719"/>
      <c r="P138" s="469">
        <f t="shared" si="73"/>
        <v>-13157</v>
      </c>
      <c r="Q138" s="497" t="s">
        <v>674</v>
      </c>
    </row>
    <row r="139" spans="1:17" ht="31.5" x14ac:dyDescent="0.25">
      <c r="A139" s="724"/>
      <c r="B139" s="704" t="s">
        <v>928</v>
      </c>
      <c r="C139" s="717"/>
      <c r="D139" s="708"/>
      <c r="E139" s="708"/>
      <c r="F139" s="708"/>
      <c r="G139" s="722"/>
      <c r="H139" s="469">
        <f t="shared" si="71"/>
        <v>0</v>
      </c>
      <c r="I139" s="717">
        <v>-20725</v>
      </c>
      <c r="J139" s="717"/>
      <c r="K139" s="720"/>
      <c r="L139" s="479">
        <f t="shared" si="72"/>
        <v>-20725</v>
      </c>
      <c r="M139" s="717"/>
      <c r="N139" s="720"/>
      <c r="O139" s="719"/>
      <c r="P139" s="469">
        <f t="shared" si="73"/>
        <v>-20725</v>
      </c>
      <c r="Q139" s="497" t="s">
        <v>673</v>
      </c>
    </row>
    <row r="140" spans="1:17" ht="31.5" x14ac:dyDescent="0.25">
      <c r="A140" s="724"/>
      <c r="B140" s="704" t="s">
        <v>929</v>
      </c>
      <c r="C140" s="717"/>
      <c r="D140" s="708"/>
      <c r="E140" s="708">
        <v>-5398</v>
      </c>
      <c r="F140" s="708"/>
      <c r="G140" s="722"/>
      <c r="H140" s="469">
        <f t="shared" si="71"/>
        <v>-5398</v>
      </c>
      <c r="I140" s="717"/>
      <c r="J140" s="717"/>
      <c r="K140" s="720"/>
      <c r="L140" s="479">
        <f t="shared" si="72"/>
        <v>0</v>
      </c>
      <c r="M140" s="717"/>
      <c r="N140" s="720"/>
      <c r="O140" s="719"/>
      <c r="P140" s="469">
        <f t="shared" si="73"/>
        <v>-5398</v>
      </c>
      <c r="Q140" s="497" t="s">
        <v>674</v>
      </c>
    </row>
    <row r="141" spans="1:17" ht="31.5" x14ac:dyDescent="0.25">
      <c r="A141" s="724"/>
      <c r="B141" s="704" t="s">
        <v>930</v>
      </c>
      <c r="C141" s="717"/>
      <c r="D141" s="708"/>
      <c r="E141" s="708">
        <v>-168587</v>
      </c>
      <c r="F141" s="708"/>
      <c r="G141" s="722"/>
      <c r="H141" s="469">
        <f t="shared" si="71"/>
        <v>-168587</v>
      </c>
      <c r="I141" s="717"/>
      <c r="J141" s="717"/>
      <c r="K141" s="720"/>
      <c r="L141" s="479">
        <f t="shared" si="72"/>
        <v>0</v>
      </c>
      <c r="M141" s="717"/>
      <c r="N141" s="720"/>
      <c r="O141" s="719"/>
      <c r="P141" s="469">
        <f t="shared" si="73"/>
        <v>-168587</v>
      </c>
      <c r="Q141" s="497" t="s">
        <v>673</v>
      </c>
    </row>
    <row r="142" spans="1:17" ht="31.5" x14ac:dyDescent="0.25">
      <c r="A142" s="724"/>
      <c r="B142" s="704" t="s">
        <v>931</v>
      </c>
      <c r="C142" s="717"/>
      <c r="D142" s="708"/>
      <c r="E142" s="708"/>
      <c r="F142" s="708"/>
      <c r="G142" s="722"/>
      <c r="H142" s="469">
        <f t="shared" si="71"/>
        <v>0</v>
      </c>
      <c r="I142" s="717"/>
      <c r="J142" s="717"/>
      <c r="K142" s="717">
        <v>-26520</v>
      </c>
      <c r="L142" s="479">
        <f t="shared" si="72"/>
        <v>-26520</v>
      </c>
      <c r="M142" s="717"/>
      <c r="N142" s="720"/>
      <c r="O142" s="719"/>
      <c r="P142" s="469">
        <f t="shared" si="73"/>
        <v>-26520</v>
      </c>
      <c r="Q142" s="497" t="s">
        <v>674</v>
      </c>
    </row>
    <row r="143" spans="1:17" ht="47.25" x14ac:dyDescent="0.25">
      <c r="A143" s="724"/>
      <c r="B143" s="704" t="s">
        <v>1306</v>
      </c>
      <c r="C143" s="717"/>
      <c r="D143" s="708"/>
      <c r="E143" s="708"/>
      <c r="F143" s="708"/>
      <c r="G143" s="722"/>
      <c r="H143" s="469">
        <f t="shared" ref="H143" si="74">SUM(C143:G143)</f>
        <v>0</v>
      </c>
      <c r="I143" s="717"/>
      <c r="J143" s="717"/>
      <c r="K143" s="717">
        <v>-605287</v>
      </c>
      <c r="L143" s="479">
        <f t="shared" ref="L143" si="75">SUM(I143:K143)</f>
        <v>-605287</v>
      </c>
      <c r="M143" s="717"/>
      <c r="N143" s="720"/>
      <c r="O143" s="719"/>
      <c r="P143" s="469">
        <f t="shared" ref="P143" si="76">O143+L143+H143</f>
        <v>-605287</v>
      </c>
      <c r="Q143" s="497" t="s">
        <v>674</v>
      </c>
    </row>
    <row r="144" spans="1:17" x14ac:dyDescent="0.25">
      <c r="A144" s="724"/>
      <c r="B144" s="490"/>
      <c r="C144" s="717"/>
      <c r="D144" s="708"/>
      <c r="E144" s="708"/>
      <c r="F144" s="708"/>
      <c r="G144" s="722"/>
      <c r="H144" s="469"/>
      <c r="I144" s="717"/>
      <c r="J144" s="717"/>
      <c r="K144" s="720"/>
      <c r="L144" s="479"/>
      <c r="M144" s="717"/>
      <c r="N144" s="720"/>
      <c r="O144" s="719"/>
      <c r="P144" s="469"/>
    </row>
    <row r="145" spans="1:17" x14ac:dyDescent="0.25">
      <c r="A145" s="724"/>
      <c r="B145" s="491" t="s">
        <v>690</v>
      </c>
      <c r="C145" s="717"/>
      <c r="D145" s="708"/>
      <c r="E145" s="708"/>
      <c r="F145" s="708"/>
      <c r="G145" s="722"/>
      <c r="H145" s="469"/>
      <c r="I145" s="717"/>
      <c r="J145" s="717"/>
      <c r="K145" s="720"/>
      <c r="L145" s="479"/>
      <c r="M145" s="717"/>
      <c r="N145" s="720"/>
      <c r="O145" s="719"/>
      <c r="P145" s="469">
        <f t="shared" si="73"/>
        <v>0</v>
      </c>
    </row>
    <row r="146" spans="1:17" ht="78.75" x14ac:dyDescent="0.25">
      <c r="A146" s="724"/>
      <c r="B146" s="490" t="s">
        <v>874</v>
      </c>
      <c r="C146" s="717"/>
      <c r="D146" s="708"/>
      <c r="E146" s="708"/>
      <c r="F146" s="708"/>
      <c r="G146" s="722"/>
      <c r="H146" s="469">
        <f t="shared" si="71"/>
        <v>0</v>
      </c>
      <c r="I146" s="717">
        <v>6375</v>
      </c>
      <c r="J146" s="717"/>
      <c r="K146" s="720"/>
      <c r="L146" s="479">
        <f t="shared" si="72"/>
        <v>6375</v>
      </c>
      <c r="M146" s="717"/>
      <c r="N146" s="720"/>
      <c r="O146" s="719"/>
      <c r="P146" s="469">
        <f t="shared" si="73"/>
        <v>6375</v>
      </c>
      <c r="Q146" s="497" t="s">
        <v>674</v>
      </c>
    </row>
    <row r="147" spans="1:17" x14ac:dyDescent="0.25">
      <c r="A147" s="724"/>
      <c r="B147" s="490" t="s">
        <v>1164</v>
      </c>
      <c r="C147" s="717"/>
      <c r="D147" s="708"/>
      <c r="E147" s="708"/>
      <c r="F147" s="708"/>
      <c r="G147" s="722"/>
      <c r="H147" s="469">
        <f t="shared" ref="H147:H148" si="77">SUM(C147:G147)</f>
        <v>0</v>
      </c>
      <c r="I147" s="717">
        <v>4</v>
      </c>
      <c r="J147" s="717"/>
      <c r="K147" s="720"/>
      <c r="L147" s="479">
        <f t="shared" ref="L147:L148" si="78">SUM(I147:K147)</f>
        <v>4</v>
      </c>
      <c r="M147" s="717"/>
      <c r="N147" s="720"/>
      <c r="O147" s="719"/>
      <c r="P147" s="469">
        <f t="shared" ref="P147:P148" si="79">O147+L147+H147</f>
        <v>4</v>
      </c>
      <c r="Q147" s="497" t="s">
        <v>1039</v>
      </c>
    </row>
    <row r="148" spans="1:17" x14ac:dyDescent="0.25">
      <c r="A148" s="724"/>
      <c r="B148" s="490" t="s">
        <v>1041</v>
      </c>
      <c r="C148" s="717"/>
      <c r="D148" s="708"/>
      <c r="E148" s="708">
        <v>519</v>
      </c>
      <c r="F148" s="708"/>
      <c r="G148" s="722"/>
      <c r="H148" s="469">
        <f t="shared" si="77"/>
        <v>519</v>
      </c>
      <c r="I148" s="717">
        <v>-519</v>
      </c>
      <c r="J148" s="717"/>
      <c r="K148" s="720"/>
      <c r="L148" s="479">
        <f t="shared" si="78"/>
        <v>-519</v>
      </c>
      <c r="M148" s="717"/>
      <c r="N148" s="720"/>
      <c r="O148" s="719"/>
      <c r="P148" s="469">
        <f t="shared" si="79"/>
        <v>0</v>
      </c>
      <c r="Q148" s="497" t="s">
        <v>1039</v>
      </c>
    </row>
    <row r="149" spans="1:17" x14ac:dyDescent="0.25">
      <c r="A149" s="724"/>
      <c r="B149" s="490" t="s">
        <v>1164</v>
      </c>
      <c r="C149" s="717"/>
      <c r="D149" s="708"/>
      <c r="E149" s="708"/>
      <c r="F149" s="708"/>
      <c r="G149" s="722"/>
      <c r="H149" s="469">
        <f t="shared" si="71"/>
        <v>0</v>
      </c>
      <c r="I149" s="717">
        <v>784</v>
      </c>
      <c r="J149" s="717"/>
      <c r="K149" s="720"/>
      <c r="L149" s="479">
        <f t="shared" si="72"/>
        <v>784</v>
      </c>
      <c r="M149" s="717"/>
      <c r="N149" s="720"/>
      <c r="O149" s="719"/>
      <c r="P149" s="469">
        <f t="shared" si="73"/>
        <v>784</v>
      </c>
      <c r="Q149" s="497" t="s">
        <v>674</v>
      </c>
    </row>
    <row r="150" spans="1:17" ht="31.5" x14ac:dyDescent="0.25">
      <c r="A150" s="724"/>
      <c r="B150" s="490" t="s">
        <v>1043</v>
      </c>
      <c r="C150" s="717"/>
      <c r="D150" s="708"/>
      <c r="E150" s="708">
        <v>2355</v>
      </c>
      <c r="F150" s="708"/>
      <c r="G150" s="722"/>
      <c r="H150" s="469">
        <f t="shared" si="71"/>
        <v>2355</v>
      </c>
      <c r="I150" s="717">
        <v>-2355</v>
      </c>
      <c r="J150" s="717"/>
      <c r="K150" s="720"/>
      <c r="L150" s="479">
        <f t="shared" si="72"/>
        <v>-2355</v>
      </c>
      <c r="M150" s="717"/>
      <c r="N150" s="720"/>
      <c r="O150" s="719"/>
      <c r="P150" s="469">
        <f t="shared" si="73"/>
        <v>0</v>
      </c>
      <c r="Q150" s="497" t="s">
        <v>674</v>
      </c>
    </row>
    <row r="151" spans="1:17" ht="47.25" x14ac:dyDescent="0.25">
      <c r="A151" s="724"/>
      <c r="B151" s="490" t="s">
        <v>1044</v>
      </c>
      <c r="C151" s="717"/>
      <c r="D151" s="708"/>
      <c r="E151" s="708">
        <v>-500</v>
      </c>
      <c r="F151" s="708"/>
      <c r="G151" s="722"/>
      <c r="H151" s="469">
        <f t="shared" si="71"/>
        <v>-500</v>
      </c>
      <c r="I151" s="717">
        <v>500</v>
      </c>
      <c r="J151" s="717"/>
      <c r="K151" s="720"/>
      <c r="L151" s="479">
        <f t="shared" si="72"/>
        <v>500</v>
      </c>
      <c r="M151" s="717"/>
      <c r="N151" s="720"/>
      <c r="O151" s="719"/>
      <c r="P151" s="469">
        <f t="shared" si="73"/>
        <v>0</v>
      </c>
      <c r="Q151" s="497" t="s">
        <v>674</v>
      </c>
    </row>
    <row r="152" spans="1:17" ht="31.5" x14ac:dyDescent="0.25">
      <c r="A152" s="724"/>
      <c r="B152" s="490" t="s">
        <v>931</v>
      </c>
      <c r="C152" s="717"/>
      <c r="D152" s="708"/>
      <c r="E152" s="708">
        <v>-500</v>
      </c>
      <c r="F152" s="708"/>
      <c r="G152" s="722"/>
      <c r="H152" s="469">
        <f t="shared" ref="H152" si="80">SUM(C152:G152)</f>
        <v>-500</v>
      </c>
      <c r="I152" s="717">
        <v>-30440</v>
      </c>
      <c r="J152" s="717"/>
      <c r="K152" s="720">
        <v>30940</v>
      </c>
      <c r="L152" s="479">
        <f t="shared" ref="L152" si="81">SUM(I152:K152)</f>
        <v>500</v>
      </c>
      <c r="M152" s="717"/>
      <c r="N152" s="720"/>
      <c r="O152" s="719"/>
      <c r="P152" s="469">
        <f t="shared" ref="P152" si="82">O152+L152+H152</f>
        <v>0</v>
      </c>
      <c r="Q152" s="497" t="s">
        <v>674</v>
      </c>
    </row>
    <row r="153" spans="1:17" ht="31.5" x14ac:dyDescent="0.25">
      <c r="A153" s="724"/>
      <c r="B153" s="490" t="s">
        <v>1045</v>
      </c>
      <c r="C153" s="717"/>
      <c r="D153" s="708"/>
      <c r="E153" s="708">
        <v>74</v>
      </c>
      <c r="F153" s="708"/>
      <c r="G153" s="722"/>
      <c r="H153" s="469">
        <f t="shared" ref="H153:H157" si="83">SUM(C153:G153)</f>
        <v>74</v>
      </c>
      <c r="I153" s="717">
        <v>-74</v>
      </c>
      <c r="J153" s="717"/>
      <c r="K153" s="720"/>
      <c r="L153" s="479">
        <f t="shared" ref="L153:L157" si="84">SUM(I153:K153)</f>
        <v>-74</v>
      </c>
      <c r="M153" s="717"/>
      <c r="N153" s="720"/>
      <c r="O153" s="719"/>
      <c r="P153" s="469">
        <f t="shared" ref="P153:P157" si="85">O153+L153+H153</f>
        <v>0</v>
      </c>
      <c r="Q153" s="497" t="s">
        <v>674</v>
      </c>
    </row>
    <row r="154" spans="1:17" x14ac:dyDescent="0.25">
      <c r="A154" s="724"/>
      <c r="B154" s="490" t="s">
        <v>1046</v>
      </c>
      <c r="C154" s="717"/>
      <c r="D154" s="708"/>
      <c r="E154" s="708">
        <f>7516+37795</f>
        <v>45311</v>
      </c>
      <c r="F154" s="708"/>
      <c r="G154" s="722"/>
      <c r="H154" s="469">
        <f t="shared" si="83"/>
        <v>45311</v>
      </c>
      <c r="I154" s="717">
        <f>-7516-37795</f>
        <v>-45311</v>
      </c>
      <c r="J154" s="717"/>
      <c r="K154" s="720"/>
      <c r="L154" s="479">
        <f t="shared" si="84"/>
        <v>-45311</v>
      </c>
      <c r="M154" s="717"/>
      <c r="N154" s="720"/>
      <c r="O154" s="719"/>
      <c r="P154" s="469">
        <f t="shared" si="85"/>
        <v>0</v>
      </c>
      <c r="Q154" s="497" t="s">
        <v>674</v>
      </c>
    </row>
    <row r="155" spans="1:17" ht="47.25" x14ac:dyDescent="0.25">
      <c r="A155" s="724"/>
      <c r="B155" s="490" t="s">
        <v>1047</v>
      </c>
      <c r="C155" s="717"/>
      <c r="D155" s="708"/>
      <c r="E155" s="708">
        <v>-34320</v>
      </c>
      <c r="F155" s="708"/>
      <c r="G155" s="722"/>
      <c r="H155" s="469">
        <f t="shared" si="83"/>
        <v>-34320</v>
      </c>
      <c r="I155" s="717">
        <v>34320</v>
      </c>
      <c r="J155" s="717"/>
      <c r="K155" s="720"/>
      <c r="L155" s="479">
        <f t="shared" si="84"/>
        <v>34320</v>
      </c>
      <c r="M155" s="717"/>
      <c r="N155" s="720"/>
      <c r="O155" s="719"/>
      <c r="P155" s="469">
        <f t="shared" si="85"/>
        <v>0</v>
      </c>
      <c r="Q155" s="497" t="s">
        <v>1039</v>
      </c>
    </row>
    <row r="156" spans="1:17" ht="31.5" x14ac:dyDescent="0.25">
      <c r="A156" s="724"/>
      <c r="B156" s="490" t="s">
        <v>1048</v>
      </c>
      <c r="C156" s="717"/>
      <c r="D156" s="708"/>
      <c r="E156" s="708">
        <f>8538+211705</f>
        <v>220243</v>
      </c>
      <c r="F156" s="708"/>
      <c r="G156" s="722"/>
      <c r="H156" s="469">
        <f t="shared" ref="H156" si="86">SUM(C156:G156)</f>
        <v>220243</v>
      </c>
      <c r="I156" s="717">
        <f>-8538-211705</f>
        <v>-220243</v>
      </c>
      <c r="J156" s="717"/>
      <c r="K156" s="720"/>
      <c r="L156" s="479">
        <f t="shared" ref="L156" si="87">SUM(I156:K156)</f>
        <v>-220243</v>
      </c>
      <c r="M156" s="717"/>
      <c r="N156" s="720"/>
      <c r="O156" s="719"/>
      <c r="P156" s="469">
        <f t="shared" ref="P156" si="88">O156+L156+H156</f>
        <v>0</v>
      </c>
      <c r="Q156" s="497" t="s">
        <v>674</v>
      </c>
    </row>
    <row r="157" spans="1:17" ht="31.5" x14ac:dyDescent="0.25">
      <c r="A157" s="724"/>
      <c r="B157" s="490" t="s">
        <v>1049</v>
      </c>
      <c r="C157" s="717"/>
      <c r="D157" s="708"/>
      <c r="E157" s="708">
        <v>15932</v>
      </c>
      <c r="F157" s="708"/>
      <c r="G157" s="722"/>
      <c r="H157" s="469">
        <f t="shared" si="83"/>
        <v>15932</v>
      </c>
      <c r="I157" s="717">
        <v>-15932</v>
      </c>
      <c r="J157" s="717"/>
      <c r="K157" s="720"/>
      <c r="L157" s="479">
        <f t="shared" si="84"/>
        <v>-15932</v>
      </c>
      <c r="M157" s="717"/>
      <c r="N157" s="720"/>
      <c r="O157" s="719"/>
      <c r="P157" s="469">
        <f t="shared" si="85"/>
        <v>0</v>
      </c>
      <c r="Q157" s="497" t="s">
        <v>1039</v>
      </c>
    </row>
    <row r="158" spans="1:17" x14ac:dyDescent="0.25">
      <c r="A158" s="721"/>
      <c r="B158" s="490"/>
      <c r="C158" s="552"/>
      <c r="D158" s="552"/>
      <c r="E158" s="552"/>
      <c r="F158" s="552"/>
      <c r="G158" s="701"/>
      <c r="H158" s="469"/>
      <c r="I158" s="552"/>
      <c r="J158" s="552"/>
      <c r="K158" s="701"/>
      <c r="L158" s="479"/>
      <c r="M158" s="552"/>
      <c r="N158" s="701"/>
      <c r="O158" s="716"/>
      <c r="P158" s="469"/>
    </row>
    <row r="159" spans="1:17" x14ac:dyDescent="0.25">
      <c r="A159" s="721"/>
      <c r="B159" s="492" t="s">
        <v>462</v>
      </c>
      <c r="C159" s="552"/>
      <c r="D159" s="552"/>
      <c r="E159" s="552"/>
      <c r="F159" s="552"/>
      <c r="G159" s="701"/>
      <c r="H159" s="469"/>
      <c r="I159" s="552"/>
      <c r="J159" s="552"/>
      <c r="K159" s="701"/>
      <c r="L159" s="479"/>
      <c r="M159" s="552"/>
      <c r="N159" s="701"/>
      <c r="O159" s="716"/>
      <c r="P159" s="469"/>
    </row>
    <row r="160" spans="1:17" x14ac:dyDescent="0.25">
      <c r="A160" s="721"/>
      <c r="B160" s="491" t="s">
        <v>918</v>
      </c>
      <c r="C160" s="552"/>
      <c r="D160" s="552"/>
      <c r="E160" s="552"/>
      <c r="F160" s="552"/>
      <c r="G160" s="701"/>
      <c r="H160" s="716"/>
      <c r="I160" s="552"/>
      <c r="J160" s="552"/>
      <c r="K160" s="701"/>
      <c r="L160" s="719"/>
      <c r="M160" s="552"/>
      <c r="N160" s="701"/>
      <c r="O160" s="716"/>
      <c r="P160" s="716"/>
    </row>
    <row r="161" spans="1:17" x14ac:dyDescent="0.25">
      <c r="A161" s="724"/>
      <c r="B161" s="490" t="s">
        <v>462</v>
      </c>
      <c r="C161" s="717"/>
      <c r="D161" s="708"/>
      <c r="E161" s="708"/>
      <c r="F161" s="708"/>
      <c r="G161" s="722"/>
      <c r="H161" s="469">
        <f t="shared" ref="H161" si="89">SUM(C161:G161)</f>
        <v>0</v>
      </c>
      <c r="I161" s="717">
        <f>-95000-25650-99851</f>
        <v>-220501</v>
      </c>
      <c r="J161" s="717"/>
      <c r="K161" s="720"/>
      <c r="L161" s="479">
        <f t="shared" ref="L161" si="90">SUM(I161:K161)</f>
        <v>-220501</v>
      </c>
      <c r="M161" s="717"/>
      <c r="N161" s="720"/>
      <c r="O161" s="719"/>
      <c r="P161" s="469">
        <f t="shared" ref="P161:P162" si="91">O161+L161+H161</f>
        <v>-220501</v>
      </c>
      <c r="Q161" s="497" t="s">
        <v>673</v>
      </c>
    </row>
    <row r="162" spans="1:17" x14ac:dyDescent="0.25">
      <c r="A162" s="724"/>
      <c r="B162" s="491" t="s">
        <v>690</v>
      </c>
      <c r="C162" s="717"/>
      <c r="D162" s="708"/>
      <c r="E162" s="708"/>
      <c r="F162" s="708"/>
      <c r="G162" s="722"/>
      <c r="H162" s="469"/>
      <c r="I162" s="717"/>
      <c r="J162" s="717"/>
      <c r="K162" s="720"/>
      <c r="L162" s="479"/>
      <c r="M162" s="717"/>
      <c r="N162" s="720"/>
      <c r="O162" s="719"/>
      <c r="P162" s="469">
        <f t="shared" si="91"/>
        <v>0</v>
      </c>
    </row>
    <row r="163" spans="1:17" x14ac:dyDescent="0.25">
      <c r="A163" s="724"/>
      <c r="B163" s="490" t="s">
        <v>462</v>
      </c>
      <c r="C163" s="717"/>
      <c r="D163" s="708"/>
      <c r="E163" s="708">
        <f>-574+2742+730</f>
        <v>2898</v>
      </c>
      <c r="F163" s="708"/>
      <c r="G163" s="722"/>
      <c r="H163" s="469">
        <f t="shared" ref="H163" si="92">SUM(C163:G163)</f>
        <v>2898</v>
      </c>
      <c r="I163" s="717">
        <v>-2898</v>
      </c>
      <c r="J163" s="717"/>
      <c r="K163" s="720"/>
      <c r="L163" s="479">
        <f t="shared" ref="L163" si="93">SUM(I163:K163)</f>
        <v>-2898</v>
      </c>
      <c r="M163" s="717"/>
      <c r="N163" s="720"/>
      <c r="O163" s="719"/>
      <c r="P163" s="469">
        <f t="shared" ref="P163" si="94">O163+L163+H163</f>
        <v>0</v>
      </c>
      <c r="Q163" s="497" t="s">
        <v>673</v>
      </c>
    </row>
    <row r="164" spans="1:17" x14ac:dyDescent="0.25">
      <c r="A164" s="724"/>
      <c r="B164" s="490"/>
      <c r="C164" s="717"/>
      <c r="D164" s="708"/>
      <c r="E164" s="708"/>
      <c r="F164" s="708"/>
      <c r="G164" s="718"/>
      <c r="H164" s="469"/>
      <c r="I164" s="717"/>
      <c r="J164" s="717"/>
      <c r="K164" s="720"/>
      <c r="L164" s="479"/>
      <c r="M164" s="717"/>
      <c r="N164" s="720"/>
      <c r="O164" s="719"/>
      <c r="P164" s="469"/>
    </row>
    <row r="165" spans="1:17" s="471" customFormat="1" x14ac:dyDescent="0.25">
      <c r="A165" s="488" t="s">
        <v>486</v>
      </c>
      <c r="B165" s="493" t="s">
        <v>487</v>
      </c>
      <c r="C165" s="494"/>
      <c r="D165" s="494"/>
      <c r="E165" s="494"/>
      <c r="F165" s="494"/>
      <c r="G165" s="495"/>
      <c r="H165" s="479"/>
      <c r="I165" s="494"/>
      <c r="J165" s="494"/>
      <c r="K165" s="495"/>
      <c r="L165" s="479"/>
      <c r="M165" s="494"/>
      <c r="N165" s="495"/>
      <c r="O165" s="479"/>
      <c r="P165" s="479"/>
    </row>
    <row r="166" spans="1:17" x14ac:dyDescent="0.25">
      <c r="A166" s="488"/>
      <c r="B166" s="492" t="s">
        <v>86</v>
      </c>
      <c r="C166" s="717"/>
      <c r="D166" s="708"/>
      <c r="E166" s="708"/>
      <c r="F166" s="708"/>
      <c r="G166" s="718"/>
      <c r="H166" s="469"/>
      <c r="I166" s="717"/>
      <c r="J166" s="717"/>
      <c r="K166" s="720"/>
      <c r="L166" s="479"/>
      <c r="M166" s="717"/>
      <c r="N166" s="720"/>
      <c r="O166" s="719"/>
      <c r="P166" s="469"/>
    </row>
    <row r="167" spans="1:17" x14ac:dyDescent="0.25">
      <c r="A167" s="465"/>
      <c r="B167" s="491" t="s">
        <v>909</v>
      </c>
      <c r="C167" s="552"/>
      <c r="D167" s="552"/>
      <c r="E167" s="552"/>
      <c r="F167" s="552"/>
      <c r="G167" s="701"/>
      <c r="H167" s="469"/>
      <c r="I167" s="552"/>
      <c r="J167" s="552"/>
      <c r="K167" s="701"/>
      <c r="L167" s="479"/>
      <c r="M167" s="552"/>
      <c r="N167" s="701"/>
      <c r="O167" s="716"/>
      <c r="P167" s="469"/>
    </row>
    <row r="168" spans="1:17" ht="18" customHeight="1" x14ac:dyDescent="0.25">
      <c r="A168" s="465"/>
      <c r="B168" s="713" t="s">
        <v>1007</v>
      </c>
      <c r="C168" s="552"/>
      <c r="D168" s="552"/>
      <c r="E168" s="552">
        <v>154</v>
      </c>
      <c r="F168" s="552"/>
      <c r="G168" s="701"/>
      <c r="H168" s="469">
        <f>SUM(C168:G168)</f>
        <v>154</v>
      </c>
      <c r="I168" s="552"/>
      <c r="J168" s="552"/>
      <c r="K168" s="701"/>
      <c r="L168" s="479">
        <f t="shared" ref="L168" si="95">SUM(I168:K168)</f>
        <v>0</v>
      </c>
      <c r="M168" s="552"/>
      <c r="N168" s="701"/>
      <c r="O168" s="716"/>
      <c r="P168" s="469">
        <f t="shared" ref="P168" si="96">O168+L168+H168</f>
        <v>154</v>
      </c>
      <c r="Q168" s="497" t="s">
        <v>673</v>
      </c>
    </row>
    <row r="169" spans="1:17" ht="35.25" customHeight="1" x14ac:dyDescent="0.25">
      <c r="A169" s="465"/>
      <c r="B169" s="725" t="s">
        <v>1008</v>
      </c>
      <c r="C169" s="552"/>
      <c r="D169" s="552"/>
      <c r="E169" s="552">
        <v>310</v>
      </c>
      <c r="F169" s="552"/>
      <c r="G169" s="701"/>
      <c r="H169" s="469">
        <f t="shared" ref="H169:H171" si="97">SUM(C169:G169)</f>
        <v>310</v>
      </c>
      <c r="I169" s="552"/>
      <c r="J169" s="552"/>
      <c r="K169" s="701"/>
      <c r="L169" s="479">
        <f t="shared" ref="L169:L171" si="98">SUM(I169:K169)</f>
        <v>0</v>
      </c>
      <c r="M169" s="552"/>
      <c r="N169" s="701"/>
      <c r="O169" s="716"/>
      <c r="P169" s="469">
        <f t="shared" ref="P169:P171" si="99">O169+L169+H169</f>
        <v>310</v>
      </c>
      <c r="Q169" s="497" t="s">
        <v>673</v>
      </c>
    </row>
    <row r="170" spans="1:17" ht="33.75" customHeight="1" x14ac:dyDescent="0.25">
      <c r="A170" s="465"/>
      <c r="B170" s="725" t="s">
        <v>1009</v>
      </c>
      <c r="C170" s="552"/>
      <c r="D170" s="552"/>
      <c r="E170" s="552">
        <v>133</v>
      </c>
      <c r="F170" s="552"/>
      <c r="G170" s="701"/>
      <c r="H170" s="469">
        <f t="shared" si="97"/>
        <v>133</v>
      </c>
      <c r="I170" s="552"/>
      <c r="J170" s="552"/>
      <c r="K170" s="701"/>
      <c r="L170" s="479">
        <f t="shared" si="98"/>
        <v>0</v>
      </c>
      <c r="M170" s="552"/>
      <c r="N170" s="701"/>
      <c r="O170" s="716"/>
      <c r="P170" s="469">
        <f t="shared" si="99"/>
        <v>133</v>
      </c>
      <c r="Q170" s="497" t="s">
        <v>673</v>
      </c>
    </row>
    <row r="171" spans="1:17" ht="32.25" customHeight="1" x14ac:dyDescent="0.25">
      <c r="A171" s="465"/>
      <c r="B171" s="713" t="s">
        <v>1010</v>
      </c>
      <c r="C171" s="552"/>
      <c r="D171" s="552"/>
      <c r="E171" s="552">
        <v>2152</v>
      </c>
      <c r="F171" s="552"/>
      <c r="G171" s="701"/>
      <c r="H171" s="469">
        <f t="shared" si="97"/>
        <v>2152</v>
      </c>
      <c r="I171" s="552"/>
      <c r="J171" s="552"/>
      <c r="K171" s="701"/>
      <c r="L171" s="479">
        <f t="shared" si="98"/>
        <v>0</v>
      </c>
      <c r="M171" s="552"/>
      <c r="N171" s="701"/>
      <c r="O171" s="716"/>
      <c r="P171" s="469">
        <f t="shared" si="99"/>
        <v>2152</v>
      </c>
      <c r="Q171" s="497" t="s">
        <v>673</v>
      </c>
    </row>
    <row r="172" spans="1:17" x14ac:dyDescent="0.25">
      <c r="A172" s="465"/>
      <c r="B172" s="713"/>
      <c r="C172" s="552"/>
      <c r="D172" s="552"/>
      <c r="E172" s="552"/>
      <c r="F172" s="552"/>
      <c r="G172" s="701"/>
      <c r="H172" s="469"/>
      <c r="I172" s="552"/>
      <c r="J172" s="552"/>
      <c r="K172" s="701"/>
      <c r="L172" s="479"/>
      <c r="M172" s="552"/>
      <c r="N172" s="701"/>
      <c r="O172" s="716"/>
      <c r="P172" s="469"/>
    </row>
    <row r="173" spans="1:17" x14ac:dyDescent="0.25">
      <c r="A173" s="488"/>
      <c r="B173" s="491" t="s">
        <v>454</v>
      </c>
      <c r="C173" s="717"/>
      <c r="D173" s="717"/>
      <c r="E173" s="717"/>
      <c r="F173" s="717"/>
      <c r="G173" s="718"/>
      <c r="H173" s="469"/>
      <c r="I173" s="717"/>
      <c r="J173" s="717"/>
      <c r="K173" s="718"/>
      <c r="L173" s="479"/>
      <c r="M173" s="717"/>
      <c r="N173" s="718"/>
      <c r="O173" s="719"/>
      <c r="P173" s="469"/>
    </row>
    <row r="174" spans="1:17" ht="47.25" x14ac:dyDescent="0.25">
      <c r="A174" s="488"/>
      <c r="B174" s="490" t="s">
        <v>1022</v>
      </c>
      <c r="C174" s="717"/>
      <c r="D174" s="717"/>
      <c r="E174" s="717"/>
      <c r="F174" s="717">
        <v>224</v>
      </c>
      <c r="G174" s="718"/>
      <c r="H174" s="469">
        <f>SUM(C174:G174)</f>
        <v>224</v>
      </c>
      <c r="I174" s="717"/>
      <c r="J174" s="717"/>
      <c r="K174" s="718"/>
      <c r="L174" s="479">
        <f>SUM(I174:K174)</f>
        <v>0</v>
      </c>
      <c r="M174" s="717"/>
      <c r="N174" s="718"/>
      <c r="O174" s="719"/>
      <c r="P174" s="469">
        <f>O174+L174+H174</f>
        <v>224</v>
      </c>
      <c r="Q174" s="497" t="s">
        <v>677</v>
      </c>
    </row>
    <row r="175" spans="1:17" x14ac:dyDescent="0.25">
      <c r="A175" s="488"/>
      <c r="B175" s="490"/>
      <c r="C175" s="717"/>
      <c r="D175" s="717"/>
      <c r="E175" s="717"/>
      <c r="F175" s="717"/>
      <c r="G175" s="718"/>
      <c r="H175" s="469"/>
      <c r="I175" s="717"/>
      <c r="J175" s="717"/>
      <c r="K175" s="718"/>
      <c r="L175" s="479"/>
      <c r="M175" s="717"/>
      <c r="N175" s="718"/>
      <c r="O175" s="719"/>
      <c r="P175" s="469"/>
    </row>
    <row r="176" spans="1:17" x14ac:dyDescent="0.25">
      <c r="A176" s="488"/>
      <c r="B176" s="491" t="s">
        <v>690</v>
      </c>
      <c r="C176" s="717"/>
      <c r="D176" s="717"/>
      <c r="E176" s="717"/>
      <c r="F176" s="717"/>
      <c r="G176" s="718"/>
      <c r="H176" s="469"/>
      <c r="I176" s="717"/>
      <c r="J176" s="717"/>
      <c r="K176" s="718"/>
      <c r="L176" s="479"/>
      <c r="M176" s="717"/>
      <c r="N176" s="718"/>
      <c r="O176" s="719"/>
      <c r="P176" s="469"/>
    </row>
    <row r="177" spans="1:17" ht="47.25" x14ac:dyDescent="0.25">
      <c r="A177" s="488"/>
      <c r="B177" s="490" t="s">
        <v>1050</v>
      </c>
      <c r="C177" s="717"/>
      <c r="D177" s="717"/>
      <c r="E177" s="717">
        <v>-200000</v>
      </c>
      <c r="F177" s="717"/>
      <c r="G177" s="718">
        <v>200000</v>
      </c>
      <c r="H177" s="469">
        <f>SUM(C177:G177)</f>
        <v>0</v>
      </c>
      <c r="I177" s="717"/>
      <c r="J177" s="717"/>
      <c r="K177" s="718"/>
      <c r="L177" s="479">
        <f>SUM(I177:K177)</f>
        <v>0</v>
      </c>
      <c r="M177" s="717"/>
      <c r="N177" s="718"/>
      <c r="O177" s="719"/>
      <c r="P177" s="469">
        <f>O177+L177+H177</f>
        <v>0</v>
      </c>
      <c r="Q177" s="497" t="s">
        <v>677</v>
      </c>
    </row>
    <row r="178" spans="1:17" ht="47.25" x14ac:dyDescent="0.25">
      <c r="A178" s="488"/>
      <c r="B178" s="490" t="s">
        <v>1050</v>
      </c>
      <c r="C178" s="717"/>
      <c r="D178" s="717"/>
      <c r="E178" s="717">
        <v>-83038</v>
      </c>
      <c r="F178" s="717"/>
      <c r="G178" s="718"/>
      <c r="H178" s="469">
        <f>SUM(C178:G178)</f>
        <v>-83038</v>
      </c>
      <c r="I178" s="717"/>
      <c r="J178" s="717">
        <v>83038</v>
      </c>
      <c r="K178" s="718"/>
      <c r="L178" s="479">
        <f>SUM(I178:K178)</f>
        <v>83038</v>
      </c>
      <c r="M178" s="717"/>
      <c r="N178" s="718"/>
      <c r="O178" s="719"/>
      <c r="P178" s="469">
        <f>O178+L178+H178</f>
        <v>0</v>
      </c>
      <c r="Q178" s="497" t="s">
        <v>677</v>
      </c>
    </row>
    <row r="179" spans="1:17" x14ac:dyDescent="0.25">
      <c r="A179" s="488"/>
      <c r="B179" s="490" t="s">
        <v>1051</v>
      </c>
      <c r="C179" s="717"/>
      <c r="D179" s="717"/>
      <c r="E179" s="717">
        <v>3000</v>
      </c>
      <c r="F179" s="717"/>
      <c r="G179" s="718">
        <v>-3000</v>
      </c>
      <c r="H179" s="469">
        <f>SUM(C179:G179)</f>
        <v>0</v>
      </c>
      <c r="I179" s="717"/>
      <c r="J179" s="717"/>
      <c r="K179" s="718"/>
      <c r="L179" s="479">
        <f>SUM(I179:K179)</f>
        <v>0</v>
      </c>
      <c r="M179" s="717"/>
      <c r="N179" s="718"/>
      <c r="O179" s="719"/>
      <c r="P179" s="469">
        <f>O179+L179+H179</f>
        <v>0</v>
      </c>
      <c r="Q179" s="497" t="s">
        <v>677</v>
      </c>
    </row>
    <row r="180" spans="1:17" ht="47.25" x14ac:dyDescent="0.25">
      <c r="A180" s="488"/>
      <c r="B180" s="490" t="s">
        <v>1006</v>
      </c>
      <c r="C180" s="717"/>
      <c r="D180" s="717"/>
      <c r="E180" s="717">
        <v>50</v>
      </c>
      <c r="F180" s="717"/>
      <c r="G180" s="717"/>
      <c r="H180" s="469">
        <f>SUM(C180:G180)</f>
        <v>50</v>
      </c>
      <c r="I180" s="717"/>
      <c r="J180" s="717"/>
      <c r="K180" s="718"/>
      <c r="L180" s="479">
        <f>SUM(I180:K180)</f>
        <v>0</v>
      </c>
      <c r="M180" s="717"/>
      <c r="N180" s="718"/>
      <c r="O180" s="719"/>
      <c r="P180" s="469">
        <f>O180+L180+H180</f>
        <v>50</v>
      </c>
      <c r="Q180" s="497" t="s">
        <v>674</v>
      </c>
    </row>
    <row r="181" spans="1:17" x14ac:dyDescent="0.25">
      <c r="A181" s="488"/>
      <c r="B181" s="551" t="s">
        <v>1054</v>
      </c>
      <c r="C181" s="717"/>
      <c r="D181" s="717"/>
      <c r="E181" s="717">
        <v>12</v>
      </c>
      <c r="F181" s="717"/>
      <c r="G181" s="717"/>
      <c r="H181" s="469">
        <f t="shared" ref="H181:H182" si="100">SUM(C181:G181)</f>
        <v>12</v>
      </c>
      <c r="I181" s="717"/>
      <c r="J181" s="717"/>
      <c r="K181" s="718"/>
      <c r="L181" s="479">
        <f t="shared" ref="L181:L182" si="101">SUM(I181:K181)</f>
        <v>0</v>
      </c>
      <c r="M181" s="717"/>
      <c r="N181" s="718"/>
      <c r="O181" s="719"/>
      <c r="P181" s="469">
        <f t="shared" ref="P181:P182" si="102">O181+L181+H181</f>
        <v>12</v>
      </c>
      <c r="Q181" s="497" t="s">
        <v>674</v>
      </c>
    </row>
    <row r="182" spans="1:17" ht="63" x14ac:dyDescent="0.25">
      <c r="A182" s="488"/>
      <c r="B182" s="551" t="s">
        <v>1055</v>
      </c>
      <c r="C182" s="717"/>
      <c r="D182" s="717"/>
      <c r="E182" s="717">
        <v>11</v>
      </c>
      <c r="F182" s="717"/>
      <c r="G182" s="717"/>
      <c r="H182" s="469">
        <f t="shared" si="100"/>
        <v>11</v>
      </c>
      <c r="I182" s="717"/>
      <c r="J182" s="717"/>
      <c r="K182" s="718"/>
      <c r="L182" s="479">
        <f t="shared" si="101"/>
        <v>0</v>
      </c>
      <c r="M182" s="717"/>
      <c r="N182" s="718"/>
      <c r="O182" s="719"/>
      <c r="P182" s="469">
        <f t="shared" si="102"/>
        <v>11</v>
      </c>
      <c r="Q182" s="497" t="s">
        <v>677</v>
      </c>
    </row>
    <row r="183" spans="1:17" x14ac:dyDescent="0.25">
      <c r="A183" s="488"/>
      <c r="B183" s="551" t="s">
        <v>1056</v>
      </c>
      <c r="C183" s="717">
        <v>-425</v>
      </c>
      <c r="D183" s="717">
        <v>-182</v>
      </c>
      <c r="E183" s="552"/>
      <c r="F183" s="717"/>
      <c r="G183" s="717"/>
      <c r="H183" s="469">
        <f t="shared" ref="H183" si="103">SUM(C183:G183)</f>
        <v>-607</v>
      </c>
      <c r="I183" s="717">
        <v>607</v>
      </c>
      <c r="J183" s="717"/>
      <c r="K183" s="718"/>
      <c r="L183" s="479">
        <f t="shared" ref="L183" si="104">SUM(I183:K183)</f>
        <v>607</v>
      </c>
      <c r="M183" s="717"/>
      <c r="N183" s="718"/>
      <c r="O183" s="719"/>
      <c r="P183" s="469">
        <f t="shared" ref="P183" si="105">O183+L183+H183</f>
        <v>0</v>
      </c>
      <c r="Q183" s="497" t="s">
        <v>674</v>
      </c>
    </row>
    <row r="184" spans="1:17" x14ac:dyDescent="0.25">
      <c r="A184" s="465"/>
      <c r="B184" s="490"/>
      <c r="C184" s="552"/>
      <c r="D184" s="552"/>
      <c r="E184" s="552"/>
      <c r="F184" s="552"/>
      <c r="G184" s="701"/>
      <c r="H184" s="469"/>
      <c r="I184" s="552"/>
      <c r="J184" s="552"/>
      <c r="K184" s="701"/>
      <c r="L184" s="479"/>
      <c r="M184" s="552"/>
      <c r="N184" s="701"/>
      <c r="O184" s="716"/>
      <c r="P184" s="469"/>
    </row>
    <row r="185" spans="1:17" s="487" customFormat="1" x14ac:dyDescent="0.25">
      <c r="A185" s="482"/>
      <c r="B185" s="491" t="s">
        <v>918</v>
      </c>
      <c r="C185" s="483"/>
      <c r="D185" s="483"/>
      <c r="E185" s="483"/>
      <c r="F185" s="483"/>
      <c r="G185" s="484"/>
      <c r="H185" s="485"/>
      <c r="I185" s="483"/>
      <c r="J185" s="483"/>
      <c r="K185" s="484"/>
      <c r="L185" s="486"/>
      <c r="M185" s="483"/>
      <c r="N185" s="484"/>
      <c r="O185" s="485"/>
      <c r="P185" s="485"/>
    </row>
    <row r="186" spans="1:17" ht="110.25" x14ac:dyDescent="0.25">
      <c r="A186" s="721"/>
      <c r="B186" s="713" t="s">
        <v>1166</v>
      </c>
      <c r="C186" s="552"/>
      <c r="D186" s="552"/>
      <c r="E186" s="552"/>
      <c r="F186" s="552"/>
      <c r="G186" s="701">
        <v>-200000</v>
      </c>
      <c r="H186" s="469">
        <f>SUM(C186:G186)</f>
        <v>-200000</v>
      </c>
      <c r="I186" s="467"/>
      <c r="J186" s="467"/>
      <c r="K186" s="701"/>
      <c r="L186" s="479">
        <f>SUM(I186:K186)</f>
        <v>0</v>
      </c>
      <c r="M186" s="467"/>
      <c r="N186" s="468"/>
      <c r="O186" s="469"/>
      <c r="P186" s="469">
        <f>O186+L186+H186</f>
        <v>-200000</v>
      </c>
      <c r="Q186" s="497" t="s">
        <v>677</v>
      </c>
    </row>
    <row r="187" spans="1:17" ht="47.25" x14ac:dyDescent="0.25">
      <c r="A187" s="488"/>
      <c r="B187" s="490" t="s">
        <v>1050</v>
      </c>
      <c r="C187" s="717"/>
      <c r="D187" s="717"/>
      <c r="E187" s="552">
        <f>-2286-7010</f>
        <v>-9296</v>
      </c>
      <c r="F187" s="717"/>
      <c r="G187" s="718"/>
      <c r="H187" s="469">
        <f>SUM(C187:G187)</f>
        <v>-9296</v>
      </c>
      <c r="I187" s="717"/>
      <c r="J187" s="467"/>
      <c r="K187" s="718"/>
      <c r="L187" s="479">
        <f>SUM(I187:K187)</f>
        <v>0</v>
      </c>
      <c r="M187" s="717"/>
      <c r="N187" s="718"/>
      <c r="O187" s="719"/>
      <c r="P187" s="469">
        <f>O187+L187+H187</f>
        <v>-9296</v>
      </c>
      <c r="Q187" s="497" t="s">
        <v>677</v>
      </c>
    </row>
    <row r="188" spans="1:17" ht="31.5" x14ac:dyDescent="0.25">
      <c r="A188" s="488"/>
      <c r="B188" s="490" t="s">
        <v>1292</v>
      </c>
      <c r="C188" s="717"/>
      <c r="D188" s="717"/>
      <c r="E188" s="552">
        <v>-38100</v>
      </c>
      <c r="F188" s="717"/>
      <c r="G188" s="718"/>
      <c r="H188" s="469">
        <f>SUM(C188:G188)</f>
        <v>-38100</v>
      </c>
      <c r="I188" s="717"/>
      <c r="J188" s="467"/>
      <c r="K188" s="718"/>
      <c r="L188" s="479">
        <f>SUM(I188:K188)</f>
        <v>0</v>
      </c>
      <c r="M188" s="717"/>
      <c r="N188" s="718"/>
      <c r="O188" s="719"/>
      <c r="P188" s="469">
        <f>O188+L188+H188</f>
        <v>-38100</v>
      </c>
      <c r="Q188" s="497" t="s">
        <v>677</v>
      </c>
    </row>
    <row r="189" spans="1:17" x14ac:dyDescent="0.25">
      <c r="A189" s="721"/>
      <c r="B189" s="490"/>
      <c r="C189" s="552"/>
      <c r="D189" s="552"/>
      <c r="E189" s="552"/>
      <c r="F189" s="552"/>
      <c r="G189" s="701"/>
      <c r="H189" s="469"/>
      <c r="I189" s="467"/>
      <c r="J189" s="467"/>
      <c r="K189" s="701"/>
      <c r="L189" s="479"/>
      <c r="M189" s="467"/>
      <c r="N189" s="468"/>
      <c r="O189" s="469"/>
      <c r="P189" s="469"/>
    </row>
    <row r="190" spans="1:17" s="471" customFormat="1" x14ac:dyDescent="0.25">
      <c r="A190" s="488" t="s">
        <v>87</v>
      </c>
      <c r="B190" s="493" t="s">
        <v>65</v>
      </c>
      <c r="C190" s="494"/>
      <c r="D190" s="494"/>
      <c r="E190" s="494"/>
      <c r="F190" s="494"/>
      <c r="G190" s="494"/>
      <c r="H190" s="479"/>
      <c r="I190" s="494"/>
      <c r="J190" s="494"/>
      <c r="K190" s="494"/>
      <c r="L190" s="479"/>
      <c r="M190" s="494"/>
      <c r="N190" s="494"/>
      <c r="O190" s="479"/>
      <c r="P190" s="469"/>
    </row>
    <row r="191" spans="1:17" s="487" customFormat="1" x14ac:dyDescent="0.25">
      <c r="A191" s="482"/>
      <c r="B191" s="491" t="s">
        <v>918</v>
      </c>
      <c r="C191" s="483"/>
      <c r="D191" s="483"/>
      <c r="E191" s="483"/>
      <c r="F191" s="483"/>
      <c r="G191" s="484"/>
      <c r="H191" s="485"/>
      <c r="I191" s="483"/>
      <c r="J191" s="483"/>
      <c r="K191" s="484"/>
      <c r="L191" s="486"/>
      <c r="M191" s="483"/>
      <c r="N191" s="484"/>
      <c r="O191" s="485"/>
      <c r="P191" s="485"/>
    </row>
    <row r="192" spans="1:17" x14ac:dyDescent="0.25">
      <c r="A192" s="721"/>
      <c r="B192" s="713" t="s">
        <v>1194</v>
      </c>
      <c r="C192" s="552"/>
      <c r="D192" s="552"/>
      <c r="E192" s="552"/>
      <c r="F192" s="552"/>
      <c r="G192" s="701">
        <v>-525000</v>
      </c>
      <c r="H192" s="469">
        <f>SUM(C192:G192)</f>
        <v>-525000</v>
      </c>
      <c r="I192" s="467"/>
      <c r="J192" s="467"/>
      <c r="K192" s="701"/>
      <c r="L192" s="479">
        <f>SUM(I192:K192)</f>
        <v>0</v>
      </c>
      <c r="M192" s="467"/>
      <c r="N192" s="468"/>
      <c r="O192" s="469"/>
      <c r="P192" s="469">
        <f>O192+L192+H192</f>
        <v>-525000</v>
      </c>
      <c r="Q192" s="497" t="s">
        <v>677</v>
      </c>
    </row>
    <row r="193" spans="1:17" ht="78.75" x14ac:dyDescent="0.25">
      <c r="A193" s="721"/>
      <c r="B193" s="713" t="s">
        <v>1167</v>
      </c>
      <c r="C193" s="552"/>
      <c r="D193" s="552"/>
      <c r="E193" s="552"/>
      <c r="F193" s="552"/>
      <c r="G193" s="701">
        <v>-1500000</v>
      </c>
      <c r="H193" s="469">
        <f>SUM(C193:G193)</f>
        <v>-1500000</v>
      </c>
      <c r="I193" s="467"/>
      <c r="J193" s="467"/>
      <c r="K193" s="701"/>
      <c r="L193" s="479">
        <f>SUM(I193:K193)</f>
        <v>0</v>
      </c>
      <c r="M193" s="467"/>
      <c r="N193" s="468"/>
      <c r="O193" s="469"/>
      <c r="P193" s="469">
        <f>O193+L193+H193</f>
        <v>-1500000</v>
      </c>
      <c r="Q193" s="497" t="s">
        <v>677</v>
      </c>
    </row>
    <row r="194" spans="1:17" s="471" customFormat="1" x14ac:dyDescent="0.25">
      <c r="A194" s="465"/>
      <c r="B194" s="493"/>
      <c r="C194" s="467"/>
      <c r="D194" s="467"/>
      <c r="E194" s="467"/>
      <c r="F194" s="467"/>
      <c r="G194" s="468"/>
      <c r="H194" s="469"/>
      <c r="I194" s="467"/>
      <c r="J194" s="467"/>
      <c r="K194" s="468"/>
      <c r="L194" s="479"/>
      <c r="M194" s="467"/>
      <c r="N194" s="468"/>
      <c r="O194" s="469"/>
      <c r="P194" s="469"/>
    </row>
    <row r="195" spans="1:17" s="487" customFormat="1" x14ac:dyDescent="0.25">
      <c r="A195" s="482"/>
      <c r="B195" s="491" t="s">
        <v>690</v>
      </c>
      <c r="C195" s="483"/>
      <c r="D195" s="483"/>
      <c r="E195" s="483"/>
      <c r="F195" s="483"/>
      <c r="G195" s="484"/>
      <c r="H195" s="485"/>
      <c r="I195" s="483"/>
      <c r="J195" s="483"/>
      <c r="K195" s="484"/>
      <c r="L195" s="486"/>
      <c r="M195" s="483"/>
      <c r="N195" s="484"/>
      <c r="O195" s="485"/>
      <c r="P195" s="485"/>
    </row>
    <row r="196" spans="1:17" ht="31.5" x14ac:dyDescent="0.25">
      <c r="A196" s="721"/>
      <c r="B196" s="713" t="s">
        <v>903</v>
      </c>
      <c r="C196" s="552"/>
      <c r="D196" s="552"/>
      <c r="E196" s="552"/>
      <c r="F196" s="552"/>
      <c r="G196" s="701">
        <v>22000</v>
      </c>
      <c r="H196" s="469">
        <f>SUM(C196:G196)</f>
        <v>22000</v>
      </c>
      <c r="I196" s="467"/>
      <c r="J196" s="467"/>
      <c r="K196" s="701"/>
      <c r="L196" s="479">
        <f>SUM(I196:K196)</f>
        <v>0</v>
      </c>
      <c r="M196" s="467"/>
      <c r="N196" s="468"/>
      <c r="O196" s="469"/>
      <c r="P196" s="469">
        <f>O196+L196+H196</f>
        <v>22000</v>
      </c>
      <c r="Q196" s="497" t="s">
        <v>677</v>
      </c>
    </row>
    <row r="197" spans="1:17" ht="31.5" x14ac:dyDescent="0.25">
      <c r="A197" s="721"/>
      <c r="B197" s="713" t="s">
        <v>903</v>
      </c>
      <c r="C197" s="552"/>
      <c r="D197" s="552"/>
      <c r="E197" s="552"/>
      <c r="F197" s="552"/>
      <c r="G197" s="701">
        <v>300000</v>
      </c>
      <c r="H197" s="469">
        <f t="shared" ref="H197" si="106">SUM(C197:G197)</f>
        <v>300000</v>
      </c>
      <c r="I197" s="467"/>
      <c r="J197" s="467"/>
      <c r="K197" s="701"/>
      <c r="L197" s="479">
        <f t="shared" ref="L197" si="107">SUM(I197:K197)</f>
        <v>0</v>
      </c>
      <c r="M197" s="467"/>
      <c r="N197" s="468"/>
      <c r="O197" s="469"/>
      <c r="P197" s="469">
        <f t="shared" ref="P197" si="108">O197+L197+H197</f>
        <v>300000</v>
      </c>
      <c r="Q197" s="497" t="s">
        <v>677</v>
      </c>
    </row>
    <row r="198" spans="1:17" ht="31.5" x14ac:dyDescent="0.25">
      <c r="A198" s="721"/>
      <c r="B198" s="713" t="s">
        <v>903</v>
      </c>
      <c r="C198" s="552"/>
      <c r="D198" s="552"/>
      <c r="E198" s="552"/>
      <c r="F198" s="552"/>
      <c r="G198" s="701">
        <v>-812289</v>
      </c>
      <c r="H198" s="469">
        <f t="shared" ref="H198:H199" si="109">SUM(C198:G198)</f>
        <v>-812289</v>
      </c>
      <c r="I198" s="467"/>
      <c r="J198" s="467"/>
      <c r="K198" s="701"/>
      <c r="L198" s="479">
        <f t="shared" ref="L198:L199" si="110">SUM(I198:K198)</f>
        <v>0</v>
      </c>
      <c r="M198" s="467"/>
      <c r="N198" s="468"/>
      <c r="O198" s="469"/>
      <c r="P198" s="469">
        <f t="shared" ref="P198:P199" si="111">O198+L198+H198</f>
        <v>-812289</v>
      </c>
      <c r="Q198" s="497" t="s">
        <v>674</v>
      </c>
    </row>
    <row r="199" spans="1:17" ht="31.5" x14ac:dyDescent="0.25">
      <c r="A199" s="721"/>
      <c r="B199" s="713" t="s">
        <v>903</v>
      </c>
      <c r="C199" s="552"/>
      <c r="D199" s="552"/>
      <c r="E199" s="552"/>
      <c r="F199" s="552"/>
      <c r="G199" s="701">
        <v>812289</v>
      </c>
      <c r="H199" s="469">
        <f t="shared" si="109"/>
        <v>812289</v>
      </c>
      <c r="I199" s="467"/>
      <c r="J199" s="467"/>
      <c r="K199" s="701"/>
      <c r="L199" s="479">
        <f t="shared" si="110"/>
        <v>0</v>
      </c>
      <c r="M199" s="467"/>
      <c r="N199" s="468"/>
      <c r="O199" s="469"/>
      <c r="P199" s="469">
        <f t="shared" si="111"/>
        <v>812289</v>
      </c>
      <c r="Q199" s="497" t="s">
        <v>677</v>
      </c>
    </row>
    <row r="200" spans="1:17" ht="63" x14ac:dyDescent="0.25">
      <c r="A200" s="721"/>
      <c r="B200" s="713" t="s">
        <v>904</v>
      </c>
      <c r="C200" s="552"/>
      <c r="D200" s="552"/>
      <c r="E200" s="552"/>
      <c r="F200" s="552"/>
      <c r="G200" s="701">
        <v>-63000</v>
      </c>
      <c r="H200" s="469">
        <f t="shared" ref="H200:H201" si="112">SUM(C200:G200)</f>
        <v>-63000</v>
      </c>
      <c r="I200" s="467"/>
      <c r="J200" s="467"/>
      <c r="K200" s="701"/>
      <c r="L200" s="479">
        <f t="shared" ref="L200:L201" si="113">SUM(I200:K200)</f>
        <v>0</v>
      </c>
      <c r="M200" s="467"/>
      <c r="N200" s="468"/>
      <c r="O200" s="469"/>
      <c r="P200" s="469">
        <f t="shared" ref="P200:P201" si="114">O200+L200+H200</f>
        <v>-63000</v>
      </c>
      <c r="Q200" s="497" t="s">
        <v>674</v>
      </c>
    </row>
    <row r="201" spans="1:17" ht="63" x14ac:dyDescent="0.25">
      <c r="A201" s="721"/>
      <c r="B201" s="713" t="s">
        <v>904</v>
      </c>
      <c r="C201" s="552"/>
      <c r="D201" s="552"/>
      <c r="E201" s="552"/>
      <c r="F201" s="552"/>
      <c r="G201" s="701">
        <v>63000</v>
      </c>
      <c r="H201" s="469">
        <f t="shared" si="112"/>
        <v>63000</v>
      </c>
      <c r="I201" s="467"/>
      <c r="J201" s="467"/>
      <c r="K201" s="701"/>
      <c r="L201" s="479">
        <f t="shared" si="113"/>
        <v>0</v>
      </c>
      <c r="M201" s="467"/>
      <c r="N201" s="468"/>
      <c r="O201" s="469"/>
      <c r="P201" s="469">
        <f t="shared" si="114"/>
        <v>63000</v>
      </c>
      <c r="Q201" s="497" t="s">
        <v>677</v>
      </c>
    </row>
    <row r="202" spans="1:17" x14ac:dyDescent="0.25">
      <c r="A202" s="721"/>
      <c r="B202" s="492"/>
      <c r="C202" s="552"/>
      <c r="D202" s="552"/>
      <c r="E202" s="552"/>
      <c r="F202" s="552"/>
      <c r="G202" s="701"/>
      <c r="H202" s="469"/>
      <c r="I202" s="467"/>
      <c r="J202" s="467"/>
      <c r="K202" s="701"/>
      <c r="L202" s="479"/>
      <c r="M202" s="467"/>
      <c r="N202" s="468"/>
      <c r="O202" s="469"/>
      <c r="P202" s="469"/>
    </row>
    <row r="203" spans="1:17" s="487" customFormat="1" x14ac:dyDescent="0.25">
      <c r="A203" s="482"/>
      <c r="B203" s="491" t="s">
        <v>918</v>
      </c>
      <c r="C203" s="483"/>
      <c r="D203" s="483"/>
      <c r="E203" s="483"/>
      <c r="F203" s="483"/>
      <c r="G203" s="484"/>
      <c r="H203" s="485"/>
      <c r="I203" s="483"/>
      <c r="J203" s="483"/>
      <c r="K203" s="484"/>
      <c r="L203" s="486"/>
      <c r="M203" s="483"/>
      <c r="N203" s="484"/>
      <c r="O203" s="485"/>
      <c r="P203" s="485"/>
    </row>
    <row r="204" spans="1:17" ht="31.5" x14ac:dyDescent="0.25">
      <c r="A204" s="721"/>
      <c r="B204" s="713" t="s">
        <v>932</v>
      </c>
      <c r="C204" s="552"/>
      <c r="D204" s="552"/>
      <c r="E204" s="552"/>
      <c r="F204" s="552"/>
      <c r="G204" s="701">
        <v>-20000</v>
      </c>
      <c r="H204" s="469">
        <f>SUM(C204:G204)</f>
        <v>-20000</v>
      </c>
      <c r="I204" s="467"/>
      <c r="J204" s="467"/>
      <c r="K204" s="701"/>
      <c r="L204" s="479">
        <f>SUM(I204:K204)</f>
        <v>0</v>
      </c>
      <c r="M204" s="467"/>
      <c r="N204" s="468"/>
      <c r="O204" s="469"/>
      <c r="P204" s="469">
        <f>O204+L204+H204</f>
        <v>-20000</v>
      </c>
      <c r="Q204" s="497" t="s">
        <v>674</v>
      </c>
    </row>
    <row r="205" spans="1:17" ht="31.5" x14ac:dyDescent="0.25">
      <c r="A205" s="721"/>
      <c r="B205" s="713" t="s">
        <v>961</v>
      </c>
      <c r="C205" s="552"/>
      <c r="D205" s="552"/>
      <c r="E205" s="552"/>
      <c r="F205" s="552"/>
      <c r="G205" s="701">
        <v>-500</v>
      </c>
      <c r="H205" s="469">
        <f>SUM(C205:G205)</f>
        <v>-500</v>
      </c>
      <c r="I205" s="467"/>
      <c r="J205" s="467"/>
      <c r="K205" s="701"/>
      <c r="L205" s="479">
        <f>SUM(I205:K205)</f>
        <v>0</v>
      </c>
      <c r="M205" s="467"/>
      <c r="N205" s="468"/>
      <c r="O205" s="469"/>
      <c r="P205" s="469">
        <f>O205+L205+H205</f>
        <v>-500</v>
      </c>
      <c r="Q205" s="497" t="s">
        <v>674</v>
      </c>
    </row>
    <row r="206" spans="1:17" ht="94.5" x14ac:dyDescent="0.25">
      <c r="A206" s="721"/>
      <c r="B206" s="709" t="s">
        <v>1052</v>
      </c>
      <c r="C206" s="552"/>
      <c r="D206" s="552"/>
      <c r="E206" s="552"/>
      <c r="F206" s="552"/>
      <c r="G206" s="701"/>
      <c r="H206" s="469">
        <f t="shared" ref="H206:H207" si="115">SUM(C206:G206)</f>
        <v>0</v>
      </c>
      <c r="I206" s="552">
        <v>-10000</v>
      </c>
      <c r="J206" s="467"/>
      <c r="K206" s="701"/>
      <c r="L206" s="479">
        <f t="shared" ref="L206:L207" si="116">SUM(I206:K206)</f>
        <v>-10000</v>
      </c>
      <c r="M206" s="467"/>
      <c r="N206" s="468"/>
      <c r="O206" s="469"/>
      <c r="P206" s="469">
        <f t="shared" ref="P206:P207" si="117">O206+L206+H206</f>
        <v>-10000</v>
      </c>
      <c r="Q206" s="497" t="s">
        <v>673</v>
      </c>
    </row>
    <row r="207" spans="1:17" ht="47.25" x14ac:dyDescent="0.25">
      <c r="A207" s="721"/>
      <c r="B207" s="709" t="s">
        <v>1053</v>
      </c>
      <c r="C207" s="552"/>
      <c r="D207" s="552"/>
      <c r="E207" s="552">
        <v>-4000</v>
      </c>
      <c r="F207" s="552"/>
      <c r="G207" s="701"/>
      <c r="H207" s="469">
        <f t="shared" si="115"/>
        <v>-4000</v>
      </c>
      <c r="I207" s="467"/>
      <c r="J207" s="467"/>
      <c r="K207" s="701"/>
      <c r="L207" s="479">
        <f t="shared" si="116"/>
        <v>0</v>
      </c>
      <c r="M207" s="467"/>
      <c r="N207" s="468"/>
      <c r="O207" s="469"/>
      <c r="P207" s="469">
        <f t="shared" si="117"/>
        <v>-4000</v>
      </c>
      <c r="Q207" s="497" t="s">
        <v>673</v>
      </c>
    </row>
    <row r="208" spans="1:17" x14ac:dyDescent="0.25">
      <c r="A208" s="721"/>
      <c r="B208" s="492"/>
      <c r="C208" s="552"/>
      <c r="D208" s="552"/>
      <c r="E208" s="552"/>
      <c r="F208" s="552"/>
      <c r="G208" s="701"/>
      <c r="H208" s="469"/>
      <c r="I208" s="467"/>
      <c r="J208" s="467"/>
      <c r="K208" s="701"/>
      <c r="L208" s="479"/>
      <c r="M208" s="467"/>
      <c r="N208" s="468"/>
      <c r="O208" s="469"/>
      <c r="P208" s="469"/>
    </row>
    <row r="209" spans="1:17" s="471" customFormat="1" x14ac:dyDescent="0.25">
      <c r="A209" s="488" t="s">
        <v>91</v>
      </c>
      <c r="B209" s="493" t="s">
        <v>43</v>
      </c>
      <c r="C209" s="494"/>
      <c r="D209" s="494"/>
      <c r="E209" s="494"/>
      <c r="F209" s="494"/>
      <c r="G209" s="494"/>
      <c r="H209" s="479"/>
      <c r="I209" s="494"/>
      <c r="J209" s="494"/>
      <c r="K209" s="494"/>
      <c r="L209" s="479"/>
      <c r="M209" s="494"/>
      <c r="N209" s="494"/>
      <c r="O209" s="479"/>
      <c r="P209" s="469"/>
    </row>
    <row r="210" spans="1:17" x14ac:dyDescent="0.25">
      <c r="A210" s="488"/>
      <c r="B210" s="492" t="s">
        <v>92</v>
      </c>
      <c r="C210" s="717"/>
      <c r="D210" s="708"/>
      <c r="E210" s="708"/>
      <c r="F210" s="708"/>
      <c r="G210" s="718"/>
      <c r="H210" s="479"/>
      <c r="I210" s="717"/>
      <c r="J210" s="717"/>
      <c r="K210" s="720"/>
      <c r="L210" s="479"/>
      <c r="M210" s="717"/>
      <c r="N210" s="720"/>
      <c r="O210" s="719"/>
      <c r="P210" s="479"/>
    </row>
    <row r="211" spans="1:17" x14ac:dyDescent="0.25">
      <c r="A211" s="721"/>
      <c r="B211" s="491" t="s">
        <v>918</v>
      </c>
      <c r="C211" s="552"/>
      <c r="D211" s="552"/>
      <c r="E211" s="552"/>
      <c r="F211" s="552"/>
      <c r="G211" s="701"/>
      <c r="H211" s="469"/>
      <c r="I211" s="467"/>
      <c r="J211" s="467"/>
      <c r="K211" s="701"/>
      <c r="L211" s="479"/>
      <c r="M211" s="467"/>
      <c r="N211" s="468"/>
      <c r="O211" s="469"/>
      <c r="P211" s="469"/>
    </row>
    <row r="212" spans="1:17" ht="31.5" x14ac:dyDescent="0.25">
      <c r="A212" s="721"/>
      <c r="B212" s="713" t="s">
        <v>962</v>
      </c>
      <c r="C212" s="552"/>
      <c r="D212" s="552"/>
      <c r="E212" s="552"/>
      <c r="F212" s="552"/>
      <c r="G212" s="701">
        <v>-2000</v>
      </c>
      <c r="H212" s="469">
        <f t="shared" ref="H212" si="118">SUM(C212:G212)</f>
        <v>-2000</v>
      </c>
      <c r="I212" s="467"/>
      <c r="J212" s="467"/>
      <c r="K212" s="701"/>
      <c r="L212" s="479">
        <f t="shared" ref="L212" si="119">SUM(I212:K212)</f>
        <v>0</v>
      </c>
      <c r="M212" s="467"/>
      <c r="N212" s="468"/>
      <c r="O212" s="469"/>
      <c r="P212" s="469">
        <f t="shared" ref="P212" si="120">O212+L212+H212</f>
        <v>-2000</v>
      </c>
      <c r="Q212" s="497" t="s">
        <v>674</v>
      </c>
    </row>
    <row r="213" spans="1:17" ht="31.5" x14ac:dyDescent="0.25">
      <c r="A213" s="721"/>
      <c r="B213" s="713" t="s">
        <v>963</v>
      </c>
      <c r="C213" s="552"/>
      <c r="D213" s="552"/>
      <c r="E213" s="552"/>
      <c r="F213" s="552"/>
      <c r="G213" s="701">
        <v>-3500</v>
      </c>
      <c r="H213" s="469">
        <f t="shared" ref="H213:H217" si="121">SUM(C213:G213)</f>
        <v>-3500</v>
      </c>
      <c r="I213" s="467"/>
      <c r="J213" s="467"/>
      <c r="K213" s="701"/>
      <c r="L213" s="479">
        <f t="shared" ref="L213:L217" si="122">SUM(I213:K213)</f>
        <v>0</v>
      </c>
      <c r="M213" s="467"/>
      <c r="N213" s="468"/>
      <c r="O213" s="469"/>
      <c r="P213" s="469">
        <f t="shared" ref="P213:P217" si="123">O213+L213+H213</f>
        <v>-3500</v>
      </c>
      <c r="Q213" s="497" t="s">
        <v>674</v>
      </c>
    </row>
    <row r="214" spans="1:17" ht="31.5" x14ac:dyDescent="0.25">
      <c r="A214" s="721"/>
      <c r="B214" s="713" t="s">
        <v>964</v>
      </c>
      <c r="C214" s="552"/>
      <c r="D214" s="552"/>
      <c r="E214" s="552"/>
      <c r="F214" s="552"/>
      <c r="G214" s="701">
        <v>-8646</v>
      </c>
      <c r="H214" s="469">
        <f t="shared" si="121"/>
        <v>-8646</v>
      </c>
      <c r="I214" s="467"/>
      <c r="J214" s="467"/>
      <c r="K214" s="701"/>
      <c r="L214" s="479">
        <f t="shared" si="122"/>
        <v>0</v>
      </c>
      <c r="M214" s="467"/>
      <c r="N214" s="468"/>
      <c r="O214" s="469"/>
      <c r="P214" s="469">
        <f t="shared" si="123"/>
        <v>-8646</v>
      </c>
      <c r="Q214" s="497" t="s">
        <v>674</v>
      </c>
    </row>
    <row r="215" spans="1:17" ht="31.5" x14ac:dyDescent="0.25">
      <c r="A215" s="721"/>
      <c r="B215" s="713" t="s">
        <v>965</v>
      </c>
      <c r="C215" s="552"/>
      <c r="D215" s="552"/>
      <c r="E215" s="552"/>
      <c r="F215" s="552"/>
      <c r="G215" s="701">
        <v>-2244</v>
      </c>
      <c r="H215" s="469">
        <f t="shared" si="121"/>
        <v>-2244</v>
      </c>
      <c r="I215" s="467"/>
      <c r="J215" s="467"/>
      <c r="K215" s="701"/>
      <c r="L215" s="479">
        <f t="shared" si="122"/>
        <v>0</v>
      </c>
      <c r="M215" s="467"/>
      <c r="N215" s="468"/>
      <c r="O215" s="469"/>
      <c r="P215" s="469">
        <f t="shared" si="123"/>
        <v>-2244</v>
      </c>
      <c r="Q215" s="497" t="s">
        <v>674</v>
      </c>
    </row>
    <row r="216" spans="1:17" ht="31.5" x14ac:dyDescent="0.25">
      <c r="A216" s="721"/>
      <c r="B216" s="713" t="s">
        <v>966</v>
      </c>
      <c r="C216" s="552"/>
      <c r="D216" s="552"/>
      <c r="E216" s="552"/>
      <c r="F216" s="552"/>
      <c r="G216" s="701">
        <v>-50000</v>
      </c>
      <c r="H216" s="469">
        <f t="shared" si="121"/>
        <v>-50000</v>
      </c>
      <c r="I216" s="467"/>
      <c r="J216" s="467"/>
      <c r="K216" s="701"/>
      <c r="L216" s="479">
        <f t="shared" si="122"/>
        <v>0</v>
      </c>
      <c r="M216" s="467"/>
      <c r="N216" s="468"/>
      <c r="O216" s="469"/>
      <c r="P216" s="469">
        <f t="shared" si="123"/>
        <v>-50000</v>
      </c>
      <c r="Q216" s="497" t="s">
        <v>674</v>
      </c>
    </row>
    <row r="217" spans="1:17" ht="47.25" x14ac:dyDescent="0.25">
      <c r="A217" s="721"/>
      <c r="B217" s="713" t="s">
        <v>829</v>
      </c>
      <c r="C217" s="552"/>
      <c r="D217" s="552"/>
      <c r="E217" s="552"/>
      <c r="F217" s="552"/>
      <c r="G217" s="701">
        <v>-6000</v>
      </c>
      <c r="H217" s="469">
        <f t="shared" si="121"/>
        <v>-6000</v>
      </c>
      <c r="I217" s="467"/>
      <c r="J217" s="467"/>
      <c r="K217" s="701">
        <v>-5000</v>
      </c>
      <c r="L217" s="479">
        <f t="shared" si="122"/>
        <v>-5000</v>
      </c>
      <c r="M217" s="467"/>
      <c r="N217" s="468"/>
      <c r="O217" s="469"/>
      <c r="P217" s="469">
        <f t="shared" si="123"/>
        <v>-11000</v>
      </c>
      <c r="Q217" s="497" t="s">
        <v>674</v>
      </c>
    </row>
    <row r="218" spans="1:17" x14ac:dyDescent="0.25">
      <c r="A218" s="721"/>
      <c r="B218" s="713"/>
      <c r="C218" s="552"/>
      <c r="D218" s="552"/>
      <c r="E218" s="552"/>
      <c r="F218" s="552"/>
      <c r="G218" s="701"/>
      <c r="H218" s="469"/>
      <c r="I218" s="467"/>
      <c r="J218" s="467"/>
      <c r="K218" s="701"/>
      <c r="L218" s="479"/>
      <c r="M218" s="467"/>
      <c r="N218" s="468"/>
      <c r="O218" s="469"/>
      <c r="P218" s="469"/>
    </row>
    <row r="219" spans="1:17" ht="33" customHeight="1" x14ac:dyDescent="0.25">
      <c r="A219" s="488"/>
      <c r="B219" s="492" t="s">
        <v>93</v>
      </c>
      <c r="C219" s="717"/>
      <c r="D219" s="708"/>
      <c r="E219" s="708"/>
      <c r="F219" s="708"/>
      <c r="G219" s="718"/>
      <c r="H219" s="469"/>
      <c r="I219" s="717"/>
      <c r="J219" s="717"/>
      <c r="K219" s="720"/>
      <c r="L219" s="479"/>
      <c r="M219" s="717"/>
      <c r="N219" s="720"/>
      <c r="O219" s="719"/>
      <c r="P219" s="469"/>
    </row>
    <row r="220" spans="1:17" x14ac:dyDescent="0.25">
      <c r="A220" s="721"/>
      <c r="B220" s="491" t="s">
        <v>918</v>
      </c>
      <c r="C220" s="552"/>
      <c r="D220" s="552"/>
      <c r="E220" s="552"/>
      <c r="F220" s="552"/>
      <c r="G220" s="701"/>
      <c r="H220" s="469"/>
      <c r="I220" s="467"/>
      <c r="J220" s="467"/>
      <c r="K220" s="701"/>
      <c r="L220" s="479"/>
      <c r="M220" s="467"/>
      <c r="N220" s="468"/>
      <c r="O220" s="469"/>
      <c r="P220" s="469"/>
    </row>
    <row r="221" spans="1:17" ht="31.5" x14ac:dyDescent="0.25">
      <c r="A221" s="721"/>
      <c r="B221" s="713" t="s">
        <v>967</v>
      </c>
      <c r="C221" s="552"/>
      <c r="D221" s="552"/>
      <c r="E221" s="552"/>
      <c r="F221" s="552"/>
      <c r="G221" s="701">
        <v>-10000</v>
      </c>
      <c r="H221" s="469">
        <f t="shared" ref="H221:H223" si="124">SUM(C221:G221)</f>
        <v>-10000</v>
      </c>
      <c r="I221" s="467"/>
      <c r="J221" s="467"/>
      <c r="K221" s="701"/>
      <c r="L221" s="479">
        <f t="shared" ref="L221:L223" si="125">SUM(I221:K221)</f>
        <v>0</v>
      </c>
      <c r="M221" s="467"/>
      <c r="N221" s="468"/>
      <c r="O221" s="469"/>
      <c r="P221" s="469">
        <f t="shared" ref="P221:P224" si="126">O221+L221+H221</f>
        <v>-10000</v>
      </c>
      <c r="Q221" s="497" t="s">
        <v>677</v>
      </c>
    </row>
    <row r="222" spans="1:17" ht="47.25" x14ac:dyDescent="0.25">
      <c r="A222" s="721"/>
      <c r="B222" s="713" t="s">
        <v>1019</v>
      </c>
      <c r="C222" s="552"/>
      <c r="D222" s="552"/>
      <c r="E222" s="552"/>
      <c r="F222" s="552"/>
      <c r="G222" s="701"/>
      <c r="H222" s="469">
        <f t="shared" si="124"/>
        <v>0</v>
      </c>
      <c r="I222" s="467"/>
      <c r="J222" s="467"/>
      <c r="K222" s="701">
        <v>-100000</v>
      </c>
      <c r="L222" s="479">
        <f t="shared" si="125"/>
        <v>-100000</v>
      </c>
      <c r="M222" s="467"/>
      <c r="N222" s="468"/>
      <c r="O222" s="469"/>
      <c r="P222" s="469">
        <f t="shared" si="126"/>
        <v>-100000</v>
      </c>
      <c r="Q222" s="497" t="s">
        <v>674</v>
      </c>
    </row>
    <row r="223" spans="1:17" ht="30.75" customHeight="1" x14ac:dyDescent="0.25">
      <c r="A223" s="721"/>
      <c r="B223" s="713" t="s">
        <v>968</v>
      </c>
      <c r="C223" s="552"/>
      <c r="D223" s="552"/>
      <c r="E223" s="552"/>
      <c r="F223" s="552"/>
      <c r="G223" s="701">
        <v>-25000</v>
      </c>
      <c r="H223" s="469">
        <f t="shared" si="124"/>
        <v>-25000</v>
      </c>
      <c r="I223" s="467"/>
      <c r="J223" s="467"/>
      <c r="K223" s="701"/>
      <c r="L223" s="479">
        <f t="shared" si="125"/>
        <v>0</v>
      </c>
      <c r="M223" s="467"/>
      <c r="N223" s="468"/>
      <c r="O223" s="469"/>
      <c r="P223" s="469">
        <f t="shared" si="126"/>
        <v>-25000</v>
      </c>
      <c r="Q223" s="497" t="s">
        <v>674</v>
      </c>
    </row>
    <row r="224" spans="1:17" x14ac:dyDescent="0.25">
      <c r="A224" s="488"/>
      <c r="B224" s="491" t="s">
        <v>690</v>
      </c>
      <c r="C224" s="717"/>
      <c r="D224" s="708"/>
      <c r="E224" s="708"/>
      <c r="F224" s="708"/>
      <c r="G224" s="718"/>
      <c r="H224" s="469"/>
      <c r="I224" s="717"/>
      <c r="J224" s="717"/>
      <c r="K224" s="720"/>
      <c r="L224" s="479"/>
      <c r="M224" s="717"/>
      <c r="N224" s="720"/>
      <c r="O224" s="719"/>
      <c r="P224" s="469">
        <f t="shared" si="126"/>
        <v>0</v>
      </c>
    </row>
    <row r="225" spans="1:17" ht="31.5" x14ac:dyDescent="0.25">
      <c r="A225" s="488"/>
      <c r="B225" s="713" t="s">
        <v>1057</v>
      </c>
      <c r="C225" s="717"/>
      <c r="D225" s="708"/>
      <c r="E225" s="708"/>
      <c r="F225" s="708"/>
      <c r="G225" s="718">
        <v>33284</v>
      </c>
      <c r="H225" s="469">
        <f t="shared" ref="H225" si="127">SUM(C225:G225)</f>
        <v>33284</v>
      </c>
      <c r="I225" s="717"/>
      <c r="J225" s="717"/>
      <c r="K225" s="720">
        <v>-33284</v>
      </c>
      <c r="L225" s="479">
        <f t="shared" ref="L225" si="128">SUM(I225:K225)</f>
        <v>-33284</v>
      </c>
      <c r="M225" s="717"/>
      <c r="N225" s="720"/>
      <c r="O225" s="719"/>
      <c r="P225" s="469">
        <f t="shared" ref="P225" si="129">O225+L225+H225</f>
        <v>0</v>
      </c>
      <c r="Q225" s="497" t="s">
        <v>674</v>
      </c>
    </row>
    <row r="226" spans="1:17" x14ac:dyDescent="0.25">
      <c r="A226" s="488"/>
      <c r="B226" s="713" t="s">
        <v>1058</v>
      </c>
      <c r="C226" s="717"/>
      <c r="D226" s="708"/>
      <c r="E226" s="708">
        <v>105</v>
      </c>
      <c r="F226" s="708"/>
      <c r="G226" s="718">
        <v>-105</v>
      </c>
      <c r="H226" s="469">
        <f t="shared" ref="H226" si="130">SUM(C226:G226)</f>
        <v>0</v>
      </c>
      <c r="I226" s="717"/>
      <c r="J226" s="717"/>
      <c r="K226" s="717"/>
      <c r="L226" s="479">
        <f t="shared" ref="L226" si="131">SUM(I226:K226)</f>
        <v>0</v>
      </c>
      <c r="M226" s="717"/>
      <c r="N226" s="720"/>
      <c r="O226" s="719"/>
      <c r="P226" s="469">
        <f t="shared" ref="P226" si="132">O226+L226+H226</f>
        <v>0</v>
      </c>
      <c r="Q226" s="497" t="s">
        <v>674</v>
      </c>
    </row>
    <row r="227" spans="1:17" ht="47.25" x14ac:dyDescent="0.25">
      <c r="A227" s="488"/>
      <c r="B227" s="713" t="s">
        <v>1083</v>
      </c>
      <c r="C227" s="717"/>
      <c r="D227" s="708"/>
      <c r="E227" s="708"/>
      <c r="F227" s="708"/>
      <c r="G227" s="718">
        <v>3000</v>
      </c>
      <c r="H227" s="469">
        <f t="shared" ref="H227" si="133">SUM(C227:G227)</f>
        <v>3000</v>
      </c>
      <c r="I227" s="717"/>
      <c r="J227" s="717"/>
      <c r="K227" s="717"/>
      <c r="L227" s="479">
        <f t="shared" ref="L227" si="134">SUM(I227:K227)</f>
        <v>0</v>
      </c>
      <c r="M227" s="717"/>
      <c r="N227" s="720"/>
      <c r="O227" s="719"/>
      <c r="P227" s="469">
        <f t="shared" ref="P227" si="135">O227+L227+H227</f>
        <v>3000</v>
      </c>
      <c r="Q227" s="497" t="s">
        <v>674</v>
      </c>
    </row>
    <row r="228" spans="1:17" x14ac:dyDescent="0.25">
      <c r="A228" s="488"/>
      <c r="B228" s="551"/>
      <c r="C228" s="717"/>
      <c r="D228" s="708"/>
      <c r="E228" s="708"/>
      <c r="F228" s="708"/>
      <c r="G228" s="718"/>
      <c r="H228" s="469"/>
      <c r="I228" s="717"/>
      <c r="J228" s="717"/>
      <c r="K228" s="720"/>
      <c r="L228" s="479"/>
      <c r="M228" s="717"/>
      <c r="N228" s="720"/>
      <c r="O228" s="719"/>
      <c r="P228" s="469"/>
    </row>
    <row r="229" spans="1:17" x14ac:dyDescent="0.25">
      <c r="A229" s="488"/>
      <c r="B229" s="492" t="s">
        <v>94</v>
      </c>
      <c r="C229" s="717"/>
      <c r="D229" s="708"/>
      <c r="E229" s="708"/>
      <c r="F229" s="708"/>
      <c r="G229" s="718"/>
      <c r="H229" s="469"/>
      <c r="I229" s="717"/>
      <c r="J229" s="717"/>
      <c r="K229" s="720"/>
      <c r="L229" s="479"/>
      <c r="M229" s="717"/>
      <c r="N229" s="720"/>
      <c r="O229" s="719"/>
      <c r="P229" s="469"/>
    </row>
    <row r="230" spans="1:17" x14ac:dyDescent="0.25">
      <c r="A230" s="488"/>
      <c r="B230" s="491" t="s">
        <v>918</v>
      </c>
      <c r="C230" s="717"/>
      <c r="D230" s="708"/>
      <c r="E230" s="708"/>
      <c r="F230" s="708"/>
      <c r="G230" s="718"/>
      <c r="H230" s="469"/>
      <c r="I230" s="717"/>
      <c r="J230" s="717"/>
      <c r="K230" s="720"/>
      <c r="L230" s="479"/>
      <c r="M230" s="717"/>
      <c r="N230" s="720"/>
      <c r="O230" s="719"/>
      <c r="P230" s="469"/>
    </row>
    <row r="231" spans="1:17" x14ac:dyDescent="0.25">
      <c r="A231" s="488"/>
      <c r="B231" s="551" t="s">
        <v>969</v>
      </c>
      <c r="C231" s="717"/>
      <c r="D231" s="708"/>
      <c r="E231" s="708">
        <v>-500</v>
      </c>
      <c r="F231" s="708"/>
      <c r="G231" s="718"/>
      <c r="H231" s="469">
        <f t="shared" ref="H231:H259" si="136">SUM(C231:G231)</f>
        <v>-500</v>
      </c>
      <c r="I231" s="717"/>
      <c r="J231" s="717"/>
      <c r="K231" s="720"/>
      <c r="L231" s="479">
        <f t="shared" ref="L231:L259" si="137">SUM(I231:K231)</f>
        <v>0</v>
      </c>
      <c r="M231" s="717"/>
      <c r="N231" s="720"/>
      <c r="O231" s="719"/>
      <c r="P231" s="469">
        <f t="shared" ref="P231:P259" si="138">O231+L231+H231</f>
        <v>-500</v>
      </c>
      <c r="Q231" s="497" t="s">
        <v>677</v>
      </c>
    </row>
    <row r="232" spans="1:17" x14ac:dyDescent="0.25">
      <c r="A232" s="488"/>
      <c r="B232" s="551" t="s">
        <v>970</v>
      </c>
      <c r="C232" s="717"/>
      <c r="D232" s="708"/>
      <c r="E232" s="708"/>
      <c r="F232" s="708"/>
      <c r="G232" s="706">
        <v>-1500</v>
      </c>
      <c r="H232" s="469">
        <f t="shared" ref="H232:H240" si="139">SUM(C232:G232)</f>
        <v>-1500</v>
      </c>
      <c r="I232" s="717"/>
      <c r="J232" s="717"/>
      <c r="K232" s="720"/>
      <c r="L232" s="479">
        <f t="shared" ref="L232:L240" si="140">SUM(I232:K232)</f>
        <v>0</v>
      </c>
      <c r="M232" s="717"/>
      <c r="N232" s="720"/>
      <c r="O232" s="719"/>
      <c r="P232" s="469">
        <f t="shared" ref="P232:P240" si="141">O232+L232+H232</f>
        <v>-1500</v>
      </c>
      <c r="Q232" s="497" t="s">
        <v>677</v>
      </c>
    </row>
    <row r="233" spans="1:17" ht="31.5" x14ac:dyDescent="0.25">
      <c r="A233" s="488"/>
      <c r="B233" s="551" t="s">
        <v>971</v>
      </c>
      <c r="C233" s="717"/>
      <c r="D233" s="708"/>
      <c r="E233" s="708"/>
      <c r="F233" s="708"/>
      <c r="G233" s="706">
        <v>-9000</v>
      </c>
      <c r="H233" s="469">
        <f t="shared" ref="H233:H237" si="142">SUM(C233:G233)</f>
        <v>-9000</v>
      </c>
      <c r="I233" s="717"/>
      <c r="J233" s="717"/>
      <c r="K233" s="720"/>
      <c r="L233" s="479">
        <f t="shared" ref="L233:L237" si="143">SUM(I233:K233)</f>
        <v>0</v>
      </c>
      <c r="M233" s="717"/>
      <c r="N233" s="720"/>
      <c r="O233" s="719"/>
      <c r="P233" s="469">
        <f t="shared" ref="P233:P237" si="144">O233+L233+H233</f>
        <v>-9000</v>
      </c>
      <c r="Q233" s="497" t="s">
        <v>677</v>
      </c>
    </row>
    <row r="234" spans="1:17" x14ac:dyDescent="0.25">
      <c r="A234" s="488"/>
      <c r="B234" s="551" t="s">
        <v>972</v>
      </c>
      <c r="C234" s="717"/>
      <c r="D234" s="708"/>
      <c r="E234" s="708"/>
      <c r="F234" s="708"/>
      <c r="G234" s="706">
        <v>-800</v>
      </c>
      <c r="H234" s="469">
        <f t="shared" si="142"/>
        <v>-800</v>
      </c>
      <c r="I234" s="717"/>
      <c r="J234" s="717"/>
      <c r="K234" s="720"/>
      <c r="L234" s="479">
        <f t="shared" si="143"/>
        <v>0</v>
      </c>
      <c r="M234" s="717"/>
      <c r="N234" s="720"/>
      <c r="O234" s="719"/>
      <c r="P234" s="469">
        <f t="shared" si="144"/>
        <v>-800</v>
      </c>
      <c r="Q234" s="497" t="s">
        <v>677</v>
      </c>
    </row>
    <row r="235" spans="1:17" ht="31.5" x14ac:dyDescent="0.25">
      <c r="A235" s="488"/>
      <c r="B235" s="551" t="s">
        <v>973</v>
      </c>
      <c r="C235" s="717"/>
      <c r="D235" s="708"/>
      <c r="E235" s="708"/>
      <c r="F235" s="708"/>
      <c r="G235" s="706">
        <v>-500</v>
      </c>
      <c r="H235" s="469">
        <f t="shared" si="142"/>
        <v>-500</v>
      </c>
      <c r="I235" s="717"/>
      <c r="J235" s="717"/>
      <c r="K235" s="720"/>
      <c r="L235" s="479">
        <f t="shared" si="143"/>
        <v>0</v>
      </c>
      <c r="M235" s="717"/>
      <c r="N235" s="720"/>
      <c r="O235" s="719"/>
      <c r="P235" s="469">
        <f t="shared" si="144"/>
        <v>-500</v>
      </c>
      <c r="Q235" s="497" t="s">
        <v>677</v>
      </c>
    </row>
    <row r="236" spans="1:17" x14ac:dyDescent="0.25">
      <c r="A236" s="488"/>
      <c r="B236" s="551" t="s">
        <v>974</v>
      </c>
      <c r="C236" s="717"/>
      <c r="D236" s="708"/>
      <c r="E236" s="708"/>
      <c r="F236" s="708"/>
      <c r="G236" s="706">
        <v>-1325</v>
      </c>
      <c r="H236" s="469">
        <f t="shared" si="142"/>
        <v>-1325</v>
      </c>
      <c r="I236" s="717"/>
      <c r="J236" s="717"/>
      <c r="K236" s="720"/>
      <c r="L236" s="479">
        <f t="shared" si="143"/>
        <v>0</v>
      </c>
      <c r="M236" s="717"/>
      <c r="N236" s="720"/>
      <c r="O236" s="719"/>
      <c r="P236" s="469">
        <f t="shared" si="144"/>
        <v>-1325</v>
      </c>
      <c r="Q236" s="497" t="s">
        <v>677</v>
      </c>
    </row>
    <row r="237" spans="1:17" x14ac:dyDescent="0.25">
      <c r="A237" s="488"/>
      <c r="B237" s="551" t="s">
        <v>975</v>
      </c>
      <c r="C237" s="717"/>
      <c r="D237" s="708"/>
      <c r="E237" s="708"/>
      <c r="F237" s="708"/>
      <c r="G237" s="706">
        <v>-600</v>
      </c>
      <c r="H237" s="469">
        <f t="shared" si="142"/>
        <v>-600</v>
      </c>
      <c r="I237" s="717"/>
      <c r="J237" s="717"/>
      <c r="K237" s="720"/>
      <c r="L237" s="479">
        <f t="shared" si="143"/>
        <v>0</v>
      </c>
      <c r="M237" s="717"/>
      <c r="N237" s="720"/>
      <c r="O237" s="719"/>
      <c r="P237" s="469">
        <f t="shared" si="144"/>
        <v>-600</v>
      </c>
      <c r="Q237" s="497" t="s">
        <v>677</v>
      </c>
    </row>
    <row r="238" spans="1:17" x14ac:dyDescent="0.25">
      <c r="A238" s="488"/>
      <c r="B238" s="551" t="s">
        <v>976</v>
      </c>
      <c r="C238" s="717"/>
      <c r="D238" s="708"/>
      <c r="E238" s="708"/>
      <c r="F238" s="708"/>
      <c r="G238" s="706">
        <v>-1750</v>
      </c>
      <c r="H238" s="469">
        <f t="shared" si="139"/>
        <v>-1750</v>
      </c>
      <c r="I238" s="717"/>
      <c r="J238" s="717"/>
      <c r="K238" s="720"/>
      <c r="L238" s="479">
        <f t="shared" si="140"/>
        <v>0</v>
      </c>
      <c r="M238" s="717"/>
      <c r="N238" s="720"/>
      <c r="O238" s="719"/>
      <c r="P238" s="469">
        <f t="shared" si="141"/>
        <v>-1750</v>
      </c>
      <c r="Q238" s="497" t="s">
        <v>677</v>
      </c>
    </row>
    <row r="239" spans="1:17" ht="31.5" x14ac:dyDescent="0.25">
      <c r="A239" s="488"/>
      <c r="B239" s="551" t="s">
        <v>977</v>
      </c>
      <c r="C239" s="717"/>
      <c r="D239" s="708"/>
      <c r="E239" s="708"/>
      <c r="F239" s="708"/>
      <c r="G239" s="706">
        <v>-4000</v>
      </c>
      <c r="H239" s="469">
        <f t="shared" si="139"/>
        <v>-4000</v>
      </c>
      <c r="I239" s="717"/>
      <c r="J239" s="717"/>
      <c r="K239" s="720"/>
      <c r="L239" s="479">
        <f t="shared" si="140"/>
        <v>0</v>
      </c>
      <c r="M239" s="717"/>
      <c r="N239" s="720"/>
      <c r="O239" s="719"/>
      <c r="P239" s="469">
        <f t="shared" si="141"/>
        <v>-4000</v>
      </c>
      <c r="Q239" s="497" t="s">
        <v>677</v>
      </c>
    </row>
    <row r="240" spans="1:17" ht="47.25" x14ac:dyDescent="0.25">
      <c r="A240" s="488"/>
      <c r="B240" s="551" t="s">
        <v>978</v>
      </c>
      <c r="C240" s="717"/>
      <c r="D240" s="708"/>
      <c r="E240" s="708"/>
      <c r="F240" s="708"/>
      <c r="G240" s="706">
        <v>-1000</v>
      </c>
      <c r="H240" s="469">
        <f t="shared" si="139"/>
        <v>-1000</v>
      </c>
      <c r="I240" s="717"/>
      <c r="J240" s="717"/>
      <c r="K240" s="720"/>
      <c r="L240" s="479">
        <f t="shared" si="140"/>
        <v>0</v>
      </c>
      <c r="M240" s="717"/>
      <c r="N240" s="720"/>
      <c r="O240" s="719"/>
      <c r="P240" s="469">
        <f t="shared" si="141"/>
        <v>-1000</v>
      </c>
      <c r="Q240" s="497" t="s">
        <v>677</v>
      </c>
    </row>
    <row r="241" spans="1:17" x14ac:dyDescent="0.25">
      <c r="A241" s="488"/>
      <c r="B241" s="551" t="s">
        <v>979</v>
      </c>
      <c r="C241" s="717"/>
      <c r="D241" s="708"/>
      <c r="E241" s="708"/>
      <c r="F241" s="708"/>
      <c r="G241" s="706">
        <v>-4300</v>
      </c>
      <c r="H241" s="469">
        <f t="shared" si="136"/>
        <v>-4300</v>
      </c>
      <c r="I241" s="717"/>
      <c r="J241" s="717"/>
      <c r="K241" s="720"/>
      <c r="L241" s="479">
        <f t="shared" si="137"/>
        <v>0</v>
      </c>
      <c r="M241" s="717"/>
      <c r="N241" s="720"/>
      <c r="O241" s="719"/>
      <c r="P241" s="469">
        <f t="shared" si="138"/>
        <v>-4300</v>
      </c>
      <c r="Q241" s="497" t="s">
        <v>677</v>
      </c>
    </row>
    <row r="242" spans="1:17" x14ac:dyDescent="0.25">
      <c r="A242" s="488"/>
      <c r="B242" s="551" t="s">
        <v>980</v>
      </c>
      <c r="C242" s="717"/>
      <c r="D242" s="708"/>
      <c r="E242" s="708"/>
      <c r="F242" s="708"/>
      <c r="G242" s="706">
        <v>-2850</v>
      </c>
      <c r="H242" s="469">
        <f t="shared" si="136"/>
        <v>-2850</v>
      </c>
      <c r="I242" s="717"/>
      <c r="J242" s="717"/>
      <c r="K242" s="720"/>
      <c r="L242" s="479">
        <f t="shared" si="137"/>
        <v>0</v>
      </c>
      <c r="M242" s="717"/>
      <c r="N242" s="720"/>
      <c r="O242" s="719"/>
      <c r="P242" s="469">
        <f t="shared" si="138"/>
        <v>-2850</v>
      </c>
      <c r="Q242" s="497" t="s">
        <v>677</v>
      </c>
    </row>
    <row r="243" spans="1:17" ht="31.5" x14ac:dyDescent="0.25">
      <c r="A243" s="488"/>
      <c r="B243" s="551" t="s">
        <v>981</v>
      </c>
      <c r="C243" s="717"/>
      <c r="D243" s="708"/>
      <c r="E243" s="708"/>
      <c r="F243" s="708"/>
      <c r="G243" s="706">
        <v>-11500</v>
      </c>
      <c r="H243" s="469">
        <f t="shared" si="136"/>
        <v>-11500</v>
      </c>
      <c r="I243" s="717"/>
      <c r="J243" s="717"/>
      <c r="K243" s="720"/>
      <c r="L243" s="479">
        <f t="shared" si="137"/>
        <v>0</v>
      </c>
      <c r="M243" s="717"/>
      <c r="N243" s="720"/>
      <c r="O243" s="719"/>
      <c r="P243" s="469">
        <f t="shared" si="138"/>
        <v>-11500</v>
      </c>
      <c r="Q243" s="497" t="s">
        <v>677</v>
      </c>
    </row>
    <row r="244" spans="1:17" x14ac:dyDescent="0.25">
      <c r="A244" s="488"/>
      <c r="B244" s="551" t="s">
        <v>982</v>
      </c>
      <c r="C244" s="717"/>
      <c r="D244" s="708"/>
      <c r="E244" s="708"/>
      <c r="F244" s="708"/>
      <c r="G244" s="706">
        <v>-500</v>
      </c>
      <c r="H244" s="469">
        <f t="shared" ref="H244" si="145">SUM(C244:G244)</f>
        <v>-500</v>
      </c>
      <c r="I244" s="717"/>
      <c r="J244" s="717"/>
      <c r="K244" s="720"/>
      <c r="L244" s="479">
        <f t="shared" ref="L244" si="146">SUM(I244:K244)</f>
        <v>0</v>
      </c>
      <c r="M244" s="717"/>
      <c r="N244" s="720"/>
      <c r="O244" s="719"/>
      <c r="P244" s="469">
        <f t="shared" ref="P244" si="147">O244+L244+H244</f>
        <v>-500</v>
      </c>
      <c r="Q244" s="497" t="s">
        <v>677</v>
      </c>
    </row>
    <row r="245" spans="1:17" x14ac:dyDescent="0.25">
      <c r="A245" s="488"/>
      <c r="B245" s="551" t="s">
        <v>983</v>
      </c>
      <c r="C245" s="717"/>
      <c r="D245" s="708"/>
      <c r="E245" s="708"/>
      <c r="F245" s="708"/>
      <c r="G245" s="706">
        <v>-600</v>
      </c>
      <c r="H245" s="469">
        <f t="shared" ref="H245:H247" si="148">SUM(C245:G245)</f>
        <v>-600</v>
      </c>
      <c r="I245" s="717"/>
      <c r="J245" s="717"/>
      <c r="K245" s="720"/>
      <c r="L245" s="479">
        <f t="shared" ref="L245:L247" si="149">SUM(I245:K245)</f>
        <v>0</v>
      </c>
      <c r="M245" s="717"/>
      <c r="N245" s="720"/>
      <c r="O245" s="719"/>
      <c r="P245" s="469">
        <f t="shared" ref="P245:P247" si="150">O245+L245+H245</f>
        <v>-600</v>
      </c>
      <c r="Q245" s="497" t="s">
        <v>677</v>
      </c>
    </row>
    <row r="246" spans="1:17" x14ac:dyDescent="0.25">
      <c r="A246" s="488"/>
      <c r="B246" s="551" t="s">
        <v>984</v>
      </c>
      <c r="C246" s="717"/>
      <c r="D246" s="708"/>
      <c r="E246" s="708"/>
      <c r="F246" s="708"/>
      <c r="G246" s="706">
        <v>-400</v>
      </c>
      <c r="H246" s="469">
        <f t="shared" si="148"/>
        <v>-400</v>
      </c>
      <c r="I246" s="717"/>
      <c r="J246" s="717"/>
      <c r="K246" s="720"/>
      <c r="L246" s="479">
        <f t="shared" si="149"/>
        <v>0</v>
      </c>
      <c r="M246" s="717"/>
      <c r="N246" s="720"/>
      <c r="O246" s="719"/>
      <c r="P246" s="469">
        <f t="shared" si="150"/>
        <v>-400</v>
      </c>
      <c r="Q246" s="497" t="s">
        <v>677</v>
      </c>
    </row>
    <row r="247" spans="1:17" x14ac:dyDescent="0.25">
      <c r="A247" s="488"/>
      <c r="B247" s="551" t="s">
        <v>985</v>
      </c>
      <c r="C247" s="717"/>
      <c r="D247" s="708"/>
      <c r="E247" s="708"/>
      <c r="F247" s="708"/>
      <c r="G247" s="706">
        <v>-665</v>
      </c>
      <c r="H247" s="469">
        <f t="shared" si="148"/>
        <v>-665</v>
      </c>
      <c r="I247" s="717"/>
      <c r="J247" s="717"/>
      <c r="K247" s="720"/>
      <c r="L247" s="479">
        <f t="shared" si="149"/>
        <v>0</v>
      </c>
      <c r="M247" s="717"/>
      <c r="N247" s="720"/>
      <c r="O247" s="719"/>
      <c r="P247" s="469">
        <f t="shared" si="150"/>
        <v>-665</v>
      </c>
      <c r="Q247" s="497" t="s">
        <v>677</v>
      </c>
    </row>
    <row r="248" spans="1:17" x14ac:dyDescent="0.25">
      <c r="A248" s="488"/>
      <c r="B248" s="551" t="s">
        <v>986</v>
      </c>
      <c r="C248" s="717"/>
      <c r="D248" s="708"/>
      <c r="E248" s="708"/>
      <c r="F248" s="708"/>
      <c r="G248" s="706">
        <v>-750</v>
      </c>
      <c r="H248" s="469">
        <f t="shared" si="136"/>
        <v>-750</v>
      </c>
      <c r="I248" s="717"/>
      <c r="J248" s="717"/>
      <c r="K248" s="720"/>
      <c r="L248" s="479">
        <f t="shared" si="137"/>
        <v>0</v>
      </c>
      <c r="M248" s="717"/>
      <c r="N248" s="720"/>
      <c r="O248" s="719"/>
      <c r="P248" s="469">
        <f t="shared" si="138"/>
        <v>-750</v>
      </c>
      <c r="Q248" s="497" t="s">
        <v>677</v>
      </c>
    </row>
    <row r="249" spans="1:17" x14ac:dyDescent="0.25">
      <c r="A249" s="488"/>
      <c r="B249" s="551" t="s">
        <v>987</v>
      </c>
      <c r="C249" s="717">
        <v>-3000</v>
      </c>
      <c r="D249" s="708">
        <v>-900</v>
      </c>
      <c r="E249" s="708">
        <v>-100</v>
      </c>
      <c r="F249" s="708"/>
      <c r="G249" s="718">
        <v>-11000</v>
      </c>
      <c r="H249" s="469">
        <f t="shared" ref="H249:H253" si="151">SUM(C249:G249)</f>
        <v>-15000</v>
      </c>
      <c r="I249" s="717"/>
      <c r="J249" s="717"/>
      <c r="K249" s="720"/>
      <c r="L249" s="479">
        <f t="shared" ref="L249:L253" si="152">SUM(I249:K249)</f>
        <v>0</v>
      </c>
      <c r="M249" s="717"/>
      <c r="N249" s="720"/>
      <c r="O249" s="719"/>
      <c r="P249" s="469">
        <f t="shared" ref="P249:P253" si="153">O249+L249+H249</f>
        <v>-15000</v>
      </c>
      <c r="Q249" s="497" t="s">
        <v>674</v>
      </c>
    </row>
    <row r="250" spans="1:17" x14ac:dyDescent="0.25">
      <c r="A250" s="488"/>
      <c r="B250" s="551" t="s">
        <v>988</v>
      </c>
      <c r="C250" s="717"/>
      <c r="D250" s="708"/>
      <c r="E250" s="708"/>
      <c r="F250" s="708"/>
      <c r="G250" s="718">
        <v>-500</v>
      </c>
      <c r="H250" s="469">
        <f t="shared" si="151"/>
        <v>-500</v>
      </c>
      <c r="I250" s="717"/>
      <c r="J250" s="717"/>
      <c r="K250" s="720"/>
      <c r="L250" s="479">
        <f t="shared" si="152"/>
        <v>0</v>
      </c>
      <c r="M250" s="717"/>
      <c r="N250" s="720"/>
      <c r="O250" s="719"/>
      <c r="P250" s="469">
        <f t="shared" si="153"/>
        <v>-500</v>
      </c>
      <c r="Q250" s="497" t="s">
        <v>674</v>
      </c>
    </row>
    <row r="251" spans="1:17" x14ac:dyDescent="0.25">
      <c r="A251" s="488"/>
      <c r="B251" s="551" t="s">
        <v>989</v>
      </c>
      <c r="C251" s="717"/>
      <c r="D251" s="708"/>
      <c r="E251" s="708"/>
      <c r="F251" s="708"/>
      <c r="G251" s="718">
        <v>-500</v>
      </c>
      <c r="H251" s="469">
        <f t="shared" si="151"/>
        <v>-500</v>
      </c>
      <c r="I251" s="717"/>
      <c r="J251" s="717"/>
      <c r="K251" s="720"/>
      <c r="L251" s="479">
        <f t="shared" si="152"/>
        <v>0</v>
      </c>
      <c r="M251" s="717"/>
      <c r="N251" s="720"/>
      <c r="O251" s="719"/>
      <c r="P251" s="469">
        <f t="shared" si="153"/>
        <v>-500</v>
      </c>
      <c r="Q251" s="497" t="s">
        <v>674</v>
      </c>
    </row>
    <row r="252" spans="1:17" ht="31.5" x14ac:dyDescent="0.25">
      <c r="A252" s="488"/>
      <c r="B252" s="551" t="s">
        <v>990</v>
      </c>
      <c r="C252" s="717"/>
      <c r="D252" s="708"/>
      <c r="E252" s="708"/>
      <c r="F252" s="708"/>
      <c r="G252" s="718">
        <v>-12000</v>
      </c>
      <c r="H252" s="469">
        <f t="shared" si="151"/>
        <v>-12000</v>
      </c>
      <c r="I252" s="717"/>
      <c r="J252" s="717"/>
      <c r="K252" s="720"/>
      <c r="L252" s="479">
        <f t="shared" si="152"/>
        <v>0</v>
      </c>
      <c r="M252" s="717"/>
      <c r="N252" s="720"/>
      <c r="O252" s="719"/>
      <c r="P252" s="469">
        <f t="shared" si="153"/>
        <v>-12000</v>
      </c>
      <c r="Q252" s="497" t="s">
        <v>674</v>
      </c>
    </row>
    <row r="253" spans="1:17" x14ac:dyDescent="0.25">
      <c r="A253" s="488"/>
      <c r="B253" s="551" t="s">
        <v>991</v>
      </c>
      <c r="C253" s="717"/>
      <c r="D253" s="708"/>
      <c r="E253" s="708">
        <v>-1000</v>
      </c>
      <c r="F253" s="708"/>
      <c r="G253" s="718">
        <v>-5000</v>
      </c>
      <c r="H253" s="469">
        <f t="shared" si="151"/>
        <v>-6000</v>
      </c>
      <c r="I253" s="717"/>
      <c r="J253" s="717"/>
      <c r="K253" s="720"/>
      <c r="L253" s="479">
        <f t="shared" si="152"/>
        <v>0</v>
      </c>
      <c r="M253" s="717"/>
      <c r="N253" s="720"/>
      <c r="O253" s="719"/>
      <c r="P253" s="469">
        <f t="shared" si="153"/>
        <v>-6000</v>
      </c>
      <c r="Q253" s="497" t="s">
        <v>674</v>
      </c>
    </row>
    <row r="254" spans="1:17" x14ac:dyDescent="0.25">
      <c r="A254" s="488"/>
      <c r="B254" s="551" t="s">
        <v>992</v>
      </c>
      <c r="C254" s="717"/>
      <c r="D254" s="708"/>
      <c r="E254" s="708"/>
      <c r="F254" s="708"/>
      <c r="G254" s="708"/>
      <c r="H254" s="469">
        <f t="shared" si="136"/>
        <v>0</v>
      </c>
      <c r="I254" s="717">
        <v>-4419</v>
      </c>
      <c r="J254" s="717"/>
      <c r="K254" s="720"/>
      <c r="L254" s="479">
        <f t="shared" si="137"/>
        <v>-4419</v>
      </c>
      <c r="M254" s="717"/>
      <c r="N254" s="720"/>
      <c r="O254" s="719"/>
      <c r="P254" s="469">
        <f t="shared" si="138"/>
        <v>-4419</v>
      </c>
      <c r="Q254" s="497" t="s">
        <v>674</v>
      </c>
    </row>
    <row r="255" spans="1:17" ht="31.5" x14ac:dyDescent="0.25">
      <c r="A255" s="488"/>
      <c r="B255" s="551" t="s">
        <v>993</v>
      </c>
      <c r="C255" s="717"/>
      <c r="D255" s="708"/>
      <c r="E255" s="708"/>
      <c r="F255" s="708"/>
      <c r="G255" s="718">
        <v>-3000</v>
      </c>
      <c r="H255" s="469">
        <f t="shared" si="136"/>
        <v>-3000</v>
      </c>
      <c r="I255" s="717"/>
      <c r="J255" s="717"/>
      <c r="K255" s="720"/>
      <c r="L255" s="479">
        <f t="shared" si="137"/>
        <v>0</v>
      </c>
      <c r="M255" s="717"/>
      <c r="N255" s="720"/>
      <c r="O255" s="719"/>
      <c r="P255" s="469">
        <f t="shared" si="138"/>
        <v>-3000</v>
      </c>
      <c r="Q255" s="497" t="s">
        <v>674</v>
      </c>
    </row>
    <row r="256" spans="1:17" x14ac:dyDescent="0.25">
      <c r="A256" s="488"/>
      <c r="B256" s="551" t="s">
        <v>994</v>
      </c>
      <c r="C256" s="717">
        <v>-1387</v>
      </c>
      <c r="D256" s="708">
        <v>-428</v>
      </c>
      <c r="E256" s="708">
        <v>-612</v>
      </c>
      <c r="F256" s="708"/>
      <c r="G256" s="708"/>
      <c r="H256" s="469">
        <f t="shared" ref="H256:H257" si="154">SUM(C256:G256)</f>
        <v>-2427</v>
      </c>
      <c r="I256" s="717"/>
      <c r="J256" s="717"/>
      <c r="K256" s="720"/>
      <c r="L256" s="479">
        <f t="shared" ref="L256:L257" si="155">SUM(I256:K256)</f>
        <v>0</v>
      </c>
      <c r="M256" s="717"/>
      <c r="N256" s="720"/>
      <c r="O256" s="719"/>
      <c r="P256" s="469">
        <f t="shared" ref="P256:P257" si="156">O256+L256+H256</f>
        <v>-2427</v>
      </c>
      <c r="Q256" s="497" t="s">
        <v>674</v>
      </c>
    </row>
    <row r="257" spans="1:17" ht="31.5" x14ac:dyDescent="0.25">
      <c r="A257" s="488"/>
      <c r="B257" s="551" t="s">
        <v>995</v>
      </c>
      <c r="C257" s="717"/>
      <c r="D257" s="708"/>
      <c r="E257" s="708"/>
      <c r="F257" s="708"/>
      <c r="G257" s="708"/>
      <c r="H257" s="469">
        <f t="shared" si="154"/>
        <v>0</v>
      </c>
      <c r="I257" s="717"/>
      <c r="J257" s="717"/>
      <c r="K257" s="720">
        <v>-10200</v>
      </c>
      <c r="L257" s="479">
        <f t="shared" si="155"/>
        <v>-10200</v>
      </c>
      <c r="M257" s="717"/>
      <c r="N257" s="720"/>
      <c r="O257" s="719"/>
      <c r="P257" s="469">
        <f t="shared" si="156"/>
        <v>-10200</v>
      </c>
      <c r="Q257" s="497" t="s">
        <v>674</v>
      </c>
    </row>
    <row r="258" spans="1:17" x14ac:dyDescent="0.25">
      <c r="A258" s="488"/>
      <c r="B258" s="551" t="s">
        <v>996</v>
      </c>
      <c r="C258" s="717"/>
      <c r="D258" s="708"/>
      <c r="E258" s="708">
        <v>-3885</v>
      </c>
      <c r="F258" s="708"/>
      <c r="G258" s="718">
        <v>-15000</v>
      </c>
      <c r="H258" s="469">
        <f t="shared" si="136"/>
        <v>-18885</v>
      </c>
      <c r="I258" s="717"/>
      <c r="J258" s="717"/>
      <c r="K258" s="720"/>
      <c r="L258" s="479">
        <f t="shared" si="137"/>
        <v>0</v>
      </c>
      <c r="M258" s="717"/>
      <c r="N258" s="720"/>
      <c r="O258" s="719"/>
      <c r="P258" s="469">
        <f t="shared" si="138"/>
        <v>-18885</v>
      </c>
      <c r="Q258" s="497" t="s">
        <v>674</v>
      </c>
    </row>
    <row r="259" spans="1:17" x14ac:dyDescent="0.25">
      <c r="A259" s="488"/>
      <c r="B259" s="707" t="s">
        <v>1195</v>
      </c>
      <c r="C259" s="717"/>
      <c r="D259" s="708"/>
      <c r="E259" s="708"/>
      <c r="F259" s="708"/>
      <c r="G259" s="718">
        <v>-200000</v>
      </c>
      <c r="H259" s="469">
        <f t="shared" si="136"/>
        <v>-200000</v>
      </c>
      <c r="I259" s="717"/>
      <c r="J259" s="717"/>
      <c r="K259" s="720"/>
      <c r="L259" s="479">
        <f t="shared" si="137"/>
        <v>0</v>
      </c>
      <c r="M259" s="717"/>
      <c r="N259" s="720"/>
      <c r="O259" s="719"/>
      <c r="P259" s="469">
        <f t="shared" si="138"/>
        <v>-200000</v>
      </c>
      <c r="Q259" s="497" t="s">
        <v>673</v>
      </c>
    </row>
    <row r="260" spans="1:17" x14ac:dyDescent="0.25">
      <c r="A260" s="488"/>
      <c r="B260" s="491" t="s">
        <v>1030</v>
      </c>
      <c r="C260" s="717"/>
      <c r="D260" s="708"/>
      <c r="E260" s="708"/>
      <c r="F260" s="708"/>
      <c r="G260" s="718"/>
      <c r="H260" s="469">
        <f t="shared" ref="H260:H261" si="157">SUM(C260:G260)</f>
        <v>0</v>
      </c>
      <c r="I260" s="717"/>
      <c r="J260" s="717"/>
      <c r="K260" s="720"/>
      <c r="L260" s="479">
        <f t="shared" ref="L260:L261" si="158">SUM(I260:K260)</f>
        <v>0</v>
      </c>
      <c r="M260" s="717"/>
      <c r="N260" s="720"/>
      <c r="O260" s="719"/>
      <c r="P260" s="469">
        <f t="shared" ref="P260:P261" si="159">O260+L260+H260</f>
        <v>0</v>
      </c>
    </row>
    <row r="261" spans="1:17" ht="94.5" x14ac:dyDescent="0.25">
      <c r="A261" s="488"/>
      <c r="B261" s="551" t="s">
        <v>1018</v>
      </c>
      <c r="C261" s="717"/>
      <c r="D261" s="708"/>
      <c r="E261" s="708"/>
      <c r="F261" s="708"/>
      <c r="G261" s="718">
        <v>-6145</v>
      </c>
      <c r="H261" s="469">
        <f t="shared" si="157"/>
        <v>-6145</v>
      </c>
      <c r="I261" s="717"/>
      <c r="J261" s="717"/>
      <c r="K261" s="720"/>
      <c r="L261" s="479">
        <f t="shared" si="158"/>
        <v>0</v>
      </c>
      <c r="M261" s="717"/>
      <c r="N261" s="720"/>
      <c r="O261" s="719"/>
      <c r="P261" s="469">
        <f t="shared" si="159"/>
        <v>-6145</v>
      </c>
      <c r="Q261" s="497" t="s">
        <v>673</v>
      </c>
    </row>
    <row r="262" spans="1:17" x14ac:dyDescent="0.25">
      <c r="A262" s="488"/>
      <c r="B262" s="491" t="s">
        <v>690</v>
      </c>
      <c r="C262" s="717"/>
      <c r="D262" s="708"/>
      <c r="E262" s="708"/>
      <c r="F262" s="708"/>
      <c r="G262" s="718"/>
      <c r="H262" s="469"/>
      <c r="I262" s="717"/>
      <c r="J262" s="717"/>
      <c r="K262" s="720"/>
      <c r="L262" s="479">
        <f t="shared" ref="L262" si="160">SUM(I262:K262)</f>
        <v>0</v>
      </c>
      <c r="M262" s="717"/>
      <c r="N262" s="720"/>
      <c r="O262" s="719"/>
      <c r="P262" s="469"/>
    </row>
    <row r="263" spans="1:17" x14ac:dyDescent="0.25">
      <c r="A263" s="488"/>
      <c r="B263" s="551" t="s">
        <v>869</v>
      </c>
      <c r="C263" s="717">
        <v>4</v>
      </c>
      <c r="D263" s="708"/>
      <c r="E263" s="708"/>
      <c r="F263" s="708"/>
      <c r="G263" s="718"/>
      <c r="H263" s="469">
        <f t="shared" ref="H263" si="161">SUM(C263:G263)</f>
        <v>4</v>
      </c>
      <c r="I263" s="717"/>
      <c r="J263" s="717"/>
      <c r="K263" s="720"/>
      <c r="L263" s="479">
        <f t="shared" ref="L263" si="162">SUM(I263:K263)</f>
        <v>0</v>
      </c>
      <c r="M263" s="717"/>
      <c r="N263" s="720"/>
      <c r="O263" s="719"/>
      <c r="P263" s="469">
        <f t="shared" ref="P263" si="163">O263+L263+H263</f>
        <v>4</v>
      </c>
      <c r="Q263" s="497" t="s">
        <v>674</v>
      </c>
    </row>
    <row r="264" spans="1:17" ht="31.5" x14ac:dyDescent="0.25">
      <c r="A264" s="488"/>
      <c r="B264" s="551" t="s">
        <v>870</v>
      </c>
      <c r="C264" s="717">
        <v>-4</v>
      </c>
      <c r="D264" s="708"/>
      <c r="E264" s="708"/>
      <c r="F264" s="708"/>
      <c r="G264" s="718"/>
      <c r="H264" s="469">
        <f t="shared" ref="H264:H273" si="164">SUM(C264:G264)</f>
        <v>-4</v>
      </c>
      <c r="I264" s="717"/>
      <c r="J264" s="717"/>
      <c r="K264" s="720"/>
      <c r="L264" s="479">
        <f t="shared" ref="L264:L273" si="165">SUM(I264:K264)</f>
        <v>0</v>
      </c>
      <c r="M264" s="717"/>
      <c r="N264" s="720"/>
      <c r="O264" s="719"/>
      <c r="P264" s="469">
        <f t="shared" ref="P264:P273" si="166">O264+L264+H264</f>
        <v>-4</v>
      </c>
      <c r="Q264" s="497" t="s">
        <v>674</v>
      </c>
    </row>
    <row r="265" spans="1:17" ht="34.5" customHeight="1" x14ac:dyDescent="0.25">
      <c r="A265" s="488"/>
      <c r="B265" s="551" t="s">
        <v>870</v>
      </c>
      <c r="C265" s="717"/>
      <c r="D265" s="708"/>
      <c r="E265" s="708"/>
      <c r="F265" s="708"/>
      <c r="G265" s="718">
        <v>5000</v>
      </c>
      <c r="H265" s="469">
        <f>SUM(C265:G265)</f>
        <v>5000</v>
      </c>
      <c r="I265" s="717"/>
      <c r="J265" s="717"/>
      <c r="K265" s="720"/>
      <c r="L265" s="479">
        <f t="shared" ref="L265:L266" si="167">SUM(I265:K265)</f>
        <v>0</v>
      </c>
      <c r="M265" s="717"/>
      <c r="N265" s="720"/>
      <c r="O265" s="719"/>
      <c r="P265" s="469">
        <f t="shared" ref="P265:P266" si="168">O265+L265+H265</f>
        <v>5000</v>
      </c>
      <c r="Q265" s="497" t="s">
        <v>674</v>
      </c>
    </row>
    <row r="266" spans="1:17" x14ac:dyDescent="0.25">
      <c r="A266" s="488"/>
      <c r="B266" s="551" t="s">
        <v>1059</v>
      </c>
      <c r="C266" s="717">
        <v>69</v>
      </c>
      <c r="D266" s="708">
        <v>177</v>
      </c>
      <c r="E266" s="708">
        <v>-246</v>
      </c>
      <c r="F266" s="708"/>
      <c r="G266" s="718"/>
      <c r="H266" s="469">
        <f>SUM(C266:G266)</f>
        <v>0</v>
      </c>
      <c r="I266" s="717"/>
      <c r="J266" s="717"/>
      <c r="K266" s="720"/>
      <c r="L266" s="479">
        <f t="shared" si="167"/>
        <v>0</v>
      </c>
      <c r="M266" s="717"/>
      <c r="N266" s="720"/>
      <c r="O266" s="719"/>
      <c r="P266" s="469">
        <f t="shared" si="168"/>
        <v>0</v>
      </c>
      <c r="Q266" s="497" t="s">
        <v>677</v>
      </c>
    </row>
    <row r="267" spans="1:17" ht="34.5" customHeight="1" x14ac:dyDescent="0.25">
      <c r="A267" s="488"/>
      <c r="B267" s="551" t="s">
        <v>870</v>
      </c>
      <c r="C267" s="717">
        <v>-355</v>
      </c>
      <c r="D267" s="708">
        <v>-200</v>
      </c>
      <c r="E267" s="708"/>
      <c r="F267" s="708"/>
      <c r="G267" s="718">
        <v>555</v>
      </c>
      <c r="H267" s="469">
        <f>SUM(C267:G267)</f>
        <v>0</v>
      </c>
      <c r="I267" s="717"/>
      <c r="J267" s="717"/>
      <c r="K267" s="720"/>
      <c r="L267" s="479">
        <f t="shared" ref="L267" si="169">SUM(I267:K267)</f>
        <v>0</v>
      </c>
      <c r="M267" s="717"/>
      <c r="N267" s="720"/>
      <c r="O267" s="719"/>
      <c r="P267" s="469">
        <f t="shared" ref="P267" si="170">O267+L267+H267</f>
        <v>0</v>
      </c>
      <c r="Q267" s="497" t="s">
        <v>674</v>
      </c>
    </row>
    <row r="268" spans="1:17" x14ac:dyDescent="0.25">
      <c r="A268" s="488"/>
      <c r="B268" s="551" t="s">
        <v>1060</v>
      </c>
      <c r="C268" s="717"/>
      <c r="D268" s="708"/>
      <c r="E268" s="708">
        <v>581</v>
      </c>
      <c r="F268" s="708"/>
      <c r="G268" s="718"/>
      <c r="H268" s="469">
        <f>SUM(C268:G268)</f>
        <v>581</v>
      </c>
      <c r="I268" s="717">
        <v>-581</v>
      </c>
      <c r="J268" s="717"/>
      <c r="K268" s="720"/>
      <c r="L268" s="479">
        <f t="shared" ref="L268" si="171">SUM(I268:K268)</f>
        <v>-581</v>
      </c>
      <c r="M268" s="717"/>
      <c r="N268" s="720"/>
      <c r="O268" s="719"/>
      <c r="P268" s="469">
        <f t="shared" ref="P268" si="172">O268+L268+H268</f>
        <v>0</v>
      </c>
      <c r="Q268" s="497" t="s">
        <v>674</v>
      </c>
    </row>
    <row r="269" spans="1:17" ht="31.5" x14ac:dyDescent="0.25">
      <c r="A269" s="488"/>
      <c r="B269" s="551" t="s">
        <v>1061</v>
      </c>
      <c r="C269" s="717"/>
      <c r="D269" s="708"/>
      <c r="E269" s="708"/>
      <c r="F269" s="708"/>
      <c r="G269" s="718">
        <v>4300</v>
      </c>
      <c r="H269" s="469">
        <f>SUM(C269:G269)</f>
        <v>4300</v>
      </c>
      <c r="I269" s="717">
        <v>-4300</v>
      </c>
      <c r="J269" s="717"/>
      <c r="K269" s="720"/>
      <c r="L269" s="479">
        <f t="shared" ref="L269" si="173">SUM(I269:K269)</f>
        <v>-4300</v>
      </c>
      <c r="M269" s="717"/>
      <c r="N269" s="720"/>
      <c r="O269" s="719"/>
      <c r="P269" s="469">
        <f t="shared" ref="P269" si="174">O269+L269+H269</f>
        <v>0</v>
      </c>
      <c r="Q269" s="497" t="s">
        <v>674</v>
      </c>
    </row>
    <row r="270" spans="1:17" ht="31.5" x14ac:dyDescent="0.25">
      <c r="A270" s="488"/>
      <c r="B270" s="491" t="s">
        <v>584</v>
      </c>
      <c r="D270" s="708"/>
      <c r="E270" s="708"/>
      <c r="F270" s="708"/>
      <c r="G270" s="718"/>
      <c r="H270" s="469"/>
      <c r="I270" s="717"/>
      <c r="J270" s="717"/>
      <c r="K270" s="720"/>
      <c r="L270" s="479"/>
      <c r="M270" s="717"/>
      <c r="N270" s="720"/>
      <c r="O270" s="719"/>
      <c r="P270" s="469"/>
    </row>
    <row r="271" spans="1:17" x14ac:dyDescent="0.25">
      <c r="A271" s="488"/>
      <c r="B271" s="551" t="s">
        <v>871</v>
      </c>
      <c r="C271" s="717"/>
      <c r="D271" s="708"/>
      <c r="E271" s="708"/>
      <c r="F271" s="708"/>
      <c r="G271" s="718"/>
      <c r="H271" s="469">
        <f t="shared" si="164"/>
        <v>0</v>
      </c>
      <c r="I271" s="717">
        <v>2000</v>
      </c>
      <c r="J271" s="717"/>
      <c r="K271" s="720"/>
      <c r="L271" s="479">
        <f t="shared" si="165"/>
        <v>2000</v>
      </c>
      <c r="M271" s="717"/>
      <c r="N271" s="720"/>
      <c r="O271" s="719"/>
      <c r="P271" s="469">
        <f t="shared" si="166"/>
        <v>2000</v>
      </c>
      <c r="Q271" s="497" t="s">
        <v>674</v>
      </c>
    </row>
    <row r="272" spans="1:17" x14ac:dyDescent="0.25">
      <c r="A272" s="488"/>
      <c r="B272" s="551" t="s">
        <v>871</v>
      </c>
      <c r="C272" s="717">
        <f>3000-3000</f>
        <v>0</v>
      </c>
      <c r="D272" s="708"/>
      <c r="E272" s="708">
        <f>571-2000</f>
        <v>-1429</v>
      </c>
      <c r="F272" s="708"/>
      <c r="G272" s="718"/>
      <c r="H272" s="469">
        <f t="shared" ref="H272" si="175">SUM(C272:G272)</f>
        <v>-1429</v>
      </c>
      <c r="I272" s="717">
        <v>1429</v>
      </c>
      <c r="J272" s="717"/>
      <c r="K272" s="720"/>
      <c r="L272" s="479">
        <f t="shared" ref="L272" si="176">SUM(I272:K272)</f>
        <v>1429</v>
      </c>
      <c r="M272" s="717"/>
      <c r="N272" s="720"/>
      <c r="O272" s="719"/>
      <c r="P272" s="469">
        <f t="shared" ref="P272" si="177">O272+L272+H272</f>
        <v>0</v>
      </c>
      <c r="Q272" s="497" t="s">
        <v>674</v>
      </c>
    </row>
    <row r="273" spans="1:17" x14ac:dyDescent="0.25">
      <c r="A273" s="488"/>
      <c r="B273" s="551"/>
      <c r="C273" s="717"/>
      <c r="D273" s="708"/>
      <c r="E273" s="708"/>
      <c r="F273" s="708"/>
      <c r="G273" s="708"/>
      <c r="H273" s="469">
        <f t="shared" si="164"/>
        <v>0</v>
      </c>
      <c r="I273" s="717"/>
      <c r="J273" s="717"/>
      <c r="K273" s="720"/>
      <c r="L273" s="479">
        <f t="shared" si="165"/>
        <v>0</v>
      </c>
      <c r="M273" s="717"/>
      <c r="N273" s="720"/>
      <c r="O273" s="719"/>
      <c r="P273" s="469">
        <f t="shared" si="166"/>
        <v>0</v>
      </c>
    </row>
    <row r="274" spans="1:17" x14ac:dyDescent="0.25">
      <c r="A274" s="488"/>
      <c r="B274" s="492" t="s">
        <v>95</v>
      </c>
      <c r="C274" s="717"/>
      <c r="D274" s="708"/>
      <c r="E274" s="708"/>
      <c r="F274" s="708"/>
      <c r="G274" s="718"/>
      <c r="H274" s="469"/>
      <c r="I274" s="717"/>
      <c r="J274" s="717"/>
      <c r="K274" s="720"/>
      <c r="L274" s="479"/>
      <c r="M274" s="717"/>
      <c r="N274" s="720"/>
      <c r="O274" s="719"/>
      <c r="P274" s="469"/>
    </row>
    <row r="275" spans="1:17" x14ac:dyDescent="0.25">
      <c r="A275" s="488"/>
      <c r="B275" s="491" t="s">
        <v>918</v>
      </c>
      <c r="C275" s="717"/>
      <c r="D275" s="708"/>
      <c r="E275" s="708"/>
      <c r="F275" s="708"/>
      <c r="G275" s="718"/>
      <c r="H275" s="469"/>
      <c r="I275" s="717"/>
      <c r="J275" s="717"/>
      <c r="K275" s="720"/>
      <c r="L275" s="479"/>
      <c r="M275" s="717"/>
      <c r="N275" s="720"/>
      <c r="O275" s="719"/>
      <c r="P275" s="469"/>
    </row>
    <row r="276" spans="1:17" x14ac:dyDescent="0.25">
      <c r="A276" s="488"/>
      <c r="B276" s="551" t="s">
        <v>916</v>
      </c>
      <c r="C276" s="717">
        <v>3274</v>
      </c>
      <c r="D276" s="708"/>
      <c r="E276" s="708">
        <v>-3274</v>
      </c>
      <c r="F276" s="708"/>
      <c r="G276" s="718"/>
      <c r="H276" s="469">
        <f t="shared" ref="H276" si="178">SUM(C276:G276)</f>
        <v>0</v>
      </c>
      <c r="I276" s="717"/>
      <c r="J276" s="717"/>
      <c r="K276" s="720"/>
      <c r="L276" s="479">
        <f t="shared" ref="L276" si="179">SUM(I276:K276)</f>
        <v>0</v>
      </c>
      <c r="M276" s="717"/>
      <c r="N276" s="720"/>
      <c r="O276" s="719"/>
      <c r="P276" s="469">
        <f t="shared" ref="P276" si="180">O276+L276+H276</f>
        <v>0</v>
      </c>
      <c r="Q276" s="497" t="s">
        <v>677</v>
      </c>
    </row>
    <row r="277" spans="1:17" x14ac:dyDescent="0.25">
      <c r="A277" s="488"/>
      <c r="B277" s="551" t="s">
        <v>916</v>
      </c>
      <c r="C277" s="717">
        <v>-750</v>
      </c>
      <c r="D277" s="708">
        <v>-150</v>
      </c>
      <c r="E277" s="708"/>
      <c r="F277" s="708"/>
      <c r="G277" s="718"/>
      <c r="H277" s="469">
        <f t="shared" ref="H277" si="181">SUM(C277:G277)</f>
        <v>-900</v>
      </c>
      <c r="I277" s="717"/>
      <c r="J277" s="717"/>
      <c r="K277" s="720"/>
      <c r="L277" s="479">
        <f t="shared" ref="L277" si="182">SUM(I277:K277)</f>
        <v>0</v>
      </c>
      <c r="M277" s="717"/>
      <c r="N277" s="720"/>
      <c r="O277" s="719"/>
      <c r="P277" s="469">
        <f t="shared" ref="P277" si="183">O277+L277+H277</f>
        <v>-900</v>
      </c>
      <c r="Q277" s="497" t="s">
        <v>677</v>
      </c>
    </row>
    <row r="278" spans="1:17" x14ac:dyDescent="0.25">
      <c r="A278" s="488"/>
      <c r="B278" s="551" t="s">
        <v>917</v>
      </c>
      <c r="C278" s="717">
        <v>-4127</v>
      </c>
      <c r="D278" s="708">
        <v>-606</v>
      </c>
      <c r="E278" s="708">
        <v>-870</v>
      </c>
      <c r="F278" s="708"/>
      <c r="G278" s="718"/>
      <c r="H278" s="469">
        <f t="shared" ref="H278" si="184">SUM(C278:G278)</f>
        <v>-5603</v>
      </c>
      <c r="I278" s="717"/>
      <c r="J278" s="717"/>
      <c r="K278" s="720"/>
      <c r="L278" s="479">
        <f t="shared" ref="L278" si="185">SUM(I278:K278)</f>
        <v>0</v>
      </c>
      <c r="M278" s="717"/>
      <c r="N278" s="720"/>
      <c r="O278" s="719"/>
      <c r="P278" s="469">
        <f t="shared" ref="P278" si="186">O278+L278+H278</f>
        <v>-5603</v>
      </c>
      <c r="Q278" s="497" t="s">
        <v>677</v>
      </c>
    </row>
    <row r="279" spans="1:17" x14ac:dyDescent="0.25">
      <c r="A279" s="488"/>
      <c r="B279" s="551"/>
      <c r="C279" s="717"/>
      <c r="D279" s="708"/>
      <c r="E279" s="708"/>
      <c r="F279" s="708"/>
      <c r="G279" s="718"/>
      <c r="H279" s="469"/>
      <c r="I279" s="717"/>
      <c r="J279" s="717"/>
      <c r="K279" s="720"/>
      <c r="L279" s="479"/>
      <c r="M279" s="717"/>
      <c r="N279" s="720"/>
      <c r="O279" s="719"/>
      <c r="P279" s="469"/>
    </row>
    <row r="280" spans="1:17" ht="31.5" x14ac:dyDescent="0.25">
      <c r="A280" s="488"/>
      <c r="B280" s="492" t="s">
        <v>239</v>
      </c>
      <c r="C280" s="717"/>
      <c r="D280" s="708"/>
      <c r="E280" s="708"/>
      <c r="F280" s="708"/>
      <c r="G280" s="718"/>
      <c r="H280" s="469"/>
      <c r="I280" s="717"/>
      <c r="J280" s="717"/>
      <c r="K280" s="720"/>
      <c r="L280" s="479"/>
      <c r="M280" s="717"/>
      <c r="N280" s="720"/>
      <c r="O280" s="719"/>
      <c r="P280" s="469"/>
    </row>
    <row r="281" spans="1:17" x14ac:dyDescent="0.25">
      <c r="A281" s="488"/>
      <c r="B281" s="491" t="s">
        <v>918</v>
      </c>
      <c r="C281" s="717"/>
      <c r="D281" s="708"/>
      <c r="E281" s="708"/>
      <c r="F281" s="708"/>
      <c r="G281" s="718"/>
      <c r="H281" s="469"/>
      <c r="I281" s="717"/>
      <c r="J281" s="717"/>
      <c r="K281" s="720"/>
      <c r="L281" s="479"/>
      <c r="M281" s="717"/>
      <c r="N281" s="720"/>
      <c r="O281" s="719"/>
      <c r="P281" s="469"/>
    </row>
    <row r="282" spans="1:17" x14ac:dyDescent="0.25">
      <c r="A282" s="488"/>
      <c r="B282" s="551" t="s">
        <v>997</v>
      </c>
      <c r="C282" s="717"/>
      <c r="D282" s="708"/>
      <c r="E282" s="708"/>
      <c r="F282" s="708"/>
      <c r="G282" s="726">
        <v>-60000</v>
      </c>
      <c r="H282" s="469">
        <f t="shared" ref="H282:H286" si="187">SUM(C282:G282)</f>
        <v>-60000</v>
      </c>
      <c r="I282" s="717"/>
      <c r="J282" s="717"/>
      <c r="K282" s="720"/>
      <c r="L282" s="479">
        <f t="shared" ref="L282:L286" si="188">SUM(I282:K282)</f>
        <v>0</v>
      </c>
      <c r="M282" s="717"/>
      <c r="N282" s="720"/>
      <c r="O282" s="719"/>
      <c r="P282" s="469">
        <f t="shared" ref="P282:P286" si="189">O282+L282+H282</f>
        <v>-60000</v>
      </c>
      <c r="Q282" s="497" t="s">
        <v>808</v>
      </c>
    </row>
    <row r="283" spans="1:17" x14ac:dyDescent="0.25">
      <c r="A283" s="488"/>
      <c r="B283" s="551" t="s">
        <v>998</v>
      </c>
      <c r="C283" s="717"/>
      <c r="D283" s="708"/>
      <c r="E283" s="708"/>
      <c r="F283" s="708"/>
      <c r="G283" s="726">
        <v>-10000</v>
      </c>
      <c r="H283" s="469">
        <f t="shared" si="187"/>
        <v>-10000</v>
      </c>
      <c r="I283" s="717"/>
      <c r="J283" s="717"/>
      <c r="K283" s="720"/>
      <c r="L283" s="479">
        <f t="shared" si="188"/>
        <v>0</v>
      </c>
      <c r="M283" s="717"/>
      <c r="N283" s="720"/>
      <c r="O283" s="719"/>
      <c r="P283" s="469">
        <f t="shared" si="189"/>
        <v>-10000</v>
      </c>
      <c r="Q283" s="497" t="s">
        <v>808</v>
      </c>
    </row>
    <row r="284" spans="1:17" x14ac:dyDescent="0.25">
      <c r="A284" s="488"/>
      <c r="B284" s="551" t="s">
        <v>999</v>
      </c>
      <c r="C284" s="717"/>
      <c r="D284" s="708"/>
      <c r="E284" s="708"/>
      <c r="F284" s="708"/>
      <c r="G284" s="726">
        <v>-17500</v>
      </c>
      <c r="H284" s="469">
        <f t="shared" si="187"/>
        <v>-17500</v>
      </c>
      <c r="I284" s="717"/>
      <c r="J284" s="717"/>
      <c r="K284" s="720"/>
      <c r="L284" s="479">
        <f t="shared" si="188"/>
        <v>0</v>
      </c>
      <c r="M284" s="717"/>
      <c r="N284" s="720"/>
      <c r="O284" s="719"/>
      <c r="P284" s="469">
        <f t="shared" si="189"/>
        <v>-17500</v>
      </c>
      <c r="Q284" s="497" t="s">
        <v>808</v>
      </c>
    </row>
    <row r="285" spans="1:17" x14ac:dyDescent="0.25">
      <c r="A285" s="488"/>
      <c r="B285" s="551" t="s">
        <v>1000</v>
      </c>
      <c r="C285" s="717"/>
      <c r="D285" s="708"/>
      <c r="E285" s="708"/>
      <c r="F285" s="708"/>
      <c r="G285" s="726">
        <v>-13500</v>
      </c>
      <c r="H285" s="469">
        <f t="shared" si="187"/>
        <v>-13500</v>
      </c>
      <c r="I285" s="717"/>
      <c r="J285" s="717"/>
      <c r="K285" s="720"/>
      <c r="L285" s="479">
        <f t="shared" si="188"/>
        <v>0</v>
      </c>
      <c r="M285" s="717"/>
      <c r="N285" s="720"/>
      <c r="O285" s="719"/>
      <c r="P285" s="469">
        <f t="shared" si="189"/>
        <v>-13500</v>
      </c>
      <c r="Q285" s="497" t="s">
        <v>808</v>
      </c>
    </row>
    <row r="286" spans="1:17" x14ac:dyDescent="0.25">
      <c r="A286" s="488"/>
      <c r="B286" s="551" t="s">
        <v>1001</v>
      </c>
      <c r="C286" s="717"/>
      <c r="D286" s="708"/>
      <c r="E286" s="708"/>
      <c r="F286" s="708"/>
      <c r="G286" s="726">
        <v>-7000</v>
      </c>
      <c r="H286" s="469">
        <f t="shared" si="187"/>
        <v>-7000</v>
      </c>
      <c r="I286" s="717"/>
      <c r="J286" s="717"/>
      <c r="K286" s="720"/>
      <c r="L286" s="479">
        <f t="shared" si="188"/>
        <v>0</v>
      </c>
      <c r="M286" s="717"/>
      <c r="N286" s="720"/>
      <c r="O286" s="719"/>
      <c r="P286" s="469">
        <f t="shared" si="189"/>
        <v>-7000</v>
      </c>
      <c r="Q286" s="497" t="s">
        <v>808</v>
      </c>
    </row>
    <row r="287" spans="1:17" x14ac:dyDescent="0.25">
      <c r="A287" s="488"/>
      <c r="B287" s="551" t="s">
        <v>1002</v>
      </c>
      <c r="C287" s="717"/>
      <c r="D287" s="708"/>
      <c r="E287" s="708"/>
      <c r="F287" s="708"/>
      <c r="G287" s="726">
        <v>-9000</v>
      </c>
      <c r="H287" s="469">
        <f t="shared" ref="H287" si="190">SUM(C287:G287)</f>
        <v>-9000</v>
      </c>
      <c r="I287" s="717"/>
      <c r="J287" s="717"/>
      <c r="K287" s="720"/>
      <c r="L287" s="479">
        <f t="shared" ref="L287" si="191">SUM(I287:K287)</f>
        <v>0</v>
      </c>
      <c r="M287" s="717"/>
      <c r="N287" s="720"/>
      <c r="O287" s="719"/>
      <c r="P287" s="469">
        <f t="shared" ref="P287" si="192">O287+L287+H287</f>
        <v>-9000</v>
      </c>
      <c r="Q287" s="497" t="s">
        <v>808</v>
      </c>
    </row>
    <row r="288" spans="1:17" x14ac:dyDescent="0.25">
      <c r="A288" s="488"/>
      <c r="B288" s="551"/>
      <c r="C288" s="717"/>
      <c r="D288" s="708"/>
      <c r="E288" s="708"/>
      <c r="F288" s="708"/>
      <c r="G288" s="718"/>
      <c r="H288" s="469"/>
      <c r="I288" s="717"/>
      <c r="J288" s="717"/>
      <c r="K288" s="720"/>
      <c r="L288" s="479"/>
      <c r="M288" s="717"/>
      <c r="N288" s="720"/>
      <c r="O288" s="719"/>
      <c r="P288" s="469"/>
    </row>
    <row r="289" spans="1:17" x14ac:dyDescent="0.25">
      <c r="A289" s="488"/>
      <c r="B289" s="492" t="s">
        <v>135</v>
      </c>
      <c r="C289" s="717"/>
      <c r="D289" s="708"/>
      <c r="E289" s="708"/>
      <c r="F289" s="708"/>
      <c r="G289" s="718"/>
      <c r="H289" s="469"/>
      <c r="I289" s="717"/>
      <c r="J289" s="717"/>
      <c r="K289" s="720"/>
      <c r="L289" s="479"/>
      <c r="M289" s="717"/>
      <c r="N289" s="720"/>
      <c r="O289" s="719"/>
      <c r="P289" s="469"/>
    </row>
    <row r="290" spans="1:17" x14ac:dyDescent="0.25">
      <c r="A290" s="488"/>
      <c r="B290" s="491" t="s">
        <v>918</v>
      </c>
      <c r="C290" s="717"/>
      <c r="D290" s="708"/>
      <c r="E290" s="708"/>
      <c r="F290" s="708"/>
      <c r="G290" s="718"/>
      <c r="H290" s="469"/>
      <c r="I290" s="717"/>
      <c r="J290" s="717"/>
      <c r="K290" s="720"/>
      <c r="L290" s="479"/>
      <c r="M290" s="717"/>
      <c r="N290" s="720"/>
      <c r="O290" s="719"/>
      <c r="P290" s="469"/>
    </row>
    <row r="291" spans="1:17" ht="47.25" x14ac:dyDescent="0.25">
      <c r="A291" s="488"/>
      <c r="B291" s="551" t="s">
        <v>1003</v>
      </c>
      <c r="C291" s="717"/>
      <c r="D291" s="708"/>
      <c r="E291" s="708"/>
      <c r="F291" s="708"/>
      <c r="G291" s="726">
        <v>-28000</v>
      </c>
      <c r="H291" s="469">
        <f t="shared" ref="H291:H293" si="193">SUM(C291:G291)</f>
        <v>-28000</v>
      </c>
      <c r="I291" s="717"/>
      <c r="J291" s="717"/>
      <c r="K291" s="720"/>
      <c r="L291" s="479">
        <f t="shared" ref="L291:L293" si="194">SUM(I291:K291)</f>
        <v>0</v>
      </c>
      <c r="M291" s="717"/>
      <c r="N291" s="720"/>
      <c r="O291" s="719"/>
      <c r="P291" s="469">
        <f t="shared" ref="P291:P293" si="195">O291+L291+H291</f>
        <v>-28000</v>
      </c>
      <c r="Q291" s="497" t="s">
        <v>677</v>
      </c>
    </row>
    <row r="292" spans="1:17" ht="31.5" x14ac:dyDescent="0.25">
      <c r="A292" s="488"/>
      <c r="B292" s="551" t="s">
        <v>1004</v>
      </c>
      <c r="C292" s="717"/>
      <c r="D292" s="708"/>
      <c r="E292" s="708"/>
      <c r="F292" s="708"/>
      <c r="G292" s="726">
        <v>-5000</v>
      </c>
      <c r="H292" s="469">
        <f t="shared" si="193"/>
        <v>-5000</v>
      </c>
      <c r="I292" s="717"/>
      <c r="J292" s="717"/>
      <c r="K292" s="720"/>
      <c r="L292" s="479">
        <f t="shared" si="194"/>
        <v>0</v>
      </c>
      <c r="M292" s="717"/>
      <c r="N292" s="720"/>
      <c r="O292" s="719"/>
      <c r="P292" s="469">
        <f t="shared" si="195"/>
        <v>-5000</v>
      </c>
      <c r="Q292" s="497" t="s">
        <v>677</v>
      </c>
    </row>
    <row r="293" spans="1:17" ht="31.5" x14ac:dyDescent="0.25">
      <c r="A293" s="488"/>
      <c r="B293" s="551" t="s">
        <v>1005</v>
      </c>
      <c r="C293" s="717"/>
      <c r="D293" s="708"/>
      <c r="E293" s="708"/>
      <c r="F293" s="708"/>
      <c r="G293" s="726">
        <v>-2000</v>
      </c>
      <c r="H293" s="469">
        <f t="shared" si="193"/>
        <v>-2000</v>
      </c>
      <c r="I293" s="717"/>
      <c r="J293" s="717"/>
      <c r="K293" s="720"/>
      <c r="L293" s="479">
        <f t="shared" si="194"/>
        <v>0</v>
      </c>
      <c r="M293" s="717"/>
      <c r="N293" s="720"/>
      <c r="O293" s="719"/>
      <c r="P293" s="469">
        <f t="shared" si="195"/>
        <v>-2000</v>
      </c>
      <c r="Q293" s="497" t="s">
        <v>677</v>
      </c>
    </row>
    <row r="294" spans="1:17" x14ac:dyDescent="0.25">
      <c r="A294" s="488"/>
      <c r="B294" s="551"/>
      <c r="C294" s="717"/>
      <c r="D294" s="708"/>
      <c r="E294" s="708"/>
      <c r="F294" s="708"/>
      <c r="G294" s="708"/>
      <c r="H294" s="469"/>
      <c r="I294" s="717"/>
      <c r="J294" s="717"/>
      <c r="K294" s="720"/>
      <c r="L294" s="479"/>
      <c r="M294" s="717"/>
      <c r="N294" s="720"/>
      <c r="O294" s="719"/>
      <c r="P294" s="469"/>
    </row>
    <row r="295" spans="1:17" x14ac:dyDescent="0.25">
      <c r="A295" s="488"/>
      <c r="B295" s="499" t="s">
        <v>240</v>
      </c>
      <c r="C295" s="717"/>
      <c r="D295" s="708"/>
      <c r="E295" s="708"/>
      <c r="F295" s="708"/>
      <c r="G295" s="718"/>
      <c r="H295" s="469"/>
      <c r="I295" s="717"/>
      <c r="J295" s="717"/>
      <c r="K295" s="720"/>
      <c r="L295" s="479"/>
      <c r="M295" s="717"/>
      <c r="N295" s="720"/>
      <c r="O295" s="719"/>
      <c r="P295" s="469"/>
    </row>
    <row r="296" spans="1:17" x14ac:dyDescent="0.25">
      <c r="A296" s="488"/>
      <c r="B296" s="491" t="s">
        <v>690</v>
      </c>
      <c r="C296" s="717"/>
      <c r="D296" s="708"/>
      <c r="E296" s="708"/>
      <c r="F296" s="708"/>
      <c r="G296" s="718"/>
      <c r="H296" s="469"/>
      <c r="I296" s="717"/>
      <c r="J296" s="717"/>
      <c r="K296" s="720"/>
      <c r="L296" s="479"/>
      <c r="M296" s="717"/>
      <c r="N296" s="720"/>
      <c r="O296" s="719"/>
      <c r="P296" s="469"/>
    </row>
    <row r="297" spans="1:17" x14ac:dyDescent="0.25">
      <c r="A297" s="488"/>
      <c r="B297" s="551" t="s">
        <v>809</v>
      </c>
      <c r="C297" s="717"/>
      <c r="D297" s="708"/>
      <c r="E297" s="708"/>
      <c r="F297" s="708"/>
      <c r="G297" s="708">
        <f>3900+38000+2000</f>
        <v>43900</v>
      </c>
      <c r="H297" s="469">
        <f t="shared" ref="H297" si="196">SUM(C297:G297)</f>
        <v>43900</v>
      </c>
      <c r="I297" s="717"/>
      <c r="J297" s="717"/>
      <c r="K297" s="720"/>
      <c r="L297" s="479">
        <f t="shared" ref="L297" si="197">SUM(I297:K297)</f>
        <v>0</v>
      </c>
      <c r="M297" s="717"/>
      <c r="N297" s="720"/>
      <c r="O297" s="719"/>
      <c r="P297" s="469">
        <f t="shared" ref="P297" si="198">O297+L297+H297</f>
        <v>43900</v>
      </c>
      <c r="Q297" s="497" t="s">
        <v>808</v>
      </c>
    </row>
    <row r="298" spans="1:17" x14ac:dyDescent="0.25">
      <c r="A298" s="488"/>
      <c r="B298" s="551" t="s">
        <v>809</v>
      </c>
      <c r="C298" s="717"/>
      <c r="D298" s="708"/>
      <c r="E298" s="708"/>
      <c r="F298" s="708"/>
      <c r="G298" s="708">
        <v>-2526</v>
      </c>
      <c r="H298" s="469">
        <f t="shared" ref="H298" si="199">SUM(C298:G298)</f>
        <v>-2526</v>
      </c>
      <c r="I298" s="717"/>
      <c r="J298" s="717"/>
      <c r="K298" s="720">
        <v>2526</v>
      </c>
      <c r="L298" s="479">
        <f t="shared" ref="L298" si="200">SUM(I298:K298)</f>
        <v>2526</v>
      </c>
      <c r="M298" s="717"/>
      <c r="N298" s="720"/>
      <c r="O298" s="719"/>
      <c r="P298" s="469">
        <f t="shared" ref="P298" si="201">O298+L298+H298</f>
        <v>0</v>
      </c>
      <c r="Q298" s="497" t="s">
        <v>808</v>
      </c>
    </row>
    <row r="299" spans="1:17" x14ac:dyDescent="0.25">
      <c r="A299" s="488"/>
      <c r="B299" s="551"/>
      <c r="C299" s="717"/>
      <c r="D299" s="708"/>
      <c r="E299" s="708"/>
      <c r="F299" s="708"/>
      <c r="G299" s="708"/>
      <c r="H299" s="469">
        <f t="shared" ref="H299:H303" si="202">SUM(C299:G299)</f>
        <v>0</v>
      </c>
      <c r="I299" s="717"/>
      <c r="J299" s="717"/>
      <c r="K299" s="720"/>
      <c r="L299" s="479">
        <f t="shared" ref="L299:L303" si="203">SUM(I299:K299)</f>
        <v>0</v>
      </c>
      <c r="M299" s="717"/>
      <c r="N299" s="720"/>
      <c r="O299" s="719"/>
      <c r="P299" s="469">
        <f t="shared" ref="P299:P303" si="204">O299+L299+H299</f>
        <v>0</v>
      </c>
    </row>
    <row r="300" spans="1:17" x14ac:dyDescent="0.25">
      <c r="A300" s="488"/>
      <c r="B300" s="491" t="s">
        <v>918</v>
      </c>
      <c r="C300" s="717"/>
      <c r="D300" s="708"/>
      <c r="E300" s="708"/>
      <c r="F300" s="708"/>
      <c r="G300" s="708"/>
      <c r="H300" s="469">
        <f t="shared" si="202"/>
        <v>0</v>
      </c>
      <c r="I300" s="717"/>
      <c r="J300" s="717"/>
      <c r="K300" s="720"/>
      <c r="L300" s="479">
        <f t="shared" si="203"/>
        <v>0</v>
      </c>
      <c r="M300" s="717"/>
      <c r="N300" s="720"/>
      <c r="O300" s="719"/>
      <c r="P300" s="469">
        <f t="shared" si="204"/>
        <v>0</v>
      </c>
    </row>
    <row r="301" spans="1:17" ht="31.5" x14ac:dyDescent="0.25">
      <c r="A301" s="488"/>
      <c r="B301" s="551" t="s">
        <v>1307</v>
      </c>
      <c r="C301" s="717"/>
      <c r="D301" s="708"/>
      <c r="E301" s="708"/>
      <c r="F301" s="708"/>
      <c r="G301" s="708">
        <v>-12000</v>
      </c>
      <c r="H301" s="469">
        <f t="shared" si="202"/>
        <v>-12000</v>
      </c>
      <c r="I301" s="717"/>
      <c r="J301" s="717"/>
      <c r="K301" s="720"/>
      <c r="L301" s="479">
        <f t="shared" si="203"/>
        <v>0</v>
      </c>
      <c r="M301" s="717"/>
      <c r="N301" s="720"/>
      <c r="O301" s="719"/>
      <c r="P301" s="469">
        <f t="shared" si="204"/>
        <v>-12000</v>
      </c>
      <c r="Q301" s="497" t="s">
        <v>808</v>
      </c>
    </row>
    <row r="302" spans="1:17" ht="47.25" x14ac:dyDescent="0.25">
      <c r="A302" s="488"/>
      <c r="B302" s="551" t="s">
        <v>1308</v>
      </c>
      <c r="C302" s="717"/>
      <c r="D302" s="708"/>
      <c r="E302" s="708"/>
      <c r="F302" s="708"/>
      <c r="G302" s="708">
        <v>-26000</v>
      </c>
      <c r="H302" s="469">
        <f t="shared" si="202"/>
        <v>-26000</v>
      </c>
      <c r="I302" s="717"/>
      <c r="J302" s="717"/>
      <c r="K302" s="720"/>
      <c r="L302" s="479">
        <f t="shared" si="203"/>
        <v>0</v>
      </c>
      <c r="M302" s="717"/>
      <c r="N302" s="720"/>
      <c r="O302" s="719"/>
      <c r="P302" s="469">
        <f t="shared" si="204"/>
        <v>-26000</v>
      </c>
      <c r="Q302" s="497" t="s">
        <v>808</v>
      </c>
    </row>
    <row r="303" spans="1:17" ht="31.5" x14ac:dyDescent="0.25">
      <c r="A303" s="488"/>
      <c r="B303" s="551" t="s">
        <v>1309</v>
      </c>
      <c r="C303" s="717"/>
      <c r="D303" s="708"/>
      <c r="E303" s="708"/>
      <c r="F303" s="708"/>
      <c r="G303" s="708">
        <v>-4000</v>
      </c>
      <c r="H303" s="469">
        <f t="shared" si="202"/>
        <v>-4000</v>
      </c>
      <c r="I303" s="717"/>
      <c r="J303" s="717"/>
      <c r="K303" s="720"/>
      <c r="L303" s="479">
        <f t="shared" si="203"/>
        <v>0</v>
      </c>
      <c r="M303" s="717"/>
      <c r="N303" s="720"/>
      <c r="O303" s="719"/>
      <c r="P303" s="469">
        <f t="shared" si="204"/>
        <v>-4000</v>
      </c>
      <c r="Q303" s="497" t="s">
        <v>808</v>
      </c>
    </row>
    <row r="304" spans="1:17" x14ac:dyDescent="0.25">
      <c r="A304" s="488"/>
      <c r="B304" s="551" t="s">
        <v>1310</v>
      </c>
      <c r="C304" s="717"/>
      <c r="D304" s="708"/>
      <c r="E304" s="708"/>
      <c r="F304" s="708"/>
      <c r="G304" s="708">
        <v>-1000</v>
      </c>
      <c r="H304" s="469">
        <f t="shared" ref="H304:H313" si="205">SUM(C304:G304)</f>
        <v>-1000</v>
      </c>
      <c r="I304" s="717"/>
      <c r="J304" s="717"/>
      <c r="K304" s="720"/>
      <c r="L304" s="479">
        <f t="shared" ref="L304:L313" si="206">SUM(I304:K304)</f>
        <v>0</v>
      </c>
      <c r="M304" s="717"/>
      <c r="N304" s="720"/>
      <c r="O304" s="719"/>
      <c r="P304" s="469">
        <f t="shared" ref="P304:P313" si="207">O304+L304+H304</f>
        <v>-1000</v>
      </c>
      <c r="Q304" s="497" t="s">
        <v>808</v>
      </c>
    </row>
    <row r="305" spans="1:17" ht="47.25" x14ac:dyDescent="0.25">
      <c r="A305" s="488"/>
      <c r="B305" s="551" t="s">
        <v>1311</v>
      </c>
      <c r="C305" s="717"/>
      <c r="D305" s="708"/>
      <c r="E305" s="708"/>
      <c r="F305" s="708"/>
      <c r="G305" s="708">
        <v>-2500</v>
      </c>
      <c r="H305" s="469">
        <f t="shared" ref="H305:H308" si="208">SUM(C305:G305)</f>
        <v>-2500</v>
      </c>
      <c r="I305" s="717"/>
      <c r="J305" s="717"/>
      <c r="K305" s="720"/>
      <c r="L305" s="479">
        <f t="shared" ref="L305:L308" si="209">SUM(I305:K305)</f>
        <v>0</v>
      </c>
      <c r="M305" s="717"/>
      <c r="N305" s="720"/>
      <c r="O305" s="719"/>
      <c r="P305" s="469">
        <f t="shared" ref="P305:P308" si="210">O305+L305+H305</f>
        <v>-2500</v>
      </c>
      <c r="Q305" s="497" t="s">
        <v>808</v>
      </c>
    </row>
    <row r="306" spans="1:17" x14ac:dyDescent="0.25">
      <c r="A306" s="488"/>
      <c r="B306" s="551" t="s">
        <v>1312</v>
      </c>
      <c r="C306" s="717"/>
      <c r="D306" s="708"/>
      <c r="E306" s="708"/>
      <c r="F306" s="708"/>
      <c r="G306" s="708">
        <v>-5000</v>
      </c>
      <c r="H306" s="469">
        <f t="shared" si="208"/>
        <v>-5000</v>
      </c>
      <c r="I306" s="717"/>
      <c r="J306" s="717"/>
      <c r="K306" s="720"/>
      <c r="L306" s="479">
        <f t="shared" si="209"/>
        <v>0</v>
      </c>
      <c r="M306" s="717"/>
      <c r="N306" s="720"/>
      <c r="O306" s="719"/>
      <c r="P306" s="469">
        <f t="shared" si="210"/>
        <v>-5000</v>
      </c>
      <c r="Q306" s="497" t="s">
        <v>808</v>
      </c>
    </row>
    <row r="307" spans="1:17" x14ac:dyDescent="0.25">
      <c r="A307" s="488"/>
      <c r="B307" s="551" t="s">
        <v>1313</v>
      </c>
      <c r="C307" s="717"/>
      <c r="D307" s="708"/>
      <c r="E307" s="708"/>
      <c r="F307" s="708"/>
      <c r="G307" s="708">
        <v>-5000</v>
      </c>
      <c r="H307" s="469">
        <f t="shared" si="208"/>
        <v>-5000</v>
      </c>
      <c r="I307" s="717"/>
      <c r="J307" s="717"/>
      <c r="K307" s="720"/>
      <c r="L307" s="479">
        <f t="shared" si="209"/>
        <v>0</v>
      </c>
      <c r="M307" s="717"/>
      <c r="N307" s="720"/>
      <c r="O307" s="719"/>
      <c r="P307" s="469">
        <f t="shared" si="210"/>
        <v>-5000</v>
      </c>
      <c r="Q307" s="497" t="s">
        <v>808</v>
      </c>
    </row>
    <row r="308" spans="1:17" x14ac:dyDescent="0.25">
      <c r="A308" s="488"/>
      <c r="B308" s="551" t="s">
        <v>1314</v>
      </c>
      <c r="C308" s="717"/>
      <c r="D308" s="708"/>
      <c r="E308" s="708"/>
      <c r="F308" s="708"/>
      <c r="G308" s="708">
        <v>-500</v>
      </c>
      <c r="H308" s="469">
        <f t="shared" si="208"/>
        <v>-500</v>
      </c>
      <c r="I308" s="717"/>
      <c r="J308" s="717"/>
      <c r="K308" s="720"/>
      <c r="L308" s="479">
        <f t="shared" si="209"/>
        <v>0</v>
      </c>
      <c r="M308" s="717"/>
      <c r="N308" s="720"/>
      <c r="O308" s="719"/>
      <c r="P308" s="469">
        <f t="shared" si="210"/>
        <v>-500</v>
      </c>
      <c r="Q308" s="497" t="s">
        <v>808</v>
      </c>
    </row>
    <row r="309" spans="1:17" x14ac:dyDescent="0.25">
      <c r="A309" s="488"/>
      <c r="B309" s="551" t="s">
        <v>1315</v>
      </c>
      <c r="C309" s="717"/>
      <c r="D309" s="708"/>
      <c r="E309" s="708"/>
      <c r="F309" s="708"/>
      <c r="G309" s="708">
        <v>-500</v>
      </c>
      <c r="H309" s="469">
        <f t="shared" si="205"/>
        <v>-500</v>
      </c>
      <c r="I309" s="717"/>
      <c r="J309" s="717"/>
      <c r="K309" s="720"/>
      <c r="L309" s="479">
        <f t="shared" si="206"/>
        <v>0</v>
      </c>
      <c r="M309" s="717"/>
      <c r="N309" s="720"/>
      <c r="O309" s="719"/>
      <c r="P309" s="469">
        <f t="shared" si="207"/>
        <v>-500</v>
      </c>
      <c r="Q309" s="497" t="s">
        <v>808</v>
      </c>
    </row>
    <row r="310" spans="1:17" x14ac:dyDescent="0.25">
      <c r="A310" s="488"/>
      <c r="B310" s="551" t="s">
        <v>1316</v>
      </c>
      <c r="C310" s="717"/>
      <c r="D310" s="708"/>
      <c r="E310" s="708"/>
      <c r="F310" s="708"/>
      <c r="G310" s="708">
        <v>-500</v>
      </c>
      <c r="H310" s="469">
        <f t="shared" si="205"/>
        <v>-500</v>
      </c>
      <c r="I310" s="717"/>
      <c r="J310" s="717"/>
      <c r="K310" s="720"/>
      <c r="L310" s="479">
        <f t="shared" si="206"/>
        <v>0</v>
      </c>
      <c r="M310" s="717"/>
      <c r="N310" s="720"/>
      <c r="O310" s="719"/>
      <c r="P310" s="469">
        <f t="shared" si="207"/>
        <v>-500</v>
      </c>
      <c r="Q310" s="497" t="s">
        <v>808</v>
      </c>
    </row>
    <row r="311" spans="1:17" ht="31.5" x14ac:dyDescent="0.25">
      <c r="A311" s="488"/>
      <c r="B311" s="551" t="s">
        <v>1317</v>
      </c>
      <c r="C311" s="717"/>
      <c r="D311" s="708"/>
      <c r="E311" s="708"/>
      <c r="F311" s="708"/>
      <c r="G311" s="708">
        <v>-1000</v>
      </c>
      <c r="H311" s="469">
        <f t="shared" ref="H311" si="211">SUM(C311:G311)</f>
        <v>-1000</v>
      </c>
      <c r="I311" s="717"/>
      <c r="J311" s="717"/>
      <c r="K311" s="720"/>
      <c r="L311" s="479">
        <f t="shared" ref="L311" si="212">SUM(I311:K311)</f>
        <v>0</v>
      </c>
      <c r="M311" s="717"/>
      <c r="N311" s="720"/>
      <c r="O311" s="719"/>
      <c r="P311" s="469">
        <f t="shared" ref="P311" si="213">O311+L311+H311</f>
        <v>-1000</v>
      </c>
      <c r="Q311" s="497" t="s">
        <v>808</v>
      </c>
    </row>
    <row r="312" spans="1:17" ht="31.5" x14ac:dyDescent="0.25">
      <c r="A312" s="488"/>
      <c r="B312" s="551" t="s">
        <v>1318</v>
      </c>
      <c r="C312" s="717"/>
      <c r="D312" s="708"/>
      <c r="E312" s="708"/>
      <c r="F312" s="708"/>
      <c r="G312" s="708">
        <v>-24300</v>
      </c>
      <c r="H312" s="469">
        <f t="shared" si="205"/>
        <v>-24300</v>
      </c>
      <c r="I312" s="717"/>
      <c r="J312" s="717"/>
      <c r="K312" s="720"/>
      <c r="L312" s="479">
        <f t="shared" si="206"/>
        <v>0</v>
      </c>
      <c r="M312" s="717"/>
      <c r="N312" s="720"/>
      <c r="O312" s="719"/>
      <c r="P312" s="469">
        <f t="shared" si="207"/>
        <v>-24300</v>
      </c>
      <c r="Q312" s="497" t="s">
        <v>808</v>
      </c>
    </row>
    <row r="313" spans="1:17" x14ac:dyDescent="0.25">
      <c r="A313" s="488"/>
      <c r="B313" s="551"/>
      <c r="C313" s="717"/>
      <c r="D313" s="708"/>
      <c r="E313" s="708"/>
      <c r="F313" s="708"/>
      <c r="G313" s="708"/>
      <c r="H313" s="469">
        <f t="shared" si="205"/>
        <v>0</v>
      </c>
      <c r="I313" s="717"/>
      <c r="J313" s="717"/>
      <c r="K313" s="720"/>
      <c r="L313" s="479">
        <f t="shared" si="206"/>
        <v>0</v>
      </c>
      <c r="M313" s="717"/>
      <c r="N313" s="720"/>
      <c r="O313" s="719"/>
      <c r="P313" s="469">
        <f t="shared" si="207"/>
        <v>0</v>
      </c>
    </row>
    <row r="314" spans="1:17" x14ac:dyDescent="0.25">
      <c r="A314" s="488" t="s">
        <v>96</v>
      </c>
      <c r="B314" s="499" t="s">
        <v>880</v>
      </c>
      <c r="C314" s="717"/>
      <c r="D314" s="708"/>
      <c r="E314" s="708"/>
      <c r="F314" s="708"/>
      <c r="G314" s="718"/>
      <c r="H314" s="469"/>
      <c r="I314" s="717"/>
      <c r="J314" s="717"/>
      <c r="K314" s="720"/>
      <c r="L314" s="479"/>
      <c r="M314" s="717"/>
      <c r="N314" s="720"/>
      <c r="O314" s="719"/>
      <c r="P314" s="469"/>
    </row>
    <row r="315" spans="1:17" x14ac:dyDescent="0.25">
      <c r="A315" s="488"/>
      <c r="B315" s="491" t="s">
        <v>690</v>
      </c>
      <c r="C315" s="717"/>
      <c r="D315" s="708"/>
      <c r="E315" s="708"/>
      <c r="F315" s="708"/>
      <c r="G315" s="718"/>
      <c r="H315" s="469"/>
      <c r="I315" s="717"/>
      <c r="J315" s="717"/>
      <c r="K315" s="720"/>
      <c r="L315" s="479"/>
      <c r="M315" s="717"/>
      <c r="N315" s="720"/>
      <c r="O315" s="719"/>
      <c r="P315" s="469"/>
    </row>
    <row r="316" spans="1:17" x14ac:dyDescent="0.25">
      <c r="A316" s="488"/>
      <c r="B316" s="551" t="s">
        <v>879</v>
      </c>
      <c r="C316" s="717"/>
      <c r="D316" s="708"/>
      <c r="E316" s="708"/>
      <c r="F316" s="708"/>
      <c r="G316" s="708">
        <v>252</v>
      </c>
      <c r="H316" s="469">
        <f t="shared" ref="H316" si="214">SUM(C316:G316)</f>
        <v>252</v>
      </c>
      <c r="I316" s="717"/>
      <c r="J316" s="717"/>
      <c r="K316" s="720"/>
      <c r="L316" s="479">
        <f t="shared" ref="L316" si="215">SUM(I316:K316)</f>
        <v>0</v>
      </c>
      <c r="M316" s="717"/>
      <c r="N316" s="720"/>
      <c r="O316" s="719"/>
      <c r="P316" s="469">
        <f t="shared" ref="P316" si="216">O316+L316+H316</f>
        <v>252</v>
      </c>
      <c r="Q316" s="497" t="s">
        <v>677</v>
      </c>
    </row>
    <row r="317" spans="1:17" x14ac:dyDescent="0.25">
      <c r="A317" s="488"/>
      <c r="B317" s="551"/>
      <c r="C317" s="717"/>
      <c r="D317" s="708"/>
      <c r="E317" s="708"/>
      <c r="F317" s="708"/>
      <c r="G317" s="718"/>
      <c r="H317" s="469"/>
      <c r="I317" s="717"/>
      <c r="J317" s="717"/>
      <c r="K317" s="720"/>
      <c r="L317" s="479"/>
      <c r="M317" s="717"/>
      <c r="N317" s="720"/>
      <c r="O317" s="719"/>
      <c r="P317" s="469"/>
    </row>
    <row r="318" spans="1:17" x14ac:dyDescent="0.25">
      <c r="A318" s="488" t="s">
        <v>97</v>
      </c>
      <c r="B318" s="499" t="s">
        <v>306</v>
      </c>
      <c r="C318" s="717"/>
      <c r="D318" s="708"/>
      <c r="E318" s="708"/>
      <c r="F318" s="708"/>
      <c r="G318" s="718"/>
      <c r="H318" s="469"/>
      <c r="I318" s="717"/>
      <c r="J318" s="717"/>
      <c r="K318" s="720"/>
      <c r="L318" s="479"/>
      <c r="M318" s="717"/>
      <c r="N318" s="720"/>
      <c r="O318" s="719"/>
      <c r="P318" s="469"/>
    </row>
    <row r="319" spans="1:17" x14ac:dyDescent="0.25">
      <c r="A319" s="488"/>
      <c r="B319" s="499" t="s">
        <v>637</v>
      </c>
      <c r="C319" s="717"/>
      <c r="D319" s="708"/>
      <c r="E319" s="708"/>
      <c r="F319" s="708"/>
      <c r="G319" s="718"/>
      <c r="H319" s="469"/>
      <c r="I319" s="717"/>
      <c r="J319" s="717"/>
      <c r="K319" s="720"/>
      <c r="L319" s="479"/>
      <c r="M319" s="717"/>
      <c r="N319" s="720"/>
      <c r="O319" s="719"/>
      <c r="P319" s="469"/>
    </row>
    <row r="320" spans="1:17" x14ac:dyDescent="0.25">
      <c r="A320" s="488"/>
      <c r="B320" s="491" t="s">
        <v>690</v>
      </c>
      <c r="C320" s="717"/>
      <c r="D320" s="708"/>
      <c r="E320" s="708"/>
      <c r="F320" s="708"/>
      <c r="G320" s="718"/>
      <c r="H320" s="469"/>
      <c r="I320" s="717"/>
      <c r="J320" s="717"/>
      <c r="K320" s="720"/>
      <c r="L320" s="479"/>
      <c r="M320" s="717"/>
      <c r="N320" s="720"/>
      <c r="O320" s="719"/>
      <c r="P320" s="469"/>
    </row>
    <row r="321" spans="1:17" x14ac:dyDescent="0.25">
      <c r="A321" s="488"/>
      <c r="B321" s="551" t="s">
        <v>912</v>
      </c>
      <c r="C321" s="717"/>
      <c r="D321" s="708"/>
      <c r="E321" s="708"/>
      <c r="F321" s="708"/>
      <c r="G321" s="708">
        <v>-4000</v>
      </c>
      <c r="H321" s="469">
        <f t="shared" ref="H321" si="217">SUM(C321:G321)</f>
        <v>-4000</v>
      </c>
      <c r="I321" s="717"/>
      <c r="J321" s="717"/>
      <c r="K321" s="720">
        <v>-1000</v>
      </c>
      <c r="L321" s="479">
        <f t="shared" ref="L321" si="218">SUM(I321:K321)</f>
        <v>-1000</v>
      </c>
      <c r="M321" s="717"/>
      <c r="N321" s="720"/>
      <c r="O321" s="719"/>
      <c r="P321" s="469">
        <f t="shared" ref="P321" si="219">O321+L321+H321</f>
        <v>-5000</v>
      </c>
      <c r="Q321" s="497" t="s">
        <v>674</v>
      </c>
    </row>
    <row r="322" spans="1:17" x14ac:dyDescent="0.25">
      <c r="A322" s="488"/>
      <c r="B322" s="551"/>
      <c r="C322" s="717"/>
      <c r="D322" s="708"/>
      <c r="E322" s="708"/>
      <c r="F322" s="708"/>
      <c r="G322" s="718"/>
      <c r="H322" s="469"/>
      <c r="I322" s="717"/>
      <c r="J322" s="717"/>
      <c r="K322" s="720"/>
      <c r="L322" s="479"/>
      <c r="M322" s="717"/>
      <c r="N322" s="720"/>
      <c r="O322" s="719"/>
      <c r="P322" s="469"/>
    </row>
    <row r="323" spans="1:17" x14ac:dyDescent="0.25">
      <c r="A323" s="488"/>
      <c r="B323" s="499" t="s">
        <v>639</v>
      </c>
      <c r="C323" s="717"/>
      <c r="D323" s="708"/>
      <c r="E323" s="708"/>
      <c r="F323" s="708"/>
      <c r="G323" s="718"/>
      <c r="H323" s="469"/>
      <c r="I323" s="717"/>
      <c r="J323" s="717"/>
      <c r="K323" s="720"/>
      <c r="L323" s="479"/>
      <c r="M323" s="717"/>
      <c r="N323" s="720"/>
      <c r="O323" s="719"/>
      <c r="P323" s="469"/>
    </row>
    <row r="324" spans="1:17" x14ac:dyDescent="0.25">
      <c r="A324" s="488"/>
      <c r="B324" s="491" t="s">
        <v>690</v>
      </c>
      <c r="C324" s="717"/>
      <c r="D324" s="708"/>
      <c r="E324" s="708"/>
      <c r="F324" s="708"/>
      <c r="G324" s="718"/>
      <c r="H324" s="469"/>
      <c r="I324" s="717"/>
      <c r="J324" s="717"/>
      <c r="K324" s="720"/>
      <c r="L324" s="479"/>
      <c r="M324" s="717"/>
      <c r="N324" s="720"/>
      <c r="O324" s="719"/>
      <c r="P324" s="469"/>
    </row>
    <row r="325" spans="1:17" x14ac:dyDescent="0.25">
      <c r="A325" s="488"/>
      <c r="B325" s="551" t="s">
        <v>902</v>
      </c>
      <c r="C325" s="717"/>
      <c r="D325" s="708"/>
      <c r="E325" s="708"/>
      <c r="F325" s="708"/>
      <c r="G325" s="708">
        <v>-3900</v>
      </c>
      <c r="H325" s="469">
        <f t="shared" ref="H325:H326" si="220">SUM(C325:G325)</f>
        <v>-3900</v>
      </c>
      <c r="I325" s="717"/>
      <c r="J325" s="717"/>
      <c r="K325" s="720"/>
      <c r="L325" s="479">
        <f t="shared" ref="L325:L326" si="221">SUM(I325:K325)</f>
        <v>0</v>
      </c>
      <c r="M325" s="717"/>
      <c r="N325" s="720"/>
      <c r="O325" s="719"/>
      <c r="P325" s="469">
        <f t="shared" ref="P325:P326" si="222">O325+L325+H325</f>
        <v>-3900</v>
      </c>
      <c r="Q325" s="497" t="s">
        <v>677</v>
      </c>
    </row>
    <row r="326" spans="1:17" x14ac:dyDescent="0.25">
      <c r="A326" s="488"/>
      <c r="B326" s="551" t="s">
        <v>906</v>
      </c>
      <c r="C326" s="717"/>
      <c r="D326" s="708"/>
      <c r="E326" s="708"/>
      <c r="F326" s="708"/>
      <c r="G326" s="708">
        <v>-2000</v>
      </c>
      <c r="H326" s="469">
        <f t="shared" si="220"/>
        <v>-2000</v>
      </c>
      <c r="I326" s="717"/>
      <c r="J326" s="717"/>
      <c r="K326" s="720"/>
      <c r="L326" s="479">
        <f t="shared" si="221"/>
        <v>0</v>
      </c>
      <c r="M326" s="717"/>
      <c r="N326" s="720"/>
      <c r="O326" s="719"/>
      <c r="P326" s="469">
        <f t="shared" si="222"/>
        <v>-2000</v>
      </c>
      <c r="Q326" s="497" t="s">
        <v>674</v>
      </c>
    </row>
    <row r="327" spans="1:17" x14ac:dyDescent="0.25">
      <c r="A327" s="488"/>
      <c r="B327" s="551" t="s">
        <v>906</v>
      </c>
      <c r="C327" s="717"/>
      <c r="D327" s="708"/>
      <c r="E327" s="708"/>
      <c r="F327" s="708"/>
      <c r="G327" s="708">
        <v>-38000</v>
      </c>
      <c r="H327" s="469">
        <f t="shared" ref="H327" si="223">SUM(C327:G327)</f>
        <v>-38000</v>
      </c>
      <c r="I327" s="717"/>
      <c r="J327" s="717"/>
      <c r="K327" s="720"/>
      <c r="L327" s="479">
        <f t="shared" ref="L327" si="224">SUM(I327:K327)</f>
        <v>0</v>
      </c>
      <c r="M327" s="717"/>
      <c r="N327" s="720"/>
      <c r="O327" s="719"/>
      <c r="P327" s="469">
        <f t="shared" ref="P327" si="225">O327+L327+H327</f>
        <v>-38000</v>
      </c>
      <c r="Q327" s="497" t="s">
        <v>674</v>
      </c>
    </row>
    <row r="328" spans="1:17" x14ac:dyDescent="0.25">
      <c r="A328" s="488"/>
      <c r="B328" s="551"/>
      <c r="C328" s="717"/>
      <c r="D328" s="708"/>
      <c r="E328" s="708"/>
      <c r="F328" s="708"/>
      <c r="G328" s="718"/>
      <c r="H328" s="469"/>
      <c r="I328" s="717"/>
      <c r="J328" s="717"/>
      <c r="K328" s="720"/>
      <c r="L328" s="479"/>
      <c r="M328" s="717"/>
      <c r="N328" s="720"/>
      <c r="O328" s="719"/>
      <c r="P328" s="469"/>
    </row>
    <row r="329" spans="1:17" x14ac:dyDescent="0.25">
      <c r="A329" s="488"/>
      <c r="B329" s="491" t="s">
        <v>690</v>
      </c>
      <c r="C329" s="717"/>
      <c r="D329" s="708"/>
      <c r="E329" s="708"/>
      <c r="F329" s="708"/>
      <c r="G329" s="718"/>
      <c r="H329" s="469"/>
      <c r="I329" s="717"/>
      <c r="J329" s="717"/>
      <c r="K329" s="720"/>
      <c r="L329" s="479"/>
      <c r="M329" s="717"/>
      <c r="N329" s="720"/>
      <c r="O329" s="719"/>
      <c r="P329" s="469"/>
    </row>
    <row r="330" spans="1:17" x14ac:dyDescent="0.25">
      <c r="A330" s="488"/>
      <c r="B330" s="551" t="s">
        <v>881</v>
      </c>
      <c r="C330" s="717"/>
      <c r="D330" s="708"/>
      <c r="E330" s="708"/>
      <c r="F330" s="708"/>
      <c r="G330" s="708"/>
      <c r="H330" s="469">
        <f t="shared" ref="H330" si="226">SUM(C330:G330)</f>
        <v>0</v>
      </c>
      <c r="I330" s="717">
        <v>-25400</v>
      </c>
      <c r="J330" s="717"/>
      <c r="K330" s="720"/>
      <c r="L330" s="479">
        <f t="shared" ref="L330" si="227">SUM(I330:K330)</f>
        <v>-25400</v>
      </c>
      <c r="M330" s="717"/>
      <c r="N330" s="720"/>
      <c r="O330" s="719"/>
      <c r="P330" s="469">
        <f t="shared" ref="P330" si="228">O330+L330+H330</f>
        <v>-25400</v>
      </c>
      <c r="Q330" s="497" t="s">
        <v>677</v>
      </c>
    </row>
    <row r="331" spans="1:17" x14ac:dyDescent="0.25">
      <c r="A331" s="488"/>
      <c r="B331" s="499"/>
      <c r="C331" s="717"/>
      <c r="D331" s="708"/>
      <c r="E331" s="708"/>
      <c r="F331" s="708"/>
      <c r="G331" s="718"/>
      <c r="H331" s="469"/>
      <c r="I331" s="717"/>
      <c r="J331" s="717"/>
      <c r="K331" s="720"/>
      <c r="L331" s="479"/>
      <c r="M331" s="717"/>
      <c r="N331" s="720"/>
      <c r="O331" s="719"/>
      <c r="P331" s="469"/>
    </row>
    <row r="332" spans="1:17" x14ac:dyDescent="0.25">
      <c r="A332" s="488"/>
      <c r="B332" s="491" t="s">
        <v>918</v>
      </c>
      <c r="C332" s="717"/>
      <c r="D332" s="708"/>
      <c r="E332" s="708"/>
      <c r="F332" s="708"/>
      <c r="G332" s="718"/>
      <c r="H332" s="469"/>
      <c r="I332" s="717"/>
      <c r="J332" s="717"/>
      <c r="K332" s="720"/>
      <c r="L332" s="479"/>
      <c r="M332" s="717"/>
      <c r="N332" s="720"/>
      <c r="O332" s="719"/>
      <c r="P332" s="469"/>
    </row>
    <row r="333" spans="1:17" x14ac:dyDescent="0.25">
      <c r="A333" s="488"/>
      <c r="B333" s="551" t="s">
        <v>640</v>
      </c>
      <c r="C333" s="717"/>
      <c r="D333" s="708"/>
      <c r="E333" s="708"/>
      <c r="F333" s="708"/>
      <c r="G333" s="708">
        <v>-1500</v>
      </c>
      <c r="H333" s="469">
        <f t="shared" ref="H333:H334" si="229">SUM(C333:G333)</f>
        <v>-1500</v>
      </c>
      <c r="I333" s="717"/>
      <c r="J333" s="717"/>
      <c r="K333" s="720"/>
      <c r="L333" s="479">
        <f t="shared" ref="L333:L334" si="230">SUM(I333:K333)</f>
        <v>0</v>
      </c>
      <c r="M333" s="717"/>
      <c r="N333" s="720"/>
      <c r="O333" s="719"/>
      <c r="P333" s="469">
        <f t="shared" ref="P333:P334" si="231">O333+L333+H333</f>
        <v>-1500</v>
      </c>
      <c r="Q333" s="497" t="s">
        <v>808</v>
      </c>
    </row>
    <row r="334" spans="1:17" x14ac:dyDescent="0.25">
      <c r="A334" s="488"/>
      <c r="B334" s="551" t="s">
        <v>641</v>
      </c>
      <c r="C334" s="717"/>
      <c r="D334" s="708"/>
      <c r="E334" s="708"/>
      <c r="F334" s="708"/>
      <c r="G334" s="708">
        <v>-3500</v>
      </c>
      <c r="H334" s="469">
        <f t="shared" si="229"/>
        <v>-3500</v>
      </c>
      <c r="I334" s="717"/>
      <c r="J334" s="717"/>
      <c r="K334" s="720"/>
      <c r="L334" s="479">
        <f t="shared" si="230"/>
        <v>0</v>
      </c>
      <c r="M334" s="717"/>
      <c r="N334" s="720"/>
      <c r="O334" s="719"/>
      <c r="P334" s="469">
        <f t="shared" si="231"/>
        <v>-3500</v>
      </c>
      <c r="Q334" s="497" t="s">
        <v>673</v>
      </c>
    </row>
    <row r="335" spans="1:17" x14ac:dyDescent="0.25">
      <c r="A335" s="488"/>
      <c r="B335" s="551" t="s">
        <v>641</v>
      </c>
      <c r="C335" s="717"/>
      <c r="D335" s="708"/>
      <c r="E335" s="708"/>
      <c r="F335" s="708"/>
      <c r="G335" s="708">
        <v>-5250</v>
      </c>
      <c r="H335" s="469">
        <f t="shared" ref="H335" si="232">SUM(C335:G335)</f>
        <v>-5250</v>
      </c>
      <c r="I335" s="717"/>
      <c r="J335" s="717"/>
      <c r="K335" s="720"/>
      <c r="L335" s="479">
        <f t="shared" ref="L335" si="233">SUM(I335:K335)</f>
        <v>0</v>
      </c>
      <c r="M335" s="717"/>
      <c r="N335" s="720"/>
      <c r="O335" s="719"/>
      <c r="P335" s="469">
        <f t="shared" ref="P335" si="234">O335+L335+H335</f>
        <v>-5250</v>
      </c>
      <c r="Q335" s="497" t="s">
        <v>808</v>
      </c>
    </row>
    <row r="336" spans="1:17" x14ac:dyDescent="0.25">
      <c r="A336" s="488"/>
      <c r="B336" s="551" t="s">
        <v>69</v>
      </c>
      <c r="C336" s="717"/>
      <c r="D336" s="708"/>
      <c r="E336" s="708"/>
      <c r="F336" s="708"/>
      <c r="G336" s="708">
        <v>-15000</v>
      </c>
      <c r="H336" s="469">
        <f t="shared" ref="H336" si="235">SUM(C336:G336)</f>
        <v>-15000</v>
      </c>
      <c r="I336" s="717"/>
      <c r="J336" s="717"/>
      <c r="K336" s="720"/>
      <c r="L336" s="479">
        <f t="shared" ref="L336" si="236">SUM(I336:K336)</f>
        <v>0</v>
      </c>
      <c r="M336" s="717"/>
      <c r="N336" s="720"/>
      <c r="O336" s="719"/>
      <c r="P336" s="469">
        <f t="shared" ref="P336" si="237">O336+L336+H336</f>
        <v>-15000</v>
      </c>
      <c r="Q336" s="497" t="s">
        <v>673</v>
      </c>
    </row>
    <row r="337" spans="1:17" x14ac:dyDescent="0.25">
      <c r="A337" s="488"/>
      <c r="B337" s="551"/>
      <c r="C337" s="717"/>
      <c r="D337" s="708"/>
      <c r="E337" s="708"/>
      <c r="F337" s="708"/>
      <c r="G337" s="718"/>
      <c r="H337" s="469"/>
      <c r="I337" s="717"/>
      <c r="J337" s="717"/>
      <c r="K337" s="720"/>
      <c r="L337" s="479"/>
      <c r="M337" s="717"/>
      <c r="N337" s="720"/>
      <c r="O337" s="719"/>
      <c r="P337" s="469"/>
    </row>
    <row r="338" spans="1:17" x14ac:dyDescent="0.25">
      <c r="A338" s="488"/>
      <c r="B338" s="499" t="s">
        <v>98</v>
      </c>
      <c r="C338" s="717"/>
      <c r="D338" s="708"/>
      <c r="E338" s="708"/>
      <c r="F338" s="708"/>
      <c r="G338" s="718"/>
      <c r="H338" s="469"/>
      <c r="I338" s="717"/>
      <c r="J338" s="717"/>
      <c r="K338" s="720"/>
      <c r="L338" s="479"/>
      <c r="M338" s="717"/>
      <c r="N338" s="720"/>
      <c r="O338" s="719"/>
      <c r="P338" s="469"/>
    </row>
    <row r="339" spans="1:17" x14ac:dyDescent="0.25">
      <c r="A339" s="488"/>
      <c r="B339" s="491" t="s">
        <v>918</v>
      </c>
      <c r="C339" s="717"/>
      <c r="D339" s="708"/>
      <c r="E339" s="708"/>
      <c r="F339" s="708"/>
      <c r="G339" s="718"/>
      <c r="H339" s="469"/>
      <c r="I339" s="717"/>
      <c r="J339" s="717"/>
      <c r="K339" s="720"/>
      <c r="L339" s="479"/>
      <c r="M339" s="717"/>
      <c r="N339" s="720"/>
      <c r="O339" s="719"/>
      <c r="P339" s="469"/>
    </row>
    <row r="340" spans="1:17" x14ac:dyDescent="0.25">
      <c r="A340" s="488"/>
      <c r="B340" s="551" t="s">
        <v>810</v>
      </c>
      <c r="C340" s="717"/>
      <c r="D340" s="708"/>
      <c r="E340" s="708"/>
      <c r="F340" s="708"/>
      <c r="G340" s="708">
        <v>-5000</v>
      </c>
      <c r="H340" s="469">
        <f t="shared" ref="H340" si="238">SUM(C340:G340)</f>
        <v>-5000</v>
      </c>
      <c r="I340" s="717"/>
      <c r="J340" s="717"/>
      <c r="K340" s="720"/>
      <c r="L340" s="479">
        <f t="shared" ref="L340" si="239">SUM(I340:K340)</f>
        <v>0</v>
      </c>
      <c r="M340" s="717"/>
      <c r="N340" s="720"/>
      <c r="O340" s="719"/>
      <c r="P340" s="469">
        <f t="shared" ref="P340" si="240">O340+L340+H340</f>
        <v>-5000</v>
      </c>
      <c r="Q340" s="497" t="s">
        <v>808</v>
      </c>
    </row>
    <row r="341" spans="1:17" x14ac:dyDescent="0.25">
      <c r="A341" s="488"/>
      <c r="B341" s="491" t="s">
        <v>1187</v>
      </c>
      <c r="C341" s="717"/>
      <c r="D341" s="708"/>
      <c r="E341" s="708"/>
      <c r="F341" s="708"/>
      <c r="G341" s="718"/>
      <c r="H341" s="469"/>
      <c r="I341" s="717"/>
      <c r="J341" s="717"/>
      <c r="K341" s="720"/>
      <c r="L341" s="479"/>
      <c r="M341" s="717"/>
      <c r="N341" s="720"/>
      <c r="O341" s="719"/>
      <c r="P341" s="469"/>
    </row>
    <row r="342" spans="1:17" ht="65.25" customHeight="1" x14ac:dyDescent="0.25">
      <c r="A342" s="488"/>
      <c r="B342" s="551" t="s">
        <v>1188</v>
      </c>
      <c r="C342" s="717"/>
      <c r="D342" s="708"/>
      <c r="E342" s="708"/>
      <c r="F342" s="708"/>
      <c r="G342" s="708">
        <v>-150</v>
      </c>
      <c r="H342" s="469">
        <f t="shared" ref="H342" si="241">SUM(C342:G342)</f>
        <v>-150</v>
      </c>
      <c r="I342" s="717"/>
      <c r="J342" s="717"/>
      <c r="K342" s="720"/>
      <c r="L342" s="479">
        <f t="shared" ref="L342" si="242">SUM(I342:K342)</f>
        <v>0</v>
      </c>
      <c r="M342" s="717"/>
      <c r="N342" s="720"/>
      <c r="O342" s="719"/>
      <c r="P342" s="469">
        <f t="shared" ref="P342" si="243">O342+L342+H342</f>
        <v>-150</v>
      </c>
      <c r="Q342" s="497" t="s">
        <v>808</v>
      </c>
    </row>
    <row r="343" spans="1:17" ht="63" x14ac:dyDescent="0.25">
      <c r="A343" s="488"/>
      <c r="B343" s="551" t="s">
        <v>1189</v>
      </c>
      <c r="C343" s="717"/>
      <c r="D343" s="708"/>
      <c r="E343" s="708"/>
      <c r="F343" s="708"/>
      <c r="G343" s="708">
        <v>-100</v>
      </c>
      <c r="H343" s="469">
        <f t="shared" ref="H343" si="244">SUM(C343:G343)</f>
        <v>-100</v>
      </c>
      <c r="I343" s="717"/>
      <c r="J343" s="717"/>
      <c r="K343" s="720"/>
      <c r="L343" s="479">
        <f t="shared" ref="L343" si="245">SUM(I343:K343)</f>
        <v>0</v>
      </c>
      <c r="M343" s="717"/>
      <c r="N343" s="720"/>
      <c r="O343" s="719"/>
      <c r="P343" s="469">
        <f t="shared" ref="P343" si="246">O343+L343+H343</f>
        <v>-100</v>
      </c>
      <c r="Q343" s="497" t="s">
        <v>808</v>
      </c>
    </row>
    <row r="344" spans="1:17" x14ac:dyDescent="0.25">
      <c r="A344" s="488"/>
      <c r="B344" s="551"/>
      <c r="C344" s="717"/>
      <c r="D344" s="708"/>
      <c r="E344" s="708"/>
      <c r="F344" s="708"/>
      <c r="G344" s="718"/>
      <c r="H344" s="469"/>
      <c r="I344" s="717"/>
      <c r="J344" s="717"/>
      <c r="K344" s="720"/>
      <c r="L344" s="479"/>
      <c r="M344" s="717"/>
      <c r="N344" s="720"/>
      <c r="O344" s="719"/>
      <c r="P344" s="469"/>
    </row>
    <row r="345" spans="1:17" x14ac:dyDescent="0.25">
      <c r="A345" s="488"/>
      <c r="B345" s="499" t="s">
        <v>99</v>
      </c>
      <c r="C345" s="717"/>
      <c r="D345" s="708"/>
      <c r="E345" s="708"/>
      <c r="F345" s="708"/>
      <c r="G345" s="718"/>
      <c r="H345" s="469"/>
      <c r="I345" s="717"/>
      <c r="J345" s="717"/>
      <c r="K345" s="720"/>
      <c r="L345" s="479"/>
      <c r="M345" s="717"/>
      <c r="N345" s="720"/>
      <c r="O345" s="719"/>
      <c r="P345" s="469"/>
    </row>
    <row r="346" spans="1:17" x14ac:dyDescent="0.25">
      <c r="A346" s="488"/>
      <c r="B346" s="491" t="s">
        <v>1187</v>
      </c>
      <c r="C346" s="717"/>
      <c r="D346" s="708"/>
      <c r="E346" s="708"/>
      <c r="F346" s="708"/>
      <c r="G346" s="718"/>
      <c r="H346" s="469"/>
      <c r="I346" s="717"/>
      <c r="J346" s="717"/>
      <c r="K346" s="720"/>
      <c r="L346" s="479"/>
      <c r="M346" s="717"/>
      <c r="N346" s="720"/>
      <c r="O346" s="719"/>
      <c r="P346" s="469"/>
    </row>
    <row r="347" spans="1:17" ht="47.25" x14ac:dyDescent="0.25">
      <c r="A347" s="488"/>
      <c r="B347" s="551" t="s">
        <v>1190</v>
      </c>
      <c r="C347" s="717"/>
      <c r="D347" s="708"/>
      <c r="E347" s="708"/>
      <c r="F347" s="708"/>
      <c r="G347" s="708">
        <v>-100</v>
      </c>
      <c r="H347" s="469">
        <f t="shared" ref="H347:H348" si="247">SUM(C347:G347)</f>
        <v>-100</v>
      </c>
      <c r="I347" s="717"/>
      <c r="J347" s="717"/>
      <c r="K347" s="720"/>
      <c r="L347" s="479">
        <f t="shared" ref="L347:L348" si="248">SUM(I347:K347)</f>
        <v>0</v>
      </c>
      <c r="M347" s="717"/>
      <c r="N347" s="720"/>
      <c r="O347" s="719"/>
      <c r="P347" s="469">
        <f t="shared" ref="P347:P348" si="249">O347+L347+H347</f>
        <v>-100</v>
      </c>
      <c r="Q347" s="497" t="s">
        <v>808</v>
      </c>
    </row>
    <row r="348" spans="1:17" ht="47.25" x14ac:dyDescent="0.25">
      <c r="A348" s="488"/>
      <c r="B348" s="551" t="s">
        <v>1191</v>
      </c>
      <c r="C348" s="717"/>
      <c r="D348" s="708"/>
      <c r="E348" s="708"/>
      <c r="F348" s="708"/>
      <c r="G348" s="708">
        <v>-50</v>
      </c>
      <c r="H348" s="469">
        <f t="shared" si="247"/>
        <v>-50</v>
      </c>
      <c r="I348" s="717"/>
      <c r="J348" s="717"/>
      <c r="K348" s="720"/>
      <c r="L348" s="479">
        <f t="shared" si="248"/>
        <v>0</v>
      </c>
      <c r="M348" s="717"/>
      <c r="N348" s="720"/>
      <c r="O348" s="719"/>
      <c r="P348" s="469">
        <f t="shared" si="249"/>
        <v>-50</v>
      </c>
      <c r="Q348" s="497" t="s">
        <v>808</v>
      </c>
    </row>
    <row r="349" spans="1:17" ht="47.25" x14ac:dyDescent="0.25">
      <c r="A349" s="488"/>
      <c r="B349" s="551" t="s">
        <v>1192</v>
      </c>
      <c r="C349" s="717"/>
      <c r="D349" s="708"/>
      <c r="E349" s="708"/>
      <c r="F349" s="708"/>
      <c r="G349" s="708">
        <v>-150</v>
      </c>
      <c r="H349" s="469">
        <f t="shared" ref="H349:H350" si="250">SUM(C349:G349)</f>
        <v>-150</v>
      </c>
      <c r="I349" s="717"/>
      <c r="J349" s="717"/>
      <c r="K349" s="720"/>
      <c r="L349" s="479">
        <f t="shared" ref="L349:L350" si="251">SUM(I349:K349)</f>
        <v>0</v>
      </c>
      <c r="M349" s="717"/>
      <c r="N349" s="720"/>
      <c r="O349" s="719"/>
      <c r="P349" s="469">
        <f t="shared" ref="P349:P350" si="252">O349+L349+H349</f>
        <v>-150</v>
      </c>
      <c r="Q349" s="497" t="s">
        <v>808</v>
      </c>
    </row>
    <row r="350" spans="1:17" ht="63" x14ac:dyDescent="0.25">
      <c r="A350" s="488"/>
      <c r="B350" s="551" t="s">
        <v>1189</v>
      </c>
      <c r="C350" s="717"/>
      <c r="D350" s="708"/>
      <c r="E350" s="708"/>
      <c r="F350" s="708"/>
      <c r="G350" s="708">
        <v>-50</v>
      </c>
      <c r="H350" s="469">
        <f t="shared" si="250"/>
        <v>-50</v>
      </c>
      <c r="I350" s="717"/>
      <c r="J350" s="717"/>
      <c r="K350" s="720"/>
      <c r="L350" s="479">
        <f t="shared" si="251"/>
        <v>0</v>
      </c>
      <c r="M350" s="717"/>
      <c r="N350" s="720"/>
      <c r="O350" s="719"/>
      <c r="P350" s="469">
        <f t="shared" si="252"/>
        <v>-50</v>
      </c>
      <c r="Q350" s="497" t="s">
        <v>808</v>
      </c>
    </row>
    <row r="351" spans="1:17" x14ac:dyDescent="0.25">
      <c r="A351" s="488"/>
      <c r="B351" s="491" t="s">
        <v>690</v>
      </c>
      <c r="C351" s="717"/>
      <c r="D351" s="708"/>
      <c r="E351" s="708"/>
      <c r="F351" s="708"/>
      <c r="G351" s="718"/>
      <c r="H351" s="469"/>
      <c r="I351" s="717"/>
      <c r="J351" s="717"/>
      <c r="K351" s="720"/>
      <c r="L351" s="479"/>
      <c r="M351" s="717"/>
      <c r="N351" s="720"/>
      <c r="O351" s="719"/>
      <c r="P351" s="469"/>
    </row>
    <row r="352" spans="1:17" x14ac:dyDescent="0.25">
      <c r="A352" s="488"/>
      <c r="B352" s="551" t="s">
        <v>907</v>
      </c>
      <c r="C352" s="717"/>
      <c r="D352" s="708"/>
      <c r="E352" s="708"/>
      <c r="F352" s="708"/>
      <c r="G352" s="708">
        <v>-25</v>
      </c>
      <c r="H352" s="469">
        <f t="shared" ref="H352" si="253">SUM(C352:G352)</f>
        <v>-25</v>
      </c>
      <c r="I352" s="717"/>
      <c r="J352" s="717"/>
      <c r="K352" s="720"/>
      <c r="L352" s="479">
        <f t="shared" ref="L352" si="254">SUM(I352:K352)</f>
        <v>0</v>
      </c>
      <c r="M352" s="717"/>
      <c r="N352" s="720"/>
      <c r="O352" s="719"/>
      <c r="P352" s="469">
        <f t="shared" ref="P352" si="255">O352+L352+H352</f>
        <v>-25</v>
      </c>
      <c r="Q352" s="497" t="s">
        <v>808</v>
      </c>
    </row>
    <row r="353" spans="1:17" ht="16.5" thickBot="1" x14ac:dyDescent="0.3">
      <c r="A353" s="488"/>
      <c r="B353" s="490"/>
      <c r="C353" s="717"/>
      <c r="D353" s="708"/>
      <c r="E353" s="708"/>
      <c r="F353" s="708"/>
      <c r="G353" s="718"/>
      <c r="H353" s="469"/>
      <c r="I353" s="717"/>
      <c r="J353" s="717"/>
      <c r="K353" s="720"/>
      <c r="L353" s="479"/>
      <c r="M353" s="717"/>
      <c r="N353" s="720"/>
      <c r="O353" s="719"/>
      <c r="P353" s="469"/>
    </row>
    <row r="354" spans="1:17" ht="16.5" thickBot="1" x14ac:dyDescent="0.3">
      <c r="A354" s="500" t="s">
        <v>44</v>
      </c>
      <c r="B354" s="501" t="s">
        <v>45</v>
      </c>
      <c r="C354" s="502">
        <f t="shared" ref="C354:P354" si="256">SUM(C9:C353)</f>
        <v>398249</v>
      </c>
      <c r="D354" s="502">
        <f t="shared" si="256"/>
        <v>98069</v>
      </c>
      <c r="E354" s="502">
        <f t="shared" si="256"/>
        <v>8961959</v>
      </c>
      <c r="F354" s="502">
        <f t="shared" si="256"/>
        <v>220370</v>
      </c>
      <c r="G354" s="502">
        <f t="shared" si="256"/>
        <v>11719550</v>
      </c>
      <c r="H354" s="502">
        <f t="shared" si="256"/>
        <v>21398197</v>
      </c>
      <c r="I354" s="502">
        <f t="shared" si="256"/>
        <v>23745405</v>
      </c>
      <c r="J354" s="502">
        <f t="shared" si="256"/>
        <v>340659</v>
      </c>
      <c r="K354" s="502">
        <f t="shared" si="256"/>
        <v>1436954</v>
      </c>
      <c r="L354" s="502">
        <f t="shared" si="256"/>
        <v>25523018</v>
      </c>
      <c r="M354" s="502">
        <f t="shared" si="256"/>
        <v>400000</v>
      </c>
      <c r="N354" s="502">
        <f t="shared" si="256"/>
        <v>736816</v>
      </c>
      <c r="O354" s="502">
        <f t="shared" si="256"/>
        <v>1136816</v>
      </c>
      <c r="P354" s="502">
        <f t="shared" si="256"/>
        <v>48058031</v>
      </c>
    </row>
    <row r="355" spans="1:17" x14ac:dyDescent="0.25">
      <c r="A355" s="721"/>
      <c r="B355" s="480" t="s">
        <v>74</v>
      </c>
      <c r="C355" s="552"/>
      <c r="D355" s="714"/>
      <c r="E355" s="714"/>
      <c r="F355" s="715"/>
      <c r="G355" s="715"/>
      <c r="H355" s="469"/>
      <c r="I355" s="552"/>
      <c r="J355" s="552"/>
      <c r="K355" s="715"/>
      <c r="L355" s="469"/>
      <c r="M355" s="467"/>
      <c r="N355" s="715"/>
      <c r="O355" s="716"/>
      <c r="P355" s="469"/>
      <c r="Q355" s="497" t="s">
        <v>914</v>
      </c>
    </row>
    <row r="356" spans="1:17" x14ac:dyDescent="0.25">
      <c r="A356" s="488"/>
      <c r="B356" s="491" t="s">
        <v>690</v>
      </c>
      <c r="C356" s="717"/>
      <c r="D356" s="708"/>
      <c r="E356" s="708"/>
      <c r="F356" s="708"/>
      <c r="G356" s="718"/>
      <c r="H356" s="469">
        <f t="shared" ref="H356:H358" si="257">SUM(C356:G356)</f>
        <v>0</v>
      </c>
      <c r="I356" s="717"/>
      <c r="J356" s="717"/>
      <c r="K356" s="720"/>
      <c r="L356" s="479">
        <f t="shared" ref="L356:L358" si="258">SUM(I356:K356)</f>
        <v>0</v>
      </c>
      <c r="M356" s="717"/>
      <c r="N356" s="720"/>
      <c r="O356" s="719"/>
      <c r="P356" s="469">
        <f t="shared" ref="P356:P358" si="259">O356+L356+H356</f>
        <v>0</v>
      </c>
    </row>
    <row r="357" spans="1:17" ht="94.5" x14ac:dyDescent="0.25">
      <c r="A357" s="488"/>
      <c r="B357" s="551" t="s">
        <v>1303</v>
      </c>
      <c r="C357" s="717"/>
      <c r="D357" s="708"/>
      <c r="E357" s="708"/>
      <c r="F357" s="708"/>
      <c r="G357" s="718"/>
      <c r="H357" s="469">
        <f t="shared" si="257"/>
        <v>0</v>
      </c>
      <c r="I357" s="717"/>
      <c r="J357" s="717"/>
      <c r="K357" s="720"/>
      <c r="L357" s="479">
        <f t="shared" si="258"/>
        <v>0</v>
      </c>
      <c r="M357" s="717">
        <v>6145</v>
      </c>
      <c r="N357" s="720"/>
      <c r="O357" s="719"/>
      <c r="P357" s="469">
        <f t="shared" si="259"/>
        <v>0</v>
      </c>
    </row>
    <row r="358" spans="1:17" ht="31.5" x14ac:dyDescent="0.25">
      <c r="A358" s="488"/>
      <c r="B358" s="551" t="s">
        <v>878</v>
      </c>
      <c r="C358" s="717"/>
      <c r="D358" s="708"/>
      <c r="E358" s="708"/>
      <c r="F358" s="708"/>
      <c r="G358" s="718"/>
      <c r="H358" s="469">
        <f t="shared" si="257"/>
        <v>0</v>
      </c>
      <c r="I358" s="717"/>
      <c r="J358" s="717"/>
      <c r="K358" s="720"/>
      <c r="L358" s="479">
        <f t="shared" si="258"/>
        <v>0</v>
      </c>
      <c r="M358" s="717">
        <v>-2450</v>
      </c>
      <c r="N358" s="720"/>
      <c r="O358" s="719"/>
      <c r="P358" s="469">
        <f t="shared" si="259"/>
        <v>0</v>
      </c>
    </row>
    <row r="359" spans="1:17" ht="78.75" x14ac:dyDescent="0.25">
      <c r="A359" s="488"/>
      <c r="B359" s="551" t="s">
        <v>873</v>
      </c>
      <c r="C359" s="717"/>
      <c r="D359" s="708"/>
      <c r="E359" s="708"/>
      <c r="F359" s="708"/>
      <c r="G359" s="718"/>
      <c r="H359" s="469">
        <f t="shared" ref="H359:H361" si="260">SUM(C359:G359)</f>
        <v>0</v>
      </c>
      <c r="I359" s="717"/>
      <c r="J359" s="717"/>
      <c r="K359" s="720"/>
      <c r="L359" s="479">
        <f t="shared" ref="L359:L361" si="261">SUM(I359:K359)</f>
        <v>0</v>
      </c>
      <c r="M359" s="717">
        <v>-6375</v>
      </c>
      <c r="N359" s="720"/>
      <c r="O359" s="719"/>
      <c r="P359" s="469">
        <f t="shared" ref="P359:P361" si="262">O359+L359+H359</f>
        <v>0</v>
      </c>
    </row>
    <row r="360" spans="1:17" x14ac:dyDescent="0.25">
      <c r="A360" s="488"/>
      <c r="B360" s="551" t="s">
        <v>879</v>
      </c>
      <c r="C360" s="717"/>
      <c r="D360" s="708"/>
      <c r="E360" s="708"/>
      <c r="F360" s="708"/>
      <c r="G360" s="718"/>
      <c r="H360" s="469">
        <f t="shared" si="260"/>
        <v>0</v>
      </c>
      <c r="I360" s="717"/>
      <c r="J360" s="717"/>
      <c r="K360" s="720"/>
      <c r="L360" s="479">
        <f t="shared" si="261"/>
        <v>0</v>
      </c>
      <c r="M360" s="717">
        <v>-252</v>
      </c>
      <c r="N360" s="720"/>
      <c r="O360" s="719"/>
      <c r="P360" s="469">
        <f t="shared" si="262"/>
        <v>0</v>
      </c>
    </row>
    <row r="361" spans="1:17" x14ac:dyDescent="0.25">
      <c r="A361" s="488"/>
      <c r="B361" s="551" t="s">
        <v>881</v>
      </c>
      <c r="C361" s="717"/>
      <c r="D361" s="708"/>
      <c r="E361" s="708"/>
      <c r="F361" s="708"/>
      <c r="G361" s="718"/>
      <c r="H361" s="469">
        <f t="shared" si="260"/>
        <v>0</v>
      </c>
      <c r="I361" s="717"/>
      <c r="J361" s="717"/>
      <c r="K361" s="720"/>
      <c r="L361" s="479">
        <f t="shared" si="261"/>
        <v>0</v>
      </c>
      <c r="M361" s="717">
        <v>25400</v>
      </c>
      <c r="N361" s="720"/>
      <c r="O361" s="719"/>
      <c r="P361" s="469">
        <f t="shared" si="262"/>
        <v>0</v>
      </c>
    </row>
    <row r="362" spans="1:17" x14ac:dyDescent="0.25">
      <c r="A362" s="488"/>
      <c r="B362" s="551" t="s">
        <v>907</v>
      </c>
      <c r="C362" s="717"/>
      <c r="D362" s="708"/>
      <c r="E362" s="708"/>
      <c r="F362" s="708"/>
      <c r="G362" s="718"/>
      <c r="H362" s="469">
        <f t="shared" ref="H362:H363" si="263">SUM(C362:G362)</f>
        <v>0</v>
      </c>
      <c r="I362" s="717"/>
      <c r="J362" s="717"/>
      <c r="K362" s="720"/>
      <c r="L362" s="479">
        <f t="shared" ref="L362:L363" si="264">SUM(I362:K362)</f>
        <v>0</v>
      </c>
      <c r="M362" s="717">
        <v>25</v>
      </c>
      <c r="N362" s="720"/>
      <c r="O362" s="719"/>
      <c r="P362" s="469">
        <f t="shared" ref="P362:P363" si="265">O362+L362+H362</f>
        <v>0</v>
      </c>
    </row>
    <row r="363" spans="1:17" x14ac:dyDescent="0.25">
      <c r="A363" s="488"/>
      <c r="B363" s="551" t="s">
        <v>908</v>
      </c>
      <c r="C363" s="717"/>
      <c r="D363" s="708"/>
      <c r="E363" s="708"/>
      <c r="F363" s="708"/>
      <c r="G363" s="718"/>
      <c r="H363" s="469">
        <f t="shared" si="263"/>
        <v>0</v>
      </c>
      <c r="I363" s="717"/>
      <c r="J363" s="717"/>
      <c r="K363" s="720"/>
      <c r="L363" s="479">
        <f t="shared" si="264"/>
        <v>0</v>
      </c>
      <c r="M363" s="717">
        <v>164570</v>
      </c>
      <c r="N363" s="720"/>
      <c r="O363" s="719"/>
      <c r="P363" s="469">
        <f t="shared" si="265"/>
        <v>0</v>
      </c>
    </row>
    <row r="364" spans="1:17" x14ac:dyDescent="0.25">
      <c r="A364" s="488"/>
      <c r="B364" s="551" t="s">
        <v>913</v>
      </c>
      <c r="C364" s="717"/>
      <c r="D364" s="708"/>
      <c r="E364" s="708"/>
      <c r="F364" s="708"/>
      <c r="G364" s="718"/>
      <c r="H364" s="469">
        <f t="shared" ref="H364:H365" si="266">SUM(C364:G364)</f>
        <v>0</v>
      </c>
      <c r="I364" s="717"/>
      <c r="J364" s="717"/>
      <c r="K364" s="720"/>
      <c r="L364" s="479">
        <f t="shared" ref="L364:L365" si="267">SUM(I364:K364)</f>
        <v>0</v>
      </c>
      <c r="M364" s="717">
        <v>-20000</v>
      </c>
      <c r="N364" s="720"/>
      <c r="O364" s="719"/>
      <c r="P364" s="469">
        <f t="shared" ref="P364:P365" si="268">O364+L364+H364</f>
        <v>0</v>
      </c>
    </row>
    <row r="365" spans="1:17" ht="47.25" x14ac:dyDescent="0.25">
      <c r="A365" s="488"/>
      <c r="B365" s="551" t="s">
        <v>1006</v>
      </c>
      <c r="C365" s="717"/>
      <c r="D365" s="708"/>
      <c r="E365" s="708"/>
      <c r="F365" s="708"/>
      <c r="G365" s="718"/>
      <c r="H365" s="469">
        <f t="shared" si="266"/>
        <v>0</v>
      </c>
      <c r="I365" s="717"/>
      <c r="J365" s="717"/>
      <c r="K365" s="720"/>
      <c r="L365" s="479">
        <f t="shared" si="267"/>
        <v>0</v>
      </c>
      <c r="M365" s="717">
        <v>-50</v>
      </c>
      <c r="N365" s="720"/>
      <c r="O365" s="719"/>
      <c r="P365" s="469">
        <f t="shared" si="268"/>
        <v>0</v>
      </c>
    </row>
    <row r="366" spans="1:17" ht="31.5" x14ac:dyDescent="0.25">
      <c r="A366" s="488"/>
      <c r="B366" s="551" t="s">
        <v>1040</v>
      </c>
      <c r="C366" s="717"/>
      <c r="D366" s="708"/>
      <c r="E366" s="708"/>
      <c r="F366" s="708"/>
      <c r="G366" s="718"/>
      <c r="H366" s="469">
        <f t="shared" ref="H366:H369" si="269">SUM(C366:G366)</f>
        <v>0</v>
      </c>
      <c r="I366" s="717"/>
      <c r="J366" s="717"/>
      <c r="K366" s="720"/>
      <c r="L366" s="479">
        <f t="shared" ref="L366:L369" si="270">SUM(I366:K366)</f>
        <v>0</v>
      </c>
      <c r="M366" s="717">
        <v>-4</v>
      </c>
      <c r="N366" s="720"/>
      <c r="O366" s="719"/>
      <c r="P366" s="469">
        <f t="shared" ref="P366:P369" si="271">O366+L366+H366</f>
        <v>0</v>
      </c>
    </row>
    <row r="367" spans="1:17" ht="47.25" x14ac:dyDescent="0.25">
      <c r="A367" s="488"/>
      <c r="B367" s="551" t="s">
        <v>1042</v>
      </c>
      <c r="C367" s="717"/>
      <c r="D367" s="708"/>
      <c r="E367" s="708"/>
      <c r="F367" s="708"/>
      <c r="G367" s="718"/>
      <c r="H367" s="469">
        <f t="shared" si="269"/>
        <v>0</v>
      </c>
      <c r="I367" s="717"/>
      <c r="J367" s="717"/>
      <c r="K367" s="720"/>
      <c r="L367" s="479">
        <f t="shared" si="270"/>
        <v>0</v>
      </c>
      <c r="M367" s="717">
        <v>-784</v>
      </c>
      <c r="N367" s="720"/>
      <c r="O367" s="719"/>
      <c r="P367" s="469">
        <f t="shared" si="271"/>
        <v>0</v>
      </c>
    </row>
    <row r="368" spans="1:17" x14ac:dyDescent="0.25">
      <c r="A368" s="488"/>
      <c r="B368" s="551" t="s">
        <v>1054</v>
      </c>
      <c r="C368" s="717"/>
      <c r="D368" s="708"/>
      <c r="E368" s="708"/>
      <c r="F368" s="708"/>
      <c r="G368" s="718"/>
      <c r="H368" s="469">
        <f t="shared" ref="H368" si="272">SUM(C368:G368)</f>
        <v>0</v>
      </c>
      <c r="I368" s="717"/>
      <c r="J368" s="717"/>
      <c r="K368" s="720"/>
      <c r="L368" s="479">
        <f t="shared" ref="L368" si="273">SUM(I368:K368)</f>
        <v>0</v>
      </c>
      <c r="M368" s="717">
        <v>-12</v>
      </c>
      <c r="N368" s="720"/>
      <c r="O368" s="719"/>
      <c r="P368" s="469">
        <f t="shared" ref="P368" si="274">O368+L368+H368</f>
        <v>0</v>
      </c>
    </row>
    <row r="369" spans="1:17" ht="63" x14ac:dyDescent="0.25">
      <c r="A369" s="488"/>
      <c r="B369" s="551" t="s">
        <v>1055</v>
      </c>
      <c r="C369" s="717"/>
      <c r="D369" s="708"/>
      <c r="E369" s="708"/>
      <c r="F369" s="708"/>
      <c r="G369" s="718"/>
      <c r="H369" s="469">
        <f t="shared" si="269"/>
        <v>0</v>
      </c>
      <c r="I369" s="717"/>
      <c r="J369" s="717"/>
      <c r="K369" s="720"/>
      <c r="L369" s="479">
        <f t="shared" si="270"/>
        <v>0</v>
      </c>
      <c r="M369" s="717">
        <v>-11</v>
      </c>
      <c r="N369" s="720"/>
      <c r="O369" s="719"/>
      <c r="P369" s="469">
        <f t="shared" si="271"/>
        <v>0</v>
      </c>
    </row>
    <row r="370" spans="1:17" ht="47.25" x14ac:dyDescent="0.25">
      <c r="A370" s="488"/>
      <c r="B370" s="551" t="s">
        <v>1083</v>
      </c>
      <c r="C370" s="717"/>
      <c r="D370" s="708"/>
      <c r="E370" s="708"/>
      <c r="F370" s="708"/>
      <c r="G370" s="718"/>
      <c r="H370" s="469">
        <f t="shared" ref="H370" si="275">SUM(C370:G370)</f>
        <v>0</v>
      </c>
      <c r="I370" s="717"/>
      <c r="J370" s="717"/>
      <c r="K370" s="720"/>
      <c r="L370" s="479">
        <f t="shared" ref="L370" si="276">SUM(I370:K370)</f>
        <v>0</v>
      </c>
      <c r="M370" s="717">
        <v>-3000</v>
      </c>
      <c r="N370" s="720"/>
      <c r="O370" s="719"/>
      <c r="P370" s="469">
        <f t="shared" ref="P370" si="277">O370+L370+H370</f>
        <v>0</v>
      </c>
    </row>
    <row r="371" spans="1:17" ht="31.5" x14ac:dyDescent="0.25">
      <c r="A371" s="724"/>
      <c r="B371" s="709" t="s">
        <v>1375</v>
      </c>
      <c r="C371" s="717"/>
      <c r="D371" s="708"/>
      <c r="E371" s="708"/>
      <c r="F371" s="720"/>
      <c r="G371" s="720"/>
      <c r="H371" s="479"/>
      <c r="I371" s="717"/>
      <c r="J371" s="717"/>
      <c r="K371" s="720"/>
      <c r="L371" s="479"/>
      <c r="M371" s="717">
        <v>264898</v>
      </c>
      <c r="N371" s="720"/>
      <c r="O371" s="719"/>
      <c r="P371" s="469">
        <f t="shared" ref="P371" si="278">SUM(O371)</f>
        <v>0</v>
      </c>
      <c r="Q371" s="497" t="s">
        <v>677</v>
      </c>
    </row>
    <row r="372" spans="1:17" x14ac:dyDescent="0.25">
      <c r="A372" s="488"/>
      <c r="B372" s="551"/>
      <c r="C372" s="717"/>
      <c r="D372" s="708"/>
      <c r="E372" s="708"/>
      <c r="F372" s="720"/>
      <c r="G372" s="718"/>
      <c r="H372" s="469"/>
      <c r="I372" s="717"/>
      <c r="J372" s="717"/>
      <c r="K372" s="720"/>
      <c r="L372" s="479"/>
      <c r="M372" s="717"/>
      <c r="N372" s="720"/>
      <c r="O372" s="719"/>
      <c r="P372" s="469"/>
    </row>
    <row r="373" spans="1:17" ht="31.5" x14ac:dyDescent="0.25">
      <c r="A373" s="724"/>
      <c r="B373" s="491" t="s">
        <v>875</v>
      </c>
      <c r="C373" s="717"/>
      <c r="D373" s="708"/>
      <c r="E373" s="708"/>
      <c r="F373" s="720"/>
      <c r="G373" s="720"/>
      <c r="H373" s="479"/>
      <c r="I373" s="717"/>
      <c r="J373" s="717"/>
      <c r="K373" s="720"/>
      <c r="L373" s="479"/>
      <c r="M373" s="717"/>
      <c r="N373" s="720"/>
      <c r="O373" s="719"/>
      <c r="P373" s="469"/>
    </row>
    <row r="374" spans="1:17" x14ac:dyDescent="0.25">
      <c r="A374" s="724"/>
      <c r="B374" s="551" t="s">
        <v>871</v>
      </c>
      <c r="C374" s="717"/>
      <c r="D374" s="708"/>
      <c r="E374" s="708"/>
      <c r="F374" s="720"/>
      <c r="G374" s="720"/>
      <c r="H374" s="479"/>
      <c r="I374" s="717"/>
      <c r="J374" s="717"/>
      <c r="K374" s="720"/>
      <c r="L374" s="479"/>
      <c r="M374" s="717">
        <v>-1000</v>
      </c>
      <c r="N374" s="720"/>
      <c r="O374" s="719"/>
      <c r="P374" s="469">
        <f t="shared" ref="P374" si="279">SUM(O374)</f>
        <v>0</v>
      </c>
      <c r="Q374" s="497" t="s">
        <v>674</v>
      </c>
    </row>
    <row r="375" spans="1:17" x14ac:dyDescent="0.25">
      <c r="A375" s="721"/>
      <c r="B375" s="489"/>
      <c r="C375" s="552"/>
      <c r="D375" s="714"/>
      <c r="E375" s="714"/>
      <c r="F375" s="715"/>
      <c r="G375" s="715"/>
      <c r="H375" s="716"/>
      <c r="I375" s="552"/>
      <c r="J375" s="552"/>
      <c r="K375" s="715"/>
      <c r="L375" s="716"/>
      <c r="M375" s="552"/>
      <c r="N375" s="715"/>
      <c r="O375" s="716"/>
      <c r="P375" s="716"/>
    </row>
    <row r="376" spans="1:17" x14ac:dyDescent="0.25">
      <c r="A376" s="724"/>
      <c r="B376" s="491" t="s">
        <v>454</v>
      </c>
      <c r="C376" s="717"/>
      <c r="D376" s="708"/>
      <c r="E376" s="708"/>
      <c r="F376" s="720"/>
      <c r="G376" s="720"/>
      <c r="H376" s="479"/>
      <c r="I376" s="717"/>
      <c r="J376" s="717"/>
      <c r="K376" s="720"/>
      <c r="L376" s="479"/>
      <c r="M376" s="717"/>
      <c r="N376" s="720"/>
      <c r="O376" s="719"/>
      <c r="P376" s="469"/>
    </row>
    <row r="377" spans="1:17" ht="31.5" x14ac:dyDescent="0.25">
      <c r="A377" s="724"/>
      <c r="B377" s="551" t="s">
        <v>899</v>
      </c>
      <c r="C377" s="717"/>
      <c r="D377" s="708"/>
      <c r="E377" s="708"/>
      <c r="F377" s="720"/>
      <c r="G377" s="720"/>
      <c r="H377" s="479"/>
      <c r="I377" s="717"/>
      <c r="J377" s="717"/>
      <c r="K377" s="720"/>
      <c r="L377" s="479"/>
      <c r="M377" s="717">
        <v>800</v>
      </c>
      <c r="N377" s="720"/>
      <c r="O377" s="719"/>
      <c r="P377" s="469">
        <f t="shared" ref="P377" si="280">SUM(O377)</f>
        <v>0</v>
      </c>
      <c r="Q377" s="497" t="s">
        <v>674</v>
      </c>
    </row>
    <row r="378" spans="1:17" x14ac:dyDescent="0.25">
      <c r="A378" s="724"/>
      <c r="B378" s="551" t="s">
        <v>1021</v>
      </c>
      <c r="C378" s="717"/>
      <c r="D378" s="708"/>
      <c r="E378" s="708"/>
      <c r="F378" s="720"/>
      <c r="G378" s="720"/>
      <c r="H378" s="479"/>
      <c r="I378" s="717"/>
      <c r="J378" s="717"/>
      <c r="K378" s="720"/>
      <c r="L378" s="479"/>
      <c r="M378" s="717">
        <f>1+1</f>
        <v>2</v>
      </c>
      <c r="N378" s="720"/>
      <c r="O378" s="719"/>
      <c r="P378" s="469">
        <f t="shared" ref="P378" si="281">SUM(O378)</f>
        <v>0</v>
      </c>
      <c r="Q378" s="497" t="s">
        <v>674</v>
      </c>
    </row>
    <row r="379" spans="1:17" ht="31.5" x14ac:dyDescent="0.25">
      <c r="A379" s="724"/>
      <c r="B379" s="551" t="s">
        <v>1025</v>
      </c>
      <c r="C379" s="717"/>
      <c r="D379" s="708"/>
      <c r="E379" s="708"/>
      <c r="F379" s="720"/>
      <c r="G379" s="720"/>
      <c r="H379" s="479"/>
      <c r="I379" s="717"/>
      <c r="J379" s="717"/>
      <c r="K379" s="720"/>
      <c r="L379" s="479"/>
      <c r="M379" s="717">
        <v>400</v>
      </c>
      <c r="N379" s="720"/>
      <c r="O379" s="719"/>
      <c r="P379" s="469">
        <f t="shared" ref="P379" si="282">SUM(O379)</f>
        <v>0</v>
      </c>
      <c r="Q379" s="497" t="s">
        <v>674</v>
      </c>
    </row>
    <row r="380" spans="1:17" x14ac:dyDescent="0.25">
      <c r="A380" s="721"/>
      <c r="B380" s="489"/>
      <c r="C380" s="552"/>
      <c r="D380" s="714"/>
      <c r="E380" s="714"/>
      <c r="F380" s="715"/>
      <c r="G380" s="715"/>
      <c r="H380" s="716"/>
      <c r="I380" s="552"/>
      <c r="J380" s="552"/>
      <c r="K380" s="715"/>
      <c r="L380" s="716"/>
      <c r="M380" s="552"/>
      <c r="N380" s="715"/>
      <c r="O380" s="716"/>
      <c r="P380" s="716"/>
    </row>
    <row r="381" spans="1:17" x14ac:dyDescent="0.25">
      <c r="A381" s="724"/>
      <c r="B381" s="491" t="s">
        <v>918</v>
      </c>
      <c r="C381" s="717"/>
      <c r="D381" s="708"/>
      <c r="E381" s="708"/>
      <c r="F381" s="720"/>
      <c r="G381" s="720"/>
      <c r="H381" s="479"/>
      <c r="I381" s="717"/>
      <c r="J381" s="717"/>
      <c r="K381" s="720"/>
      <c r="L381" s="479"/>
      <c r="M381" s="717"/>
      <c r="N381" s="720"/>
      <c r="O381" s="719"/>
      <c r="P381" s="469"/>
    </row>
    <row r="382" spans="1:17" x14ac:dyDescent="0.25">
      <c r="A382" s="724"/>
      <c r="B382" s="709" t="s">
        <v>1011</v>
      </c>
      <c r="C382" s="717"/>
      <c r="D382" s="708"/>
      <c r="E382" s="708"/>
      <c r="F382" s="720"/>
      <c r="G382" s="720"/>
      <c r="H382" s="479"/>
      <c r="I382" s="717"/>
      <c r="J382" s="717"/>
      <c r="K382" s="720"/>
      <c r="L382" s="479"/>
      <c r="M382" s="717">
        <v>-420000</v>
      </c>
      <c r="N382" s="720"/>
      <c r="O382" s="719"/>
      <c r="P382" s="469">
        <f t="shared" ref="P382" si="283">SUM(O382)</f>
        <v>0</v>
      </c>
      <c r="Q382" s="497" t="s">
        <v>677</v>
      </c>
    </row>
    <row r="383" spans="1:17" x14ac:dyDescent="0.25">
      <c r="A383" s="724"/>
      <c r="B383" s="709" t="s">
        <v>1012</v>
      </c>
      <c r="C383" s="717"/>
      <c r="D383" s="708"/>
      <c r="E383" s="708"/>
      <c r="F383" s="720"/>
      <c r="G383" s="720"/>
      <c r="H383" s="479"/>
      <c r="I383" s="717"/>
      <c r="J383" s="717"/>
      <c r="K383" s="720"/>
      <c r="L383" s="479"/>
      <c r="M383" s="717">
        <v>-51302</v>
      </c>
      <c r="N383" s="720"/>
      <c r="O383" s="719"/>
      <c r="P383" s="469">
        <f t="shared" ref="P383:P385" si="284">SUM(O383)</f>
        <v>0</v>
      </c>
      <c r="Q383" s="497" t="s">
        <v>677</v>
      </c>
    </row>
    <row r="384" spans="1:17" x14ac:dyDescent="0.25">
      <c r="A384" s="724"/>
      <c r="B384" s="709" t="s">
        <v>1013</v>
      </c>
      <c r="C384" s="717"/>
      <c r="D384" s="708"/>
      <c r="E384" s="708"/>
      <c r="F384" s="720"/>
      <c r="G384" s="720"/>
      <c r="H384" s="479"/>
      <c r="I384" s="717"/>
      <c r="J384" s="717"/>
      <c r="K384" s="720"/>
      <c r="L384" s="479"/>
      <c r="M384" s="717">
        <v>-45000</v>
      </c>
      <c r="N384" s="720"/>
      <c r="O384" s="719"/>
      <c r="P384" s="469">
        <f t="shared" si="284"/>
        <v>0</v>
      </c>
      <c r="Q384" s="497" t="s">
        <v>677</v>
      </c>
    </row>
    <row r="385" spans="1:18" ht="31.5" x14ac:dyDescent="0.25">
      <c r="A385" s="724"/>
      <c r="B385" s="709" t="s">
        <v>1014</v>
      </c>
      <c r="C385" s="717"/>
      <c r="D385" s="708"/>
      <c r="E385" s="708"/>
      <c r="F385" s="720"/>
      <c r="G385" s="720"/>
      <c r="H385" s="479"/>
      <c r="I385" s="717"/>
      <c r="J385" s="717"/>
      <c r="K385" s="720"/>
      <c r="L385" s="479"/>
      <c r="M385" s="717">
        <f>-11472-3097</f>
        <v>-14569</v>
      </c>
      <c r="N385" s="720"/>
      <c r="O385" s="719"/>
      <c r="P385" s="469">
        <f t="shared" si="284"/>
        <v>0</v>
      </c>
      <c r="Q385" s="497" t="s">
        <v>677</v>
      </c>
    </row>
    <row r="386" spans="1:18" x14ac:dyDescent="0.25">
      <c r="A386" s="724"/>
      <c r="B386" s="709" t="s">
        <v>1322</v>
      </c>
      <c r="C386" s="717"/>
      <c r="D386" s="708"/>
      <c r="E386" s="708"/>
      <c r="F386" s="720"/>
      <c r="G386" s="720"/>
      <c r="H386" s="479"/>
      <c r="I386" s="717"/>
      <c r="J386" s="717"/>
      <c r="K386" s="720"/>
      <c r="L386" s="479"/>
      <c r="M386" s="717">
        <v>-19886</v>
      </c>
      <c r="N386" s="720"/>
      <c r="O386" s="719"/>
      <c r="P386" s="469">
        <f t="shared" ref="P386:P387" si="285">SUM(O386)</f>
        <v>0</v>
      </c>
      <c r="Q386" s="497" t="s">
        <v>674</v>
      </c>
    </row>
    <row r="387" spans="1:18" x14ac:dyDescent="0.25">
      <c r="A387" s="724"/>
      <c r="B387" s="709" t="s">
        <v>1065</v>
      </c>
      <c r="C387" s="717"/>
      <c r="D387" s="708"/>
      <c r="E387" s="708"/>
      <c r="F387" s="720"/>
      <c r="G387" s="720"/>
      <c r="H387" s="479"/>
      <c r="I387" s="717"/>
      <c r="J387" s="717"/>
      <c r="K387" s="720"/>
      <c r="L387" s="479"/>
      <c r="M387" s="717">
        <v>-4601</v>
      </c>
      <c r="N387" s="720"/>
      <c r="O387" s="719"/>
      <c r="P387" s="469">
        <f t="shared" si="285"/>
        <v>0</v>
      </c>
      <c r="Q387" s="497" t="s">
        <v>674</v>
      </c>
    </row>
    <row r="388" spans="1:18" x14ac:dyDescent="0.25">
      <c r="A388" s="724"/>
      <c r="B388" s="709" t="s">
        <v>1015</v>
      </c>
      <c r="C388" s="717"/>
      <c r="D388" s="708"/>
      <c r="E388" s="708"/>
      <c r="F388" s="720"/>
      <c r="G388" s="720"/>
      <c r="H388" s="479"/>
      <c r="I388" s="717"/>
      <c r="J388" s="717"/>
      <c r="K388" s="720"/>
      <c r="L388" s="479"/>
      <c r="M388" s="717">
        <v>-485</v>
      </c>
      <c r="N388" s="720"/>
      <c r="O388" s="719"/>
      <c r="P388" s="469">
        <f t="shared" ref="P388" si="286">SUM(O388)</f>
        <v>0</v>
      </c>
      <c r="Q388" s="497" t="s">
        <v>674</v>
      </c>
    </row>
    <row r="389" spans="1:18" x14ac:dyDescent="0.25">
      <c r="A389" s="724"/>
      <c r="B389" s="709"/>
      <c r="C389" s="717"/>
      <c r="D389" s="708"/>
      <c r="E389" s="708"/>
      <c r="F389" s="720"/>
      <c r="G389" s="720"/>
      <c r="H389" s="479"/>
      <c r="I389" s="717"/>
      <c r="J389" s="717"/>
      <c r="K389" s="720"/>
      <c r="L389" s="479"/>
      <c r="M389" s="717"/>
      <c r="N389" s="720"/>
      <c r="O389" s="719"/>
      <c r="P389" s="469"/>
    </row>
    <row r="390" spans="1:18" x14ac:dyDescent="0.25">
      <c r="A390" s="724"/>
      <c r="B390" s="493" t="s">
        <v>46</v>
      </c>
      <c r="C390" s="717"/>
      <c r="D390" s="708"/>
      <c r="E390" s="708"/>
      <c r="F390" s="720"/>
      <c r="G390" s="720"/>
      <c r="H390" s="479"/>
      <c r="I390" s="717"/>
      <c r="J390" s="717"/>
      <c r="K390" s="720"/>
      <c r="L390" s="479"/>
      <c r="M390" s="717"/>
      <c r="N390" s="503"/>
      <c r="O390" s="479"/>
      <c r="P390" s="469"/>
    </row>
    <row r="391" spans="1:18" x14ac:dyDescent="0.25">
      <c r="A391" s="724"/>
      <c r="B391" s="491" t="s">
        <v>911</v>
      </c>
      <c r="C391" s="717"/>
      <c r="D391" s="708"/>
      <c r="E391" s="708"/>
      <c r="F391" s="720"/>
      <c r="G391" s="720"/>
      <c r="H391" s="479"/>
      <c r="I391" s="717"/>
      <c r="J391" s="717"/>
      <c r="K391" s="720"/>
      <c r="L391" s="479"/>
      <c r="M391" s="717"/>
      <c r="N391" s="720"/>
      <c r="O391" s="719"/>
      <c r="P391" s="469"/>
    </row>
    <row r="392" spans="1:18" ht="31.5" x14ac:dyDescent="0.25">
      <c r="A392" s="724"/>
      <c r="B392" s="709" t="s">
        <v>1323</v>
      </c>
      <c r="C392" s="717"/>
      <c r="D392" s="708"/>
      <c r="E392" s="708"/>
      <c r="F392" s="720"/>
      <c r="G392" s="720"/>
      <c r="H392" s="479"/>
      <c r="I392" s="717"/>
      <c r="J392" s="717"/>
      <c r="K392" s="720"/>
      <c r="L392" s="479"/>
      <c r="M392" s="717"/>
      <c r="N392" s="720">
        <v>1751834</v>
      </c>
      <c r="O392" s="719"/>
      <c r="P392" s="469">
        <f t="shared" ref="P392" si="287">SUM(O392)</f>
        <v>0</v>
      </c>
      <c r="Q392" s="497" t="s">
        <v>1017</v>
      </c>
      <c r="R392" s="497">
        <f>+N392+G23+E168+E169+E170+E171</f>
        <v>2482061</v>
      </c>
    </row>
    <row r="393" spans="1:18" x14ac:dyDescent="0.25">
      <c r="A393" s="724"/>
      <c r="B393" s="709"/>
      <c r="C393" s="717"/>
      <c r="D393" s="708"/>
      <c r="E393" s="708"/>
      <c r="F393" s="720"/>
      <c r="G393" s="720"/>
      <c r="H393" s="479"/>
      <c r="I393" s="717"/>
      <c r="J393" s="717"/>
      <c r="K393" s="720"/>
      <c r="L393" s="479"/>
      <c r="M393" s="717"/>
      <c r="N393" s="720"/>
      <c r="O393" s="719"/>
      <c r="P393" s="469"/>
    </row>
    <row r="394" spans="1:18" x14ac:dyDescent="0.25">
      <c r="A394" s="724"/>
      <c r="B394" s="491" t="s">
        <v>690</v>
      </c>
      <c r="C394" s="717"/>
      <c r="D394" s="708"/>
      <c r="E394" s="708"/>
      <c r="F394" s="720"/>
      <c r="G394" s="720"/>
      <c r="H394" s="479"/>
      <c r="I394" s="717"/>
      <c r="J394" s="717"/>
      <c r="K394" s="720"/>
      <c r="L394" s="479"/>
      <c r="M394" s="717"/>
      <c r="N394" s="720"/>
      <c r="O394" s="719"/>
      <c r="P394" s="469"/>
    </row>
    <row r="395" spans="1:18" x14ac:dyDescent="0.25">
      <c r="A395" s="724"/>
      <c r="B395" s="709" t="s">
        <v>1302</v>
      </c>
      <c r="C395" s="717"/>
      <c r="D395" s="708"/>
      <c r="E395" s="708"/>
      <c r="F395" s="720"/>
      <c r="G395" s="720"/>
      <c r="H395" s="479"/>
      <c r="I395" s="717"/>
      <c r="J395" s="717"/>
      <c r="K395" s="720"/>
      <c r="L395" s="479"/>
      <c r="M395" s="717"/>
      <c r="N395" s="720">
        <v>-264898</v>
      </c>
      <c r="O395" s="719"/>
      <c r="P395" s="469">
        <f t="shared" ref="P395" si="288">SUM(O395)</f>
        <v>0</v>
      </c>
      <c r="Q395" s="497" t="s">
        <v>677</v>
      </c>
    </row>
    <row r="396" spans="1:18" x14ac:dyDescent="0.25">
      <c r="A396" s="724"/>
      <c r="B396" s="491" t="s">
        <v>1026</v>
      </c>
      <c r="C396" s="717"/>
      <c r="D396" s="708"/>
      <c r="E396" s="708"/>
      <c r="F396" s="720"/>
      <c r="G396" s="720"/>
      <c r="H396" s="479"/>
      <c r="I396" s="717"/>
      <c r="J396" s="717"/>
      <c r="K396" s="720"/>
      <c r="L396" s="479"/>
      <c r="M396" s="717"/>
      <c r="N396" s="720"/>
      <c r="O396" s="719"/>
      <c r="P396" s="469"/>
    </row>
    <row r="397" spans="1:18" ht="47.25" x14ac:dyDescent="0.25">
      <c r="A397" s="724"/>
      <c r="B397" s="709" t="s">
        <v>1027</v>
      </c>
      <c r="C397" s="717"/>
      <c r="D397" s="708"/>
      <c r="E397" s="708"/>
      <c r="F397" s="720"/>
      <c r="G397" s="720"/>
      <c r="H397" s="479"/>
      <c r="I397" s="717"/>
      <c r="J397" s="717"/>
      <c r="K397" s="720"/>
      <c r="L397" s="479"/>
      <c r="M397" s="717"/>
      <c r="N397" s="720">
        <v>2210</v>
      </c>
      <c r="O397" s="719"/>
      <c r="P397" s="469">
        <f t="shared" ref="P397" si="289">SUM(O397)</f>
        <v>0</v>
      </c>
      <c r="Q397" s="497" t="s">
        <v>677</v>
      </c>
    </row>
    <row r="398" spans="1:18" x14ac:dyDescent="0.25">
      <c r="A398" s="724"/>
      <c r="B398" s="491" t="s">
        <v>918</v>
      </c>
      <c r="C398" s="717"/>
      <c r="D398" s="708"/>
      <c r="E398" s="708"/>
      <c r="F398" s="720"/>
      <c r="G398" s="720"/>
      <c r="H398" s="479"/>
      <c r="I398" s="717"/>
      <c r="J398" s="717"/>
      <c r="K398" s="720"/>
      <c r="L398" s="479"/>
      <c r="M398" s="717"/>
      <c r="N398" s="720"/>
      <c r="O398" s="719"/>
      <c r="P398" s="469"/>
    </row>
    <row r="399" spans="1:18" ht="51.75" customHeight="1" x14ac:dyDescent="0.25">
      <c r="A399" s="724"/>
      <c r="B399" s="709" t="s">
        <v>1324</v>
      </c>
      <c r="C399" s="717"/>
      <c r="D399" s="708"/>
      <c r="E399" s="708"/>
      <c r="F399" s="720"/>
      <c r="G399" s="720"/>
      <c r="H399" s="479"/>
      <c r="I399" s="717"/>
      <c r="J399" s="717"/>
      <c r="K399" s="720"/>
      <c r="L399" s="479"/>
      <c r="M399" s="717"/>
      <c r="N399" s="720">
        <v>900</v>
      </c>
      <c r="O399" s="719"/>
      <c r="P399" s="469">
        <f t="shared" ref="P399" si="290">SUM(O399)</f>
        <v>0</v>
      </c>
      <c r="Q399" s="497" t="s">
        <v>677</v>
      </c>
    </row>
    <row r="400" spans="1:18" ht="47.25" customHeight="1" x14ac:dyDescent="0.25">
      <c r="A400" s="724"/>
      <c r="B400" s="709" t="s">
        <v>1325</v>
      </c>
      <c r="C400" s="717"/>
      <c r="D400" s="708"/>
      <c r="E400" s="708"/>
      <c r="F400" s="720"/>
      <c r="G400" s="720"/>
      <c r="H400" s="479"/>
      <c r="I400" s="717"/>
      <c r="J400" s="717"/>
      <c r="K400" s="720"/>
      <c r="L400" s="479"/>
      <c r="M400" s="717"/>
      <c r="N400" s="720">
        <v>5603</v>
      </c>
      <c r="O400" s="719"/>
      <c r="P400" s="469">
        <f t="shared" ref="P400" si="291">SUM(O400)</f>
        <v>0</v>
      </c>
      <c r="Q400" s="497" t="s">
        <v>677</v>
      </c>
    </row>
    <row r="401" spans="1:17" ht="47.25" x14ac:dyDescent="0.25">
      <c r="A401" s="724"/>
      <c r="B401" s="709" t="s">
        <v>1327</v>
      </c>
      <c r="C401" s="717"/>
      <c r="D401" s="708"/>
      <c r="E401" s="708"/>
      <c r="F401" s="720"/>
      <c r="G401" s="720"/>
      <c r="H401" s="479"/>
      <c r="I401" s="717"/>
      <c r="J401" s="717"/>
      <c r="K401" s="720"/>
      <c r="L401" s="479"/>
      <c r="M401" s="717"/>
      <c r="N401" s="720">
        <v>86334</v>
      </c>
      <c r="O401" s="719"/>
      <c r="P401" s="469">
        <f t="shared" ref="P401:P402" si="292">SUM(O401)</f>
        <v>0</v>
      </c>
      <c r="Q401" s="497" t="s">
        <v>677</v>
      </c>
    </row>
    <row r="402" spans="1:17" ht="32.25" customHeight="1" x14ac:dyDescent="0.25">
      <c r="A402" s="724"/>
      <c r="B402" s="709" t="s">
        <v>1326</v>
      </c>
      <c r="C402" s="717"/>
      <c r="D402" s="708"/>
      <c r="E402" s="708"/>
      <c r="F402" s="720"/>
      <c r="G402" s="720"/>
      <c r="H402" s="479"/>
      <c r="I402" s="717"/>
      <c r="J402" s="717"/>
      <c r="K402" s="720"/>
      <c r="L402" s="479"/>
      <c r="M402" s="717"/>
      <c r="N402" s="720">
        <f>47450+100000+20725+168587</f>
        <v>336762</v>
      </c>
      <c r="O402" s="719"/>
      <c r="P402" s="469">
        <f t="shared" si="292"/>
        <v>0</v>
      </c>
      <c r="Q402" s="497" t="s">
        <v>677</v>
      </c>
    </row>
    <row r="403" spans="1:17" ht="31.5" x14ac:dyDescent="0.25">
      <c r="A403" s="724"/>
      <c r="B403" s="709" t="s">
        <v>1328</v>
      </c>
      <c r="C403" s="717"/>
      <c r="D403" s="708"/>
      <c r="E403" s="708"/>
      <c r="F403" s="720"/>
      <c r="G403" s="720"/>
      <c r="H403" s="479"/>
      <c r="I403" s="717"/>
      <c r="J403" s="717"/>
      <c r="K403" s="720"/>
      <c r="L403" s="479"/>
      <c r="M403" s="717"/>
      <c r="N403" s="720">
        <f>26520+20000+13157+5398+18000-18000+605287</f>
        <v>670362</v>
      </c>
      <c r="O403" s="719"/>
      <c r="P403" s="469">
        <f t="shared" ref="P403" si="293">SUM(O403)</f>
        <v>0</v>
      </c>
      <c r="Q403" s="497" t="s">
        <v>926</v>
      </c>
    </row>
    <row r="404" spans="1:17" ht="47.25" x14ac:dyDescent="0.25">
      <c r="A404" s="724"/>
      <c r="B404" s="709" t="s">
        <v>1329</v>
      </c>
      <c r="C404" s="717"/>
      <c r="D404" s="708"/>
      <c r="E404" s="708"/>
      <c r="F404" s="720"/>
      <c r="G404" s="720"/>
      <c r="H404" s="479"/>
      <c r="I404" s="717"/>
      <c r="J404" s="717"/>
      <c r="K404" s="720"/>
      <c r="L404" s="479"/>
      <c r="M404" s="717"/>
      <c r="N404" s="720">
        <v>50000</v>
      </c>
      <c r="O404" s="719"/>
      <c r="P404" s="469">
        <f t="shared" ref="P404:P406" si="294">SUM(O404)</f>
        <v>0</v>
      </c>
      <c r="Q404" s="497" t="s">
        <v>677</v>
      </c>
    </row>
    <row r="405" spans="1:17" ht="63" customHeight="1" x14ac:dyDescent="0.25">
      <c r="A405" s="724"/>
      <c r="B405" s="709" t="s">
        <v>1330</v>
      </c>
      <c r="C405" s="717"/>
      <c r="D405" s="708"/>
      <c r="E405" s="708"/>
      <c r="F405" s="720"/>
      <c r="G405" s="720"/>
      <c r="H405" s="479"/>
      <c r="I405" s="717"/>
      <c r="J405" s="717"/>
      <c r="K405" s="720"/>
      <c r="L405" s="479"/>
      <c r="M405" s="717"/>
      <c r="N405" s="720">
        <v>50000</v>
      </c>
      <c r="O405" s="719"/>
      <c r="P405" s="469">
        <f t="shared" si="294"/>
        <v>0</v>
      </c>
      <c r="Q405" s="497" t="s">
        <v>677</v>
      </c>
    </row>
    <row r="406" spans="1:17" ht="47.25" x14ac:dyDescent="0.25">
      <c r="A406" s="724"/>
      <c r="B406" s="709" t="s">
        <v>1331</v>
      </c>
      <c r="C406" s="717"/>
      <c r="D406" s="708"/>
      <c r="E406" s="708"/>
      <c r="F406" s="720"/>
      <c r="G406" s="720"/>
      <c r="H406" s="479"/>
      <c r="I406" s="717"/>
      <c r="J406" s="717"/>
      <c r="K406" s="720"/>
      <c r="L406" s="479"/>
      <c r="M406" s="717"/>
      <c r="N406" s="720">
        <v>66046</v>
      </c>
      <c r="O406" s="719"/>
      <c r="P406" s="469">
        <f t="shared" si="294"/>
        <v>0</v>
      </c>
    </row>
    <row r="407" spans="1:17" ht="46.5" customHeight="1" x14ac:dyDescent="0.25">
      <c r="A407" s="724"/>
      <c r="B407" s="709" t="s">
        <v>1332</v>
      </c>
      <c r="C407" s="717"/>
      <c r="D407" s="708"/>
      <c r="E407" s="708"/>
      <c r="F407" s="720"/>
      <c r="G407" s="720"/>
      <c r="H407" s="479"/>
      <c r="I407" s="717"/>
      <c r="J407" s="717"/>
      <c r="K407" s="720"/>
      <c r="L407" s="479"/>
      <c r="M407" s="717"/>
      <c r="N407" s="720">
        <v>5000</v>
      </c>
      <c r="O407" s="719"/>
      <c r="P407" s="469">
        <f t="shared" ref="P407" si="295">SUM(O407)</f>
        <v>0</v>
      </c>
      <c r="Q407" s="497" t="s">
        <v>808</v>
      </c>
    </row>
    <row r="408" spans="1:17" ht="31.5" x14ac:dyDescent="0.25">
      <c r="A408" s="724"/>
      <c r="B408" s="709" t="s">
        <v>1333</v>
      </c>
      <c r="C408" s="717"/>
      <c r="D408" s="708"/>
      <c r="E408" s="708"/>
      <c r="F408" s="720"/>
      <c r="G408" s="720"/>
      <c r="H408" s="479"/>
      <c r="I408" s="717"/>
      <c r="J408" s="717"/>
      <c r="K408" s="720"/>
      <c r="L408" s="479"/>
      <c r="M408" s="717"/>
      <c r="N408" s="720">
        <v>29311</v>
      </c>
      <c r="O408" s="719"/>
      <c r="P408" s="469">
        <f t="shared" ref="P408:P410" si="296">SUM(O408)</f>
        <v>0</v>
      </c>
      <c r="Q408" s="497" t="s">
        <v>677</v>
      </c>
    </row>
    <row r="409" spans="1:17" ht="63" x14ac:dyDescent="0.25">
      <c r="A409" s="724"/>
      <c r="B409" s="709" t="s">
        <v>1334</v>
      </c>
      <c r="C409" s="717"/>
      <c r="D409" s="708"/>
      <c r="E409" s="708"/>
      <c r="F409" s="720"/>
      <c r="G409" s="720"/>
      <c r="H409" s="479"/>
      <c r="I409" s="717"/>
      <c r="J409" s="717"/>
      <c r="K409" s="720"/>
      <c r="L409" s="479"/>
      <c r="M409" s="717"/>
      <c r="N409" s="720">
        <v>23655</v>
      </c>
      <c r="O409" s="719"/>
      <c r="P409" s="469">
        <f t="shared" si="296"/>
        <v>0</v>
      </c>
      <c r="Q409" s="497" t="s">
        <v>808</v>
      </c>
    </row>
    <row r="410" spans="1:17" ht="47.25" x14ac:dyDescent="0.25">
      <c r="A410" s="724"/>
      <c r="B410" s="709" t="s">
        <v>1335</v>
      </c>
      <c r="C410" s="717"/>
      <c r="D410" s="708"/>
      <c r="E410" s="708"/>
      <c r="F410" s="720"/>
      <c r="G410" s="720"/>
      <c r="H410" s="479"/>
      <c r="I410" s="717"/>
      <c r="J410" s="717"/>
      <c r="K410" s="720"/>
      <c r="L410" s="479"/>
      <c r="M410" s="717"/>
      <c r="N410" s="720">
        <v>500</v>
      </c>
      <c r="O410" s="719"/>
      <c r="P410" s="469">
        <f t="shared" si="296"/>
        <v>0</v>
      </c>
      <c r="Q410" s="497" t="s">
        <v>808</v>
      </c>
    </row>
    <row r="411" spans="1:17" ht="31.5" x14ac:dyDescent="0.25">
      <c r="A411" s="724"/>
      <c r="B411" s="709" t="s">
        <v>1336</v>
      </c>
      <c r="C411" s="717"/>
      <c r="D411" s="708"/>
      <c r="E411" s="708"/>
      <c r="F411" s="720"/>
      <c r="G411" s="720"/>
      <c r="H411" s="479"/>
      <c r="I411" s="717"/>
      <c r="J411" s="717"/>
      <c r="K411" s="720"/>
      <c r="L411" s="479"/>
      <c r="M411" s="717"/>
      <c r="N411" s="720">
        <v>77390</v>
      </c>
      <c r="O411" s="719"/>
      <c r="P411" s="469">
        <f t="shared" ref="P411:P413" si="297">SUM(O411)</f>
        <v>0</v>
      </c>
      <c r="Q411" s="497" t="s">
        <v>808</v>
      </c>
    </row>
    <row r="412" spans="1:17" ht="47.25" x14ac:dyDescent="0.25">
      <c r="A412" s="724"/>
      <c r="B412" s="709" t="s">
        <v>1337</v>
      </c>
      <c r="C412" s="717"/>
      <c r="D412" s="708"/>
      <c r="E412" s="708"/>
      <c r="F412" s="720"/>
      <c r="G412" s="720"/>
      <c r="H412" s="479"/>
      <c r="I412" s="717"/>
      <c r="J412" s="717"/>
      <c r="K412" s="720"/>
      <c r="L412" s="479"/>
      <c r="M412" s="717"/>
      <c r="N412" s="720">
        <v>135000</v>
      </c>
      <c r="O412" s="719"/>
      <c r="P412" s="469">
        <f t="shared" ref="P412" si="298">SUM(O412)</f>
        <v>0</v>
      </c>
      <c r="Q412" s="497" t="s">
        <v>808</v>
      </c>
    </row>
    <row r="413" spans="1:17" ht="47.25" x14ac:dyDescent="0.25">
      <c r="A413" s="724"/>
      <c r="B413" s="709" t="s">
        <v>1338</v>
      </c>
      <c r="C413" s="717"/>
      <c r="D413" s="708"/>
      <c r="E413" s="708"/>
      <c r="F413" s="720"/>
      <c r="G413" s="720"/>
      <c r="H413" s="479"/>
      <c r="I413" s="717"/>
      <c r="J413" s="717"/>
      <c r="K413" s="720"/>
      <c r="L413" s="479"/>
      <c r="M413" s="717"/>
      <c r="N413" s="720">
        <v>500</v>
      </c>
      <c r="O413" s="719"/>
      <c r="P413" s="469">
        <f t="shared" si="297"/>
        <v>0</v>
      </c>
      <c r="Q413" s="497" t="s">
        <v>808</v>
      </c>
    </row>
    <row r="414" spans="1:17" ht="47.25" x14ac:dyDescent="0.25">
      <c r="A414" s="724"/>
      <c r="B414" s="709" t="s">
        <v>1339</v>
      </c>
      <c r="C414" s="717"/>
      <c r="D414" s="708"/>
      <c r="E414" s="708"/>
      <c r="F414" s="720"/>
      <c r="G414" s="720"/>
      <c r="H414" s="479"/>
      <c r="I414" s="717"/>
      <c r="J414" s="717"/>
      <c r="K414" s="720"/>
      <c r="L414" s="479"/>
      <c r="M414" s="717"/>
      <c r="N414" s="720">
        <v>42040</v>
      </c>
      <c r="O414" s="719"/>
      <c r="P414" s="469">
        <f t="shared" ref="P414" si="299">SUM(O414)</f>
        <v>0</v>
      </c>
      <c r="Q414" s="497" t="s">
        <v>677</v>
      </c>
    </row>
    <row r="415" spans="1:17" ht="47.25" x14ac:dyDescent="0.25">
      <c r="A415" s="724"/>
      <c r="B415" s="709" t="s">
        <v>1340</v>
      </c>
      <c r="C415" s="717"/>
      <c r="D415" s="708"/>
      <c r="E415" s="708"/>
      <c r="F415" s="720"/>
      <c r="G415" s="720"/>
      <c r="H415" s="479"/>
      <c r="I415" s="717"/>
      <c r="J415" s="717"/>
      <c r="K415" s="720"/>
      <c r="L415" s="479"/>
      <c r="M415" s="717"/>
      <c r="N415" s="720">
        <v>72931</v>
      </c>
      <c r="O415" s="719"/>
      <c r="P415" s="469">
        <f t="shared" ref="P415:P418" si="300">SUM(O415)</f>
        <v>0</v>
      </c>
      <c r="Q415" s="497" t="s">
        <v>808</v>
      </c>
    </row>
    <row r="416" spans="1:17" ht="47.25" x14ac:dyDescent="0.25">
      <c r="A416" s="724"/>
      <c r="B416" s="709" t="s">
        <v>1341</v>
      </c>
      <c r="C416" s="717"/>
      <c r="D416" s="708"/>
      <c r="E416" s="708"/>
      <c r="F416" s="720"/>
      <c r="G416" s="720"/>
      <c r="H416" s="479"/>
      <c r="I416" s="717"/>
      <c r="J416" s="717"/>
      <c r="K416" s="720"/>
      <c r="L416" s="479"/>
      <c r="M416" s="717"/>
      <c r="N416" s="720">
        <v>117000</v>
      </c>
      <c r="O416" s="719"/>
      <c r="P416" s="469">
        <f t="shared" si="300"/>
        <v>0</v>
      </c>
      <c r="Q416" s="497" t="s">
        <v>808</v>
      </c>
    </row>
    <row r="417" spans="1:17" ht="47.25" x14ac:dyDescent="0.25">
      <c r="A417" s="724"/>
      <c r="B417" s="709" t="s">
        <v>1342</v>
      </c>
      <c r="C417" s="717"/>
      <c r="D417" s="708"/>
      <c r="E417" s="708"/>
      <c r="F417" s="720"/>
      <c r="G417" s="720"/>
      <c r="H417" s="479"/>
      <c r="I417" s="717"/>
      <c r="J417" s="717"/>
      <c r="K417" s="720"/>
      <c r="L417" s="479"/>
      <c r="M417" s="717"/>
      <c r="N417" s="720">
        <v>35000</v>
      </c>
      <c r="O417" s="719"/>
      <c r="P417" s="469">
        <f t="shared" si="300"/>
        <v>0</v>
      </c>
      <c r="Q417" s="497" t="s">
        <v>677</v>
      </c>
    </row>
    <row r="418" spans="1:17" ht="47.25" x14ac:dyDescent="0.25">
      <c r="A418" s="724"/>
      <c r="B418" s="709" t="s">
        <v>1343</v>
      </c>
      <c r="C418" s="717"/>
      <c r="D418" s="708"/>
      <c r="E418" s="708"/>
      <c r="F418" s="720"/>
      <c r="G418" s="720"/>
      <c r="H418" s="479"/>
      <c r="I418" s="717"/>
      <c r="J418" s="717"/>
      <c r="K418" s="720"/>
      <c r="L418" s="479"/>
      <c r="M418" s="717"/>
      <c r="N418" s="720">
        <f>58000+24300</f>
        <v>82300</v>
      </c>
      <c r="O418" s="719"/>
      <c r="P418" s="469">
        <f t="shared" si="300"/>
        <v>0</v>
      </c>
      <c r="Q418" s="497" t="s">
        <v>808</v>
      </c>
    </row>
    <row r="419" spans="1:17" ht="47.25" x14ac:dyDescent="0.25">
      <c r="A419" s="724"/>
      <c r="B419" s="709" t="s">
        <v>1344</v>
      </c>
      <c r="C419" s="717"/>
      <c r="D419" s="708"/>
      <c r="E419" s="708"/>
      <c r="F419" s="720"/>
      <c r="G419" s="720"/>
      <c r="H419" s="479"/>
      <c r="I419" s="717"/>
      <c r="J419" s="717"/>
      <c r="K419" s="720"/>
      <c r="L419" s="479"/>
      <c r="M419" s="717"/>
      <c r="N419" s="720">
        <f>41150-10900</f>
        <v>30250</v>
      </c>
      <c r="O419" s="719"/>
      <c r="P419" s="469">
        <f t="shared" ref="P419" si="301">SUM(O419)</f>
        <v>0</v>
      </c>
      <c r="Q419" s="497" t="s">
        <v>1165</v>
      </c>
    </row>
    <row r="420" spans="1:17" ht="50.25" customHeight="1" x14ac:dyDescent="0.25">
      <c r="A420" s="724"/>
      <c r="B420" s="709" t="s">
        <v>1345</v>
      </c>
      <c r="C420" s="717"/>
      <c r="D420" s="708"/>
      <c r="E420" s="708"/>
      <c r="F420" s="720"/>
      <c r="G420" s="720"/>
      <c r="H420" s="479"/>
      <c r="I420" s="717"/>
      <c r="J420" s="717"/>
      <c r="K420" s="720"/>
      <c r="L420" s="479"/>
      <c r="M420" s="717"/>
      <c r="N420" s="720">
        <v>483</v>
      </c>
      <c r="O420" s="719"/>
      <c r="P420" s="469">
        <f t="shared" ref="P420" si="302">SUM(O420)</f>
        <v>0</v>
      </c>
      <c r="Q420" s="497" t="s">
        <v>808</v>
      </c>
    </row>
    <row r="421" spans="1:17" ht="46.5" customHeight="1" x14ac:dyDescent="0.25">
      <c r="A421" s="724"/>
      <c r="B421" s="709" t="s">
        <v>1346</v>
      </c>
      <c r="C421" s="717"/>
      <c r="D421" s="708"/>
      <c r="E421" s="708"/>
      <c r="F421" s="720"/>
      <c r="G421" s="720"/>
      <c r="H421" s="479"/>
      <c r="I421" s="717"/>
      <c r="J421" s="717"/>
      <c r="K421" s="720"/>
      <c r="L421" s="479"/>
      <c r="M421" s="717"/>
      <c r="N421" s="720">
        <v>50000</v>
      </c>
      <c r="O421" s="719"/>
      <c r="P421" s="469">
        <f t="shared" ref="P421" si="303">SUM(O421)</f>
        <v>0</v>
      </c>
      <c r="Q421" s="497" t="s">
        <v>677</v>
      </c>
    </row>
    <row r="422" spans="1:17" x14ac:dyDescent="0.25">
      <c r="A422" s="724"/>
      <c r="B422" s="709" t="s">
        <v>1064</v>
      </c>
      <c r="C422" s="717"/>
      <c r="D422" s="708"/>
      <c r="E422" s="708"/>
      <c r="F422" s="720"/>
      <c r="G422" s="720"/>
      <c r="H422" s="479"/>
      <c r="I422" s="717"/>
      <c r="J422" s="717"/>
      <c r="K422" s="720"/>
      <c r="L422" s="479"/>
      <c r="M422" s="717"/>
      <c r="N422" s="720">
        <v>-50000</v>
      </c>
      <c r="O422" s="719"/>
      <c r="P422" s="469">
        <f t="shared" ref="P422" si="304">SUM(O422)</f>
        <v>0</v>
      </c>
      <c r="Q422" s="497" t="s">
        <v>677</v>
      </c>
    </row>
    <row r="423" spans="1:17" ht="31.5" x14ac:dyDescent="0.25">
      <c r="A423" s="724"/>
      <c r="B423" s="709" t="s">
        <v>1347</v>
      </c>
      <c r="C423" s="717"/>
      <c r="D423" s="708"/>
      <c r="E423" s="708"/>
      <c r="F423" s="720"/>
      <c r="G423" s="720"/>
      <c r="H423" s="479"/>
      <c r="I423" s="717"/>
      <c r="J423" s="717"/>
      <c r="K423" s="720"/>
      <c r="L423" s="479"/>
      <c r="M423" s="717"/>
      <c r="N423" s="720">
        <v>99851</v>
      </c>
      <c r="O423" s="719"/>
      <c r="P423" s="469">
        <f t="shared" ref="P423" si="305">SUM(O423)</f>
        <v>0</v>
      </c>
      <c r="Q423" s="497" t="s">
        <v>677</v>
      </c>
    </row>
    <row r="424" spans="1:17" ht="51" customHeight="1" x14ac:dyDescent="0.25">
      <c r="A424" s="724"/>
      <c r="B424" s="709" t="s">
        <v>1348</v>
      </c>
      <c r="C424" s="717"/>
      <c r="D424" s="708"/>
      <c r="E424" s="708"/>
      <c r="F424" s="720"/>
      <c r="G424" s="720"/>
      <c r="H424" s="479"/>
      <c r="I424" s="717"/>
      <c r="J424" s="717"/>
      <c r="K424" s="720"/>
      <c r="L424" s="479"/>
      <c r="M424" s="717"/>
      <c r="N424" s="720">
        <f>-20000-5400</f>
        <v>-25400</v>
      </c>
      <c r="O424" s="719"/>
      <c r="P424" s="469">
        <f t="shared" ref="P424:P425" si="306">SUM(O424)</f>
        <v>0</v>
      </c>
      <c r="Q424" s="497" t="s">
        <v>677</v>
      </c>
    </row>
    <row r="425" spans="1:17" ht="31.5" x14ac:dyDescent="0.25">
      <c r="A425" s="724"/>
      <c r="B425" s="709" t="s">
        <v>1349</v>
      </c>
      <c r="C425" s="717"/>
      <c r="D425" s="708"/>
      <c r="E425" s="708"/>
      <c r="F425" s="720"/>
      <c r="G425" s="720"/>
      <c r="H425" s="479"/>
      <c r="I425" s="717"/>
      <c r="J425" s="717"/>
      <c r="K425" s="720"/>
      <c r="L425" s="479"/>
      <c r="M425" s="717"/>
      <c r="N425" s="720">
        <v>-6000000</v>
      </c>
      <c r="O425" s="719"/>
      <c r="P425" s="469">
        <f t="shared" si="306"/>
        <v>0</v>
      </c>
      <c r="Q425" s="497" t="s">
        <v>677</v>
      </c>
    </row>
    <row r="426" spans="1:17" ht="110.25" x14ac:dyDescent="0.25">
      <c r="A426" s="724"/>
      <c r="B426" s="709" t="s">
        <v>1350</v>
      </c>
      <c r="C426" s="717"/>
      <c r="D426" s="708"/>
      <c r="E426" s="708"/>
      <c r="F426" s="720"/>
      <c r="G426" s="720"/>
      <c r="H426" s="479"/>
      <c r="I426" s="717"/>
      <c r="J426" s="717"/>
      <c r="K426" s="720"/>
      <c r="L426" s="479"/>
      <c r="M426" s="717"/>
      <c r="N426" s="720">
        <v>437500</v>
      </c>
      <c r="O426" s="719"/>
      <c r="P426" s="469">
        <f t="shared" ref="P426" si="307">SUM(O426)</f>
        <v>0</v>
      </c>
      <c r="Q426" s="497" t="s">
        <v>677</v>
      </c>
    </row>
    <row r="427" spans="1:17" ht="120" customHeight="1" x14ac:dyDescent="0.25">
      <c r="A427" s="724"/>
      <c r="B427" s="709" t="s">
        <v>1351</v>
      </c>
      <c r="C427" s="717"/>
      <c r="D427" s="708"/>
      <c r="E427" s="708"/>
      <c r="F427" s="720"/>
      <c r="G427" s="720"/>
      <c r="H427" s="479"/>
      <c r="I427" s="717"/>
      <c r="J427" s="717"/>
      <c r="K427" s="720"/>
      <c r="L427" s="479"/>
      <c r="M427" s="717"/>
      <c r="N427" s="720">
        <v>150000</v>
      </c>
      <c r="O427" s="719"/>
      <c r="P427" s="469">
        <f t="shared" ref="P427" si="308">SUM(O427)</f>
        <v>0</v>
      </c>
      <c r="Q427" s="497" t="s">
        <v>677</v>
      </c>
    </row>
    <row r="428" spans="1:17" ht="57" customHeight="1" x14ac:dyDescent="0.25">
      <c r="A428" s="724"/>
      <c r="B428" s="709" t="s">
        <v>1352</v>
      </c>
      <c r="C428" s="717"/>
      <c r="D428" s="708"/>
      <c r="E428" s="708"/>
      <c r="F428" s="720"/>
      <c r="G428" s="720"/>
      <c r="H428" s="479"/>
      <c r="I428" s="717"/>
      <c r="J428" s="717"/>
      <c r="K428" s="720"/>
      <c r="L428" s="479"/>
      <c r="M428" s="717"/>
      <c r="N428" s="720">
        <v>525000</v>
      </c>
      <c r="O428" s="719"/>
      <c r="P428" s="469">
        <f t="shared" ref="P428:P432" si="309">SUM(O428)</f>
        <v>0</v>
      </c>
      <c r="Q428" s="497" t="s">
        <v>677</v>
      </c>
    </row>
    <row r="429" spans="1:17" ht="46.5" customHeight="1" x14ac:dyDescent="0.25">
      <c r="A429" s="724"/>
      <c r="B429" s="709" t="s">
        <v>1353</v>
      </c>
      <c r="C429" s="717"/>
      <c r="D429" s="708"/>
      <c r="E429" s="708"/>
      <c r="F429" s="720"/>
      <c r="G429" s="720"/>
      <c r="H429" s="479"/>
      <c r="I429" s="717"/>
      <c r="J429" s="717"/>
      <c r="K429" s="720"/>
      <c r="L429" s="479"/>
      <c r="M429" s="717"/>
      <c r="N429" s="720">
        <v>200000</v>
      </c>
      <c r="O429" s="719"/>
      <c r="P429" s="469">
        <f t="shared" si="309"/>
        <v>0</v>
      </c>
      <c r="Q429" s="497" t="s">
        <v>677</v>
      </c>
    </row>
    <row r="430" spans="1:17" ht="117.75" customHeight="1" x14ac:dyDescent="0.25">
      <c r="A430" s="724"/>
      <c r="B430" s="709" t="s">
        <v>1354</v>
      </c>
      <c r="C430" s="717"/>
      <c r="D430" s="708"/>
      <c r="E430" s="708"/>
      <c r="F430" s="720"/>
      <c r="G430" s="720"/>
      <c r="H430" s="479"/>
      <c r="I430" s="717"/>
      <c r="J430" s="717"/>
      <c r="K430" s="720"/>
      <c r="L430" s="479"/>
      <c r="M430" s="717"/>
      <c r="N430" s="720">
        <v>1500000</v>
      </c>
      <c r="O430" s="719"/>
      <c r="P430" s="469">
        <f t="shared" si="309"/>
        <v>0</v>
      </c>
      <c r="Q430" s="497" t="s">
        <v>677</v>
      </c>
    </row>
    <row r="431" spans="1:17" ht="111.75" customHeight="1" x14ac:dyDescent="0.25">
      <c r="A431" s="724"/>
      <c r="B431" s="709" t="s">
        <v>1355</v>
      </c>
      <c r="C431" s="717"/>
      <c r="D431" s="708"/>
      <c r="E431" s="708"/>
      <c r="F431" s="720"/>
      <c r="G431" s="720"/>
      <c r="H431" s="479"/>
      <c r="I431" s="717"/>
      <c r="J431" s="717"/>
      <c r="K431" s="720"/>
      <c r="L431" s="479"/>
      <c r="M431" s="717"/>
      <c r="N431" s="720">
        <v>100000</v>
      </c>
      <c r="O431" s="719"/>
      <c r="P431" s="469">
        <f t="shared" si="309"/>
        <v>0</v>
      </c>
      <c r="Q431" s="497" t="s">
        <v>677</v>
      </c>
    </row>
    <row r="432" spans="1:17" ht="136.5" customHeight="1" x14ac:dyDescent="0.25">
      <c r="A432" s="724"/>
      <c r="B432" s="709" t="s">
        <v>1356</v>
      </c>
      <c r="C432" s="717"/>
      <c r="D432" s="708"/>
      <c r="E432" s="708"/>
      <c r="F432" s="720"/>
      <c r="G432" s="720"/>
      <c r="H432" s="479"/>
      <c r="I432" s="717"/>
      <c r="J432" s="717"/>
      <c r="K432" s="720"/>
      <c r="L432" s="479"/>
      <c r="M432" s="717"/>
      <c r="N432" s="720">
        <v>200000</v>
      </c>
      <c r="O432" s="719"/>
      <c r="P432" s="469">
        <f t="shared" si="309"/>
        <v>0</v>
      </c>
      <c r="Q432" s="497" t="s">
        <v>677</v>
      </c>
    </row>
    <row r="433" spans="1:17" ht="94.5" x14ac:dyDescent="0.25">
      <c r="A433" s="724"/>
      <c r="B433" s="709" t="s">
        <v>1357</v>
      </c>
      <c r="C433" s="717"/>
      <c r="D433" s="708"/>
      <c r="E433" s="708"/>
      <c r="F433" s="720"/>
      <c r="G433" s="720"/>
      <c r="H433" s="479"/>
      <c r="I433" s="717"/>
      <c r="J433" s="717"/>
      <c r="K433" s="720"/>
      <c r="L433" s="479"/>
      <c r="M433" s="717"/>
      <c r="N433" s="720">
        <v>47396</v>
      </c>
      <c r="O433" s="719"/>
      <c r="P433" s="469"/>
      <c r="Q433" s="497" t="s">
        <v>677</v>
      </c>
    </row>
    <row r="434" spans="1:17" ht="46.5" customHeight="1" x14ac:dyDescent="0.25">
      <c r="A434" s="724"/>
      <c r="B434" s="709" t="s">
        <v>1358</v>
      </c>
      <c r="C434" s="717"/>
      <c r="D434" s="708"/>
      <c r="E434" s="708"/>
      <c r="F434" s="720"/>
      <c r="G434" s="720"/>
      <c r="H434" s="479"/>
      <c r="I434" s="717"/>
      <c r="J434" s="717"/>
      <c r="K434" s="720"/>
      <c r="L434" s="479"/>
      <c r="M434" s="717"/>
      <c r="N434" s="720">
        <v>14062</v>
      </c>
      <c r="O434" s="719"/>
      <c r="P434" s="469">
        <f t="shared" ref="P434:P435" si="310">SUM(O434)</f>
        <v>0</v>
      </c>
      <c r="Q434" s="497" t="s">
        <v>677</v>
      </c>
    </row>
    <row r="435" spans="1:17" ht="125.25" customHeight="1" x14ac:dyDescent="0.25">
      <c r="A435" s="724"/>
      <c r="B435" s="709" t="s">
        <v>1359</v>
      </c>
      <c r="C435" s="717"/>
      <c r="D435" s="708"/>
      <c r="E435" s="708"/>
      <c r="F435" s="720"/>
      <c r="G435" s="720"/>
      <c r="H435" s="479"/>
      <c r="I435" s="717"/>
      <c r="J435" s="717"/>
      <c r="K435" s="720"/>
      <c r="L435" s="479"/>
      <c r="M435" s="717"/>
      <c r="N435" s="720">
        <v>10000</v>
      </c>
      <c r="O435" s="719"/>
      <c r="P435" s="469">
        <f t="shared" si="310"/>
        <v>0</v>
      </c>
      <c r="Q435" s="497" t="s">
        <v>677</v>
      </c>
    </row>
    <row r="436" spans="1:17" ht="78" customHeight="1" x14ac:dyDescent="0.25">
      <c r="A436" s="724"/>
      <c r="B436" s="709" t="s">
        <v>1360</v>
      </c>
      <c r="C436" s="717"/>
      <c r="D436" s="708"/>
      <c r="E436" s="708"/>
      <c r="F436" s="720"/>
      <c r="G436" s="720"/>
      <c r="H436" s="479"/>
      <c r="I436" s="717"/>
      <c r="J436" s="717"/>
      <c r="K436" s="720"/>
      <c r="L436" s="479"/>
      <c r="M436" s="717"/>
      <c r="N436" s="720">
        <v>4000</v>
      </c>
      <c r="O436" s="719"/>
      <c r="P436" s="469">
        <f t="shared" ref="P436" si="311">SUM(O436)</f>
        <v>0</v>
      </c>
      <c r="Q436" s="497" t="s">
        <v>677</v>
      </c>
    </row>
    <row r="437" spans="1:17" ht="47.25" customHeight="1" x14ac:dyDescent="0.25">
      <c r="A437" s="724"/>
      <c r="B437" s="709" t="s">
        <v>1361</v>
      </c>
      <c r="C437" s="717"/>
      <c r="D437" s="708"/>
      <c r="E437" s="708"/>
      <c r="F437" s="720"/>
      <c r="G437" s="720"/>
      <c r="H437" s="479"/>
      <c r="I437" s="717"/>
      <c r="J437" s="717"/>
      <c r="K437" s="720"/>
      <c r="L437" s="479"/>
      <c r="M437" s="717"/>
      <c r="N437" s="720">
        <v>-300000</v>
      </c>
      <c r="O437" s="719"/>
      <c r="P437" s="469">
        <f t="shared" ref="P437:P439" si="312">SUM(O437)</f>
        <v>0</v>
      </c>
      <c r="Q437" s="497" t="s">
        <v>677</v>
      </c>
    </row>
    <row r="438" spans="1:17" ht="47.25" customHeight="1" x14ac:dyDescent="0.25">
      <c r="A438" s="724"/>
      <c r="B438" s="709" t="s">
        <v>1362</v>
      </c>
      <c r="C438" s="717"/>
      <c r="D438" s="708"/>
      <c r="E438" s="708"/>
      <c r="F438" s="720"/>
      <c r="G438" s="720"/>
      <c r="H438" s="479"/>
      <c r="I438" s="717"/>
      <c r="J438" s="717"/>
      <c r="K438" s="720"/>
      <c r="L438" s="479"/>
      <c r="M438" s="717"/>
      <c r="N438" s="720">
        <v>121500</v>
      </c>
      <c r="O438" s="719"/>
      <c r="P438" s="469">
        <f t="shared" si="312"/>
        <v>0</v>
      </c>
      <c r="Q438" s="497" t="s">
        <v>677</v>
      </c>
    </row>
    <row r="439" spans="1:17" ht="47.25" customHeight="1" x14ac:dyDescent="0.25">
      <c r="A439" s="724"/>
      <c r="B439" s="709" t="s">
        <v>1363</v>
      </c>
      <c r="C439" s="717"/>
      <c r="D439" s="708"/>
      <c r="E439" s="708"/>
      <c r="F439" s="720"/>
      <c r="G439" s="720"/>
      <c r="H439" s="479"/>
      <c r="I439" s="717"/>
      <c r="J439" s="717"/>
      <c r="K439" s="720"/>
      <c r="L439" s="479"/>
      <c r="M439" s="717"/>
      <c r="N439" s="720">
        <v>-121500</v>
      </c>
      <c r="O439" s="719"/>
      <c r="P439" s="469">
        <f t="shared" si="312"/>
        <v>0</v>
      </c>
      <c r="Q439" s="497" t="s">
        <v>677</v>
      </c>
    </row>
    <row r="440" spans="1:17" x14ac:dyDescent="0.25">
      <c r="A440" s="724"/>
      <c r="B440" s="709"/>
      <c r="C440" s="717"/>
      <c r="D440" s="708"/>
      <c r="E440" s="708"/>
      <c r="F440" s="720"/>
      <c r="G440" s="720"/>
      <c r="H440" s="479"/>
      <c r="I440" s="717"/>
      <c r="J440" s="717"/>
      <c r="K440" s="720"/>
      <c r="L440" s="479"/>
      <c r="M440" s="717"/>
      <c r="N440" s="720"/>
      <c r="O440" s="719"/>
      <c r="P440" s="469"/>
    </row>
    <row r="441" spans="1:17" ht="47.25" x14ac:dyDescent="0.25">
      <c r="A441" s="724"/>
      <c r="B441" s="728" t="s">
        <v>1016</v>
      </c>
      <c r="C441" s="717"/>
      <c r="D441" s="708"/>
      <c r="E441" s="708"/>
      <c r="F441" s="720"/>
      <c r="G441" s="720"/>
      <c r="H441" s="479"/>
      <c r="I441" s="717"/>
      <c r="J441" s="717"/>
      <c r="K441" s="720"/>
      <c r="L441" s="479"/>
      <c r="M441" s="717"/>
      <c r="N441" s="720"/>
      <c r="O441" s="719"/>
      <c r="P441" s="479"/>
    </row>
    <row r="442" spans="1:17" ht="94.5" x14ac:dyDescent="0.25">
      <c r="A442" s="724"/>
      <c r="B442" s="709" t="s">
        <v>1364</v>
      </c>
      <c r="C442" s="717"/>
      <c r="D442" s="708"/>
      <c r="E442" s="708"/>
      <c r="F442" s="720"/>
      <c r="G442" s="720"/>
      <c r="H442" s="479"/>
      <c r="I442" s="717"/>
      <c r="J442" s="717"/>
      <c r="K442" s="720"/>
      <c r="L442" s="479"/>
      <c r="M442" s="717"/>
      <c r="N442" s="720">
        <v>500000</v>
      </c>
      <c r="O442" s="719"/>
      <c r="P442" s="479">
        <f t="shared" ref="P442" si="313">SUM(O442)</f>
        <v>0</v>
      </c>
      <c r="Q442" s="497" t="s">
        <v>677</v>
      </c>
    </row>
    <row r="443" spans="1:17" ht="94.5" x14ac:dyDescent="0.25">
      <c r="A443" s="724"/>
      <c r="B443" s="709" t="s">
        <v>1179</v>
      </c>
      <c r="C443" s="717"/>
      <c r="D443" s="708"/>
      <c r="E443" s="708"/>
      <c r="F443" s="720"/>
      <c r="G443" s="720"/>
      <c r="H443" s="479"/>
      <c r="I443" s="717"/>
      <c r="J443" s="717"/>
      <c r="K443" s="720"/>
      <c r="L443" s="479"/>
      <c r="M443" s="717"/>
      <c r="N443" s="720">
        <f>500000+100000</f>
        <v>600000</v>
      </c>
      <c r="O443" s="719"/>
      <c r="P443" s="479">
        <f t="shared" ref="P443" si="314">SUM(O443)</f>
        <v>0</v>
      </c>
      <c r="Q443" s="497" t="s">
        <v>677</v>
      </c>
    </row>
    <row r="444" spans="1:17" ht="94.5" x14ac:dyDescent="0.25">
      <c r="A444" s="727"/>
      <c r="B444" s="709" t="s">
        <v>1365</v>
      </c>
      <c r="C444" s="729"/>
      <c r="D444" s="730"/>
      <c r="E444" s="730"/>
      <c r="F444" s="731"/>
      <c r="G444" s="731"/>
      <c r="H444" s="504"/>
      <c r="I444" s="729"/>
      <c r="J444" s="729"/>
      <c r="K444" s="731"/>
      <c r="L444" s="504"/>
      <c r="M444" s="729"/>
      <c r="N444" s="731">
        <v>90000</v>
      </c>
      <c r="O444" s="719"/>
      <c r="P444" s="469"/>
    </row>
    <row r="445" spans="1:17" ht="110.25" x14ac:dyDescent="0.25">
      <c r="A445" s="727"/>
      <c r="B445" s="709" t="s">
        <v>1366</v>
      </c>
      <c r="C445" s="729"/>
      <c r="D445" s="730"/>
      <c r="E445" s="730"/>
      <c r="F445" s="731"/>
      <c r="G445" s="731"/>
      <c r="H445" s="504"/>
      <c r="I445" s="729"/>
      <c r="J445" s="729"/>
      <c r="K445" s="731"/>
      <c r="L445" s="504"/>
      <c r="M445" s="729"/>
      <c r="N445" s="731">
        <v>30000</v>
      </c>
      <c r="O445" s="719"/>
      <c r="P445" s="469"/>
    </row>
    <row r="446" spans="1:17" ht="63" x14ac:dyDescent="0.25">
      <c r="A446" s="727"/>
      <c r="B446" s="709" t="s">
        <v>1367</v>
      </c>
      <c r="C446" s="729"/>
      <c r="D446" s="730"/>
      <c r="E446" s="730"/>
      <c r="F446" s="731"/>
      <c r="G446" s="731"/>
      <c r="H446" s="504"/>
      <c r="I446" s="729"/>
      <c r="J446" s="729"/>
      <c r="K446" s="731"/>
      <c r="L446" s="504"/>
      <c r="M446" s="729"/>
      <c r="N446" s="731">
        <v>51242</v>
      </c>
      <c r="O446" s="719"/>
      <c r="P446" s="469"/>
    </row>
    <row r="447" spans="1:17" ht="51" customHeight="1" x14ac:dyDescent="0.25">
      <c r="A447" s="727"/>
      <c r="B447" s="709" t="s">
        <v>1368</v>
      </c>
      <c r="C447" s="729"/>
      <c r="D447" s="730"/>
      <c r="E447" s="730"/>
      <c r="F447" s="731"/>
      <c r="G447" s="731"/>
      <c r="H447" s="504"/>
      <c r="I447" s="729"/>
      <c r="J447" s="729"/>
      <c r="K447" s="731"/>
      <c r="L447" s="504"/>
      <c r="M447" s="729"/>
      <c r="N447" s="731">
        <v>31034</v>
      </c>
      <c r="O447" s="719"/>
      <c r="P447" s="469"/>
    </row>
    <row r="448" spans="1:17" ht="51.75" customHeight="1" x14ac:dyDescent="0.25">
      <c r="A448" s="727"/>
      <c r="B448" s="709" t="s">
        <v>1369</v>
      </c>
      <c r="C448" s="729"/>
      <c r="D448" s="730"/>
      <c r="E448" s="730"/>
      <c r="F448" s="731"/>
      <c r="G448" s="731"/>
      <c r="H448" s="504"/>
      <c r="I448" s="729"/>
      <c r="J448" s="729"/>
      <c r="K448" s="731"/>
      <c r="L448" s="504"/>
      <c r="M448" s="729"/>
      <c r="N448" s="731">
        <v>141586</v>
      </c>
      <c r="O448" s="719"/>
      <c r="P448" s="469"/>
    </row>
    <row r="449" spans="1:16" ht="47.25" x14ac:dyDescent="0.25">
      <c r="A449" s="724"/>
      <c r="B449" s="709" t="s">
        <v>1370</v>
      </c>
      <c r="C449" s="717"/>
      <c r="D449" s="708"/>
      <c r="E449" s="708"/>
      <c r="F449" s="720"/>
      <c r="G449" s="720"/>
      <c r="H449" s="479"/>
      <c r="I449" s="717"/>
      <c r="J449" s="717"/>
      <c r="K449" s="720"/>
      <c r="L449" s="479"/>
      <c r="M449" s="717"/>
      <c r="N449" s="720">
        <v>300000</v>
      </c>
      <c r="O449" s="719"/>
      <c r="P449" s="479"/>
    </row>
    <row r="450" spans="1:16" ht="63" x14ac:dyDescent="0.25">
      <c r="A450" s="724"/>
      <c r="B450" s="709" t="s">
        <v>1371</v>
      </c>
      <c r="C450" s="717"/>
      <c r="D450" s="708"/>
      <c r="E450" s="708"/>
      <c r="F450" s="720"/>
      <c r="G450" s="720"/>
      <c r="H450" s="479"/>
      <c r="I450" s="717"/>
      <c r="J450" s="717"/>
      <c r="K450" s="720"/>
      <c r="L450" s="479"/>
      <c r="M450" s="717"/>
      <c r="N450" s="720">
        <v>114754</v>
      </c>
      <c r="O450" s="719"/>
      <c r="P450" s="479"/>
    </row>
    <row r="451" spans="1:16" ht="47.25" x14ac:dyDescent="0.25">
      <c r="A451" s="727"/>
      <c r="B451" s="709" t="s">
        <v>1372</v>
      </c>
      <c r="C451" s="729"/>
      <c r="D451" s="730"/>
      <c r="E451" s="730"/>
      <c r="F451" s="731"/>
      <c r="G451" s="731"/>
      <c r="H451" s="504"/>
      <c r="I451" s="729"/>
      <c r="J451" s="729"/>
      <c r="K451" s="731"/>
      <c r="L451" s="504"/>
      <c r="M451" s="729"/>
      <c r="N451" s="731">
        <v>23000</v>
      </c>
      <c r="O451" s="719"/>
      <c r="P451" s="469"/>
    </row>
    <row r="452" spans="1:16" ht="47.25" x14ac:dyDescent="0.25">
      <c r="A452" s="727"/>
      <c r="B452" s="709" t="s">
        <v>1372</v>
      </c>
      <c r="C452" s="729"/>
      <c r="D452" s="730"/>
      <c r="E452" s="730"/>
      <c r="F452" s="731"/>
      <c r="G452" s="731"/>
      <c r="H452" s="504"/>
      <c r="I452" s="729"/>
      <c r="J452" s="729"/>
      <c r="K452" s="731"/>
      <c r="L452" s="504"/>
      <c r="M452" s="729"/>
      <c r="N452" s="731">
        <v>20000</v>
      </c>
      <c r="O452" s="719"/>
      <c r="P452" s="469"/>
    </row>
    <row r="453" spans="1:16" x14ac:dyDescent="0.25">
      <c r="A453" s="727"/>
      <c r="B453" s="732"/>
      <c r="C453" s="729"/>
      <c r="D453" s="730"/>
      <c r="E453" s="730"/>
      <c r="F453" s="731"/>
      <c r="G453" s="731"/>
      <c r="H453" s="504"/>
      <c r="I453" s="729"/>
      <c r="J453" s="729"/>
      <c r="K453" s="731"/>
      <c r="L453" s="504"/>
      <c r="M453" s="729"/>
      <c r="N453" s="731"/>
      <c r="O453" s="719"/>
      <c r="P453" s="469"/>
    </row>
    <row r="454" spans="1:16" x14ac:dyDescent="0.25">
      <c r="A454" s="727"/>
      <c r="B454" s="733" t="s">
        <v>1174</v>
      </c>
      <c r="C454" s="729"/>
      <c r="D454" s="730"/>
      <c r="E454" s="730"/>
      <c r="F454" s="731"/>
      <c r="G454" s="731"/>
      <c r="H454" s="504"/>
      <c r="I454" s="729"/>
      <c r="J454" s="729"/>
      <c r="K454" s="731"/>
      <c r="L454" s="504"/>
      <c r="M454" s="729"/>
      <c r="N454" s="731"/>
      <c r="O454" s="719"/>
      <c r="P454" s="469"/>
    </row>
    <row r="455" spans="1:16" ht="94.5" x14ac:dyDescent="0.25">
      <c r="A455" s="727"/>
      <c r="B455" s="732" t="s">
        <v>1170</v>
      </c>
      <c r="C455" s="729"/>
      <c r="D455" s="730"/>
      <c r="E455" s="730"/>
      <c r="F455" s="731"/>
      <c r="G455" s="731"/>
      <c r="H455" s="504"/>
      <c r="I455" s="729"/>
      <c r="J455" s="729"/>
      <c r="K455" s="731"/>
      <c r="L455" s="504"/>
      <c r="M455" s="729"/>
      <c r="N455" s="731">
        <v>-988</v>
      </c>
      <c r="O455" s="719"/>
      <c r="P455" s="469"/>
    </row>
    <row r="456" spans="1:16" x14ac:dyDescent="0.25">
      <c r="A456" s="727"/>
      <c r="B456" s="733" t="s">
        <v>454</v>
      </c>
      <c r="C456" s="729"/>
      <c r="D456" s="730"/>
      <c r="E456" s="730"/>
      <c r="F456" s="731"/>
      <c r="G456" s="731"/>
      <c r="H456" s="504"/>
      <c r="I456" s="729"/>
      <c r="J456" s="729"/>
      <c r="K456" s="731"/>
      <c r="L456" s="504"/>
      <c r="M456" s="729"/>
      <c r="N456" s="722"/>
      <c r="O456" s="719"/>
      <c r="P456" s="469"/>
    </row>
    <row r="457" spans="1:16" x14ac:dyDescent="0.25">
      <c r="A457" s="727"/>
      <c r="B457" s="732" t="s">
        <v>1175</v>
      </c>
      <c r="C457" s="729"/>
      <c r="D457" s="730"/>
      <c r="E457" s="730"/>
      <c r="F457" s="731"/>
      <c r="G457" s="731"/>
      <c r="H457" s="504"/>
      <c r="I457" s="729"/>
      <c r="J457" s="729"/>
      <c r="K457" s="731"/>
      <c r="L457" s="504"/>
      <c r="M457" s="729"/>
      <c r="N457" s="451">
        <v>80076</v>
      </c>
      <c r="O457" s="719"/>
      <c r="P457" s="469"/>
    </row>
    <row r="458" spans="1:16" ht="47.25" x14ac:dyDescent="0.25">
      <c r="A458" s="727"/>
      <c r="B458" s="732" t="s">
        <v>1176</v>
      </c>
      <c r="C458" s="729"/>
      <c r="D458" s="730"/>
      <c r="E458" s="730"/>
      <c r="F458" s="731"/>
      <c r="G458" s="731"/>
      <c r="H458" s="504"/>
      <c r="I458" s="729"/>
      <c r="J458" s="729"/>
      <c r="K458" s="731"/>
      <c r="L458" s="504"/>
      <c r="M458" s="729"/>
      <c r="N458" s="451">
        <v>3542</v>
      </c>
      <c r="O458" s="719"/>
      <c r="P458" s="469"/>
    </row>
    <row r="459" spans="1:16" x14ac:dyDescent="0.25">
      <c r="A459" s="727"/>
      <c r="B459" s="732" t="s">
        <v>1177</v>
      </c>
      <c r="C459" s="729"/>
      <c r="D459" s="730"/>
      <c r="E459" s="730"/>
      <c r="F459" s="731"/>
      <c r="G459" s="731"/>
      <c r="H459" s="504"/>
      <c r="I459" s="729"/>
      <c r="J459" s="729"/>
      <c r="K459" s="731"/>
      <c r="L459" s="504"/>
      <c r="M459" s="729"/>
      <c r="N459" s="451">
        <v>33576</v>
      </c>
      <c r="O459" s="719"/>
      <c r="P459" s="469"/>
    </row>
    <row r="460" spans="1:16" ht="31.5" x14ac:dyDescent="0.25">
      <c r="A460" s="727"/>
      <c r="B460" s="732" t="s">
        <v>1178</v>
      </c>
      <c r="C460" s="729"/>
      <c r="D460" s="730"/>
      <c r="E460" s="730"/>
      <c r="F460" s="731"/>
      <c r="G460" s="731"/>
      <c r="H460" s="504"/>
      <c r="I460" s="729"/>
      <c r="J460" s="729"/>
      <c r="K460" s="731"/>
      <c r="L460" s="504"/>
      <c r="M460" s="729"/>
      <c r="N460" s="451">
        <v>3680</v>
      </c>
      <c r="O460" s="719"/>
      <c r="P460" s="469"/>
    </row>
    <row r="461" spans="1:16" ht="71.25" customHeight="1" x14ac:dyDescent="0.25">
      <c r="A461" s="727"/>
      <c r="B461" s="734" t="s">
        <v>1373</v>
      </c>
      <c r="C461" s="729"/>
      <c r="D461" s="730"/>
      <c r="E461" s="730"/>
      <c r="F461" s="731"/>
      <c r="G461" s="731"/>
      <c r="H461" s="504"/>
      <c r="I461" s="729"/>
      <c r="J461" s="729"/>
      <c r="K461" s="731"/>
      <c r="L461" s="504"/>
      <c r="M461" s="729"/>
      <c r="N461" s="710">
        <f>135000+48591</f>
        <v>183591</v>
      </c>
      <c r="O461" s="719"/>
      <c r="P461" s="469"/>
    </row>
    <row r="462" spans="1:16" x14ac:dyDescent="0.25">
      <c r="A462" s="724"/>
      <c r="B462" s="728" t="s">
        <v>1169</v>
      </c>
      <c r="C462" s="717"/>
      <c r="D462" s="708"/>
      <c r="E462" s="708"/>
      <c r="F462" s="720"/>
      <c r="G462" s="720"/>
      <c r="H462" s="479"/>
      <c r="I462" s="717"/>
      <c r="J462" s="717"/>
      <c r="K462" s="720"/>
      <c r="L462" s="479"/>
      <c r="M462" s="717"/>
      <c r="N462" s="720"/>
      <c r="O462" s="719"/>
      <c r="P462" s="479"/>
    </row>
    <row r="463" spans="1:16" ht="94.5" x14ac:dyDescent="0.25">
      <c r="A463" s="724"/>
      <c r="B463" s="709" t="s">
        <v>1170</v>
      </c>
      <c r="C463" s="717"/>
      <c r="D463" s="708"/>
      <c r="E463" s="708"/>
      <c r="F463" s="720"/>
      <c r="G463" s="720"/>
      <c r="H463" s="479"/>
      <c r="I463" s="717"/>
      <c r="J463" s="717"/>
      <c r="K463" s="720"/>
      <c r="L463" s="479"/>
      <c r="M463" s="717"/>
      <c r="N463" s="720">
        <v>-2100</v>
      </c>
      <c r="O463" s="719"/>
      <c r="P463" s="479"/>
    </row>
    <row r="464" spans="1:16" ht="110.25" x14ac:dyDescent="0.25">
      <c r="A464" s="727"/>
      <c r="B464" s="732" t="s">
        <v>1180</v>
      </c>
      <c r="C464" s="729"/>
      <c r="D464" s="730"/>
      <c r="E464" s="730"/>
      <c r="F464" s="731"/>
      <c r="G464" s="731"/>
      <c r="H464" s="504"/>
      <c r="I464" s="729"/>
      <c r="J464" s="729"/>
      <c r="K464" s="731"/>
      <c r="L464" s="504"/>
      <c r="M464" s="729"/>
      <c r="N464" s="731">
        <v>-1749</v>
      </c>
      <c r="O464" s="719"/>
      <c r="P464" s="469"/>
    </row>
    <row r="465" spans="1:16" ht="94.5" x14ac:dyDescent="0.25">
      <c r="A465" s="727"/>
      <c r="B465" s="732" t="s">
        <v>1181</v>
      </c>
      <c r="C465" s="729"/>
      <c r="D465" s="730"/>
      <c r="E465" s="730"/>
      <c r="F465" s="731"/>
      <c r="G465" s="731"/>
      <c r="H465" s="504"/>
      <c r="I465" s="729"/>
      <c r="J465" s="729"/>
      <c r="K465" s="731"/>
      <c r="L465" s="504"/>
      <c r="M465" s="729"/>
      <c r="N465" s="731">
        <v>-2789</v>
      </c>
      <c r="O465" s="719"/>
      <c r="P465" s="469"/>
    </row>
    <row r="466" spans="1:16" ht="110.25" x14ac:dyDescent="0.25">
      <c r="A466" s="727"/>
      <c r="B466" s="732" t="s">
        <v>1182</v>
      </c>
      <c r="C466" s="729"/>
      <c r="D466" s="730"/>
      <c r="E466" s="730"/>
      <c r="F466" s="731"/>
      <c r="G466" s="731"/>
      <c r="H466" s="504"/>
      <c r="I466" s="729"/>
      <c r="J466" s="729"/>
      <c r="K466" s="731"/>
      <c r="L466" s="504"/>
      <c r="M466" s="729"/>
      <c r="N466" s="731">
        <v>-3000</v>
      </c>
      <c r="O466" s="719"/>
      <c r="P466" s="469"/>
    </row>
    <row r="467" spans="1:16" ht="94.5" x14ac:dyDescent="0.25">
      <c r="A467" s="727"/>
      <c r="B467" s="732" t="s">
        <v>1183</v>
      </c>
      <c r="C467" s="729"/>
      <c r="D467" s="730"/>
      <c r="E467" s="730"/>
      <c r="F467" s="731"/>
      <c r="G467" s="731"/>
      <c r="H467" s="504"/>
      <c r="I467" s="729"/>
      <c r="J467" s="729"/>
      <c r="K467" s="731"/>
      <c r="L467" s="504"/>
      <c r="M467" s="729"/>
      <c r="N467" s="731">
        <v>-18587</v>
      </c>
      <c r="O467" s="719"/>
      <c r="P467" s="469"/>
    </row>
    <row r="468" spans="1:16" ht="94.5" x14ac:dyDescent="0.25">
      <c r="A468" s="724"/>
      <c r="B468" s="709" t="s">
        <v>1184</v>
      </c>
      <c r="C468" s="717"/>
      <c r="D468" s="708"/>
      <c r="E468" s="708"/>
      <c r="F468" s="720"/>
      <c r="G468" s="720"/>
      <c r="H468" s="479"/>
      <c r="I468" s="717"/>
      <c r="J468" s="717"/>
      <c r="K468" s="720"/>
      <c r="L468" s="479"/>
      <c r="M468" s="717"/>
      <c r="N468" s="720">
        <v>-1128</v>
      </c>
      <c r="O468" s="719"/>
      <c r="P468" s="479"/>
    </row>
    <row r="469" spans="1:16" ht="94.5" x14ac:dyDescent="0.25">
      <c r="A469" s="724"/>
      <c r="B469" s="709" t="s">
        <v>1185</v>
      </c>
      <c r="C469" s="717"/>
      <c r="D469" s="708"/>
      <c r="E469" s="708"/>
      <c r="F469" s="720"/>
      <c r="G469" s="720"/>
      <c r="H469" s="479"/>
      <c r="I469" s="717"/>
      <c r="J469" s="717"/>
      <c r="K469" s="720"/>
      <c r="L469" s="479"/>
      <c r="M469" s="717"/>
      <c r="N469" s="720">
        <v>-10668</v>
      </c>
      <c r="O469" s="719"/>
      <c r="P469" s="479"/>
    </row>
    <row r="470" spans="1:16" ht="114.75" customHeight="1" x14ac:dyDescent="0.25">
      <c r="A470" s="727"/>
      <c r="B470" s="732" t="s">
        <v>1186</v>
      </c>
      <c r="C470" s="729"/>
      <c r="D470" s="730"/>
      <c r="E470" s="730"/>
      <c r="F470" s="731"/>
      <c r="G470" s="731"/>
      <c r="H470" s="504"/>
      <c r="I470" s="729"/>
      <c r="J470" s="729"/>
      <c r="K470" s="731"/>
      <c r="L470" s="504"/>
      <c r="M470" s="729"/>
      <c r="N470" s="731">
        <v>-30000</v>
      </c>
      <c r="O470" s="719"/>
      <c r="P470" s="469"/>
    </row>
    <row r="471" spans="1:16" ht="110.25" x14ac:dyDescent="0.25">
      <c r="A471" s="727"/>
      <c r="B471" s="732" t="s">
        <v>1193</v>
      </c>
      <c r="C471" s="729"/>
      <c r="D471" s="730"/>
      <c r="E471" s="730"/>
      <c r="F471" s="731"/>
      <c r="G471" s="731"/>
      <c r="H471" s="504"/>
      <c r="I471" s="729"/>
      <c r="J471" s="729"/>
      <c r="K471" s="731"/>
      <c r="L471" s="504"/>
      <c r="M471" s="729"/>
      <c r="N471" s="731">
        <v>-6400</v>
      </c>
      <c r="O471" s="719"/>
      <c r="P471" s="469"/>
    </row>
    <row r="472" spans="1:16" ht="31.5" x14ac:dyDescent="0.25">
      <c r="A472" s="727"/>
      <c r="B472" s="732" t="s">
        <v>1172</v>
      </c>
      <c r="C472" s="729"/>
      <c r="D472" s="730"/>
      <c r="E472" s="730"/>
      <c r="F472" s="731"/>
      <c r="G472" s="731"/>
      <c r="H472" s="504"/>
      <c r="I472" s="729"/>
      <c r="J472" s="729"/>
      <c r="K472" s="731"/>
      <c r="L472" s="504"/>
      <c r="M472" s="729"/>
      <c r="N472" s="731">
        <v>-16751</v>
      </c>
      <c r="O472" s="719"/>
      <c r="P472" s="469"/>
    </row>
    <row r="473" spans="1:16" x14ac:dyDescent="0.25">
      <c r="A473" s="727"/>
      <c r="B473" s="732" t="s">
        <v>1171</v>
      </c>
      <c r="C473" s="729"/>
      <c r="D473" s="730"/>
      <c r="E473" s="730"/>
      <c r="F473" s="731"/>
      <c r="G473" s="731"/>
      <c r="H473" s="504"/>
      <c r="I473" s="729"/>
      <c r="J473" s="729"/>
      <c r="K473" s="731"/>
      <c r="L473" s="504"/>
      <c r="M473" s="729"/>
      <c r="N473" s="731">
        <v>-76847</v>
      </c>
      <c r="O473" s="719"/>
      <c r="P473" s="469"/>
    </row>
    <row r="474" spans="1:16" ht="47.25" x14ac:dyDescent="0.25">
      <c r="A474" s="727"/>
      <c r="B474" s="732" t="s">
        <v>1173</v>
      </c>
      <c r="C474" s="729"/>
      <c r="D474" s="730"/>
      <c r="E474" s="730"/>
      <c r="F474" s="731"/>
      <c r="G474" s="731"/>
      <c r="H474" s="504"/>
      <c r="I474" s="729"/>
      <c r="J474" s="729"/>
      <c r="K474" s="731"/>
      <c r="L474" s="504"/>
      <c r="M474" s="729"/>
      <c r="N474" s="722">
        <v>-12490</v>
      </c>
      <c r="O474" s="719"/>
      <c r="P474" s="469"/>
    </row>
    <row r="475" spans="1:16" x14ac:dyDescent="0.25">
      <c r="A475" s="727"/>
      <c r="B475" s="732" t="s">
        <v>1175</v>
      </c>
      <c r="C475" s="729"/>
      <c r="D475" s="730"/>
      <c r="E475" s="730"/>
      <c r="F475" s="731"/>
      <c r="G475" s="731"/>
      <c r="H475" s="504"/>
      <c r="I475" s="729"/>
      <c r="J475" s="729"/>
      <c r="K475" s="731"/>
      <c r="L475" s="504"/>
      <c r="M475" s="729"/>
      <c r="N475" s="735">
        <v>-80076</v>
      </c>
      <c r="O475" s="719"/>
      <c r="P475" s="469"/>
    </row>
    <row r="476" spans="1:16" ht="47.25" x14ac:dyDescent="0.25">
      <c r="A476" s="727"/>
      <c r="B476" s="732" t="s">
        <v>1176</v>
      </c>
      <c r="C476" s="729"/>
      <c r="D476" s="730"/>
      <c r="E476" s="730"/>
      <c r="F476" s="731"/>
      <c r="G476" s="731"/>
      <c r="H476" s="504"/>
      <c r="I476" s="729"/>
      <c r="J476" s="729"/>
      <c r="K476" s="731"/>
      <c r="L476" s="504"/>
      <c r="M476" s="729"/>
      <c r="N476" s="735">
        <v>-3542</v>
      </c>
      <c r="O476" s="719"/>
      <c r="P476" s="469"/>
    </row>
    <row r="477" spans="1:16" x14ac:dyDescent="0.25">
      <c r="A477" s="727"/>
      <c r="B477" s="732" t="s">
        <v>1177</v>
      </c>
      <c r="C477" s="729"/>
      <c r="D477" s="730"/>
      <c r="E477" s="730"/>
      <c r="F477" s="731"/>
      <c r="G477" s="731"/>
      <c r="H477" s="504"/>
      <c r="I477" s="729"/>
      <c r="J477" s="729"/>
      <c r="K477" s="731"/>
      <c r="L477" s="504"/>
      <c r="M477" s="729"/>
      <c r="N477" s="735">
        <v>-33576</v>
      </c>
      <c r="O477" s="719"/>
      <c r="P477" s="469"/>
    </row>
    <row r="478" spans="1:16" ht="31.5" x14ac:dyDescent="0.25">
      <c r="A478" s="727"/>
      <c r="B478" s="732" t="s">
        <v>1178</v>
      </c>
      <c r="C478" s="729"/>
      <c r="D478" s="730"/>
      <c r="E478" s="730"/>
      <c r="F478" s="731"/>
      <c r="G478" s="731"/>
      <c r="H478" s="504"/>
      <c r="I478" s="729"/>
      <c r="J478" s="729"/>
      <c r="K478" s="731"/>
      <c r="L478" s="504"/>
      <c r="M478" s="729"/>
      <c r="N478" s="735">
        <v>-3680</v>
      </c>
      <c r="O478" s="719"/>
      <c r="P478" s="469"/>
    </row>
    <row r="479" spans="1:16" ht="63" x14ac:dyDescent="0.25">
      <c r="A479" s="724"/>
      <c r="B479" s="709" t="s">
        <v>1373</v>
      </c>
      <c r="C479" s="717"/>
      <c r="D479" s="708"/>
      <c r="E479" s="708"/>
      <c r="F479" s="720"/>
      <c r="G479" s="720"/>
      <c r="H479" s="479"/>
      <c r="I479" s="717"/>
      <c r="J479" s="717"/>
      <c r="K479" s="720"/>
      <c r="L479" s="479"/>
      <c r="M479" s="717"/>
      <c r="N479" s="959">
        <v>-135000</v>
      </c>
      <c r="O479" s="719"/>
      <c r="P479" s="479"/>
    </row>
    <row r="480" spans="1:16" ht="63" x14ac:dyDescent="0.25">
      <c r="A480" s="724"/>
      <c r="B480" s="709" t="s">
        <v>1373</v>
      </c>
      <c r="C480" s="717"/>
      <c r="D480" s="708"/>
      <c r="E480" s="708"/>
      <c r="F480" s="720"/>
      <c r="G480" s="720"/>
      <c r="H480" s="479"/>
      <c r="I480" s="717"/>
      <c r="J480" s="717"/>
      <c r="K480" s="720"/>
      <c r="L480" s="479"/>
      <c r="M480" s="717"/>
      <c r="N480" s="959">
        <v>-48591</v>
      </c>
      <c r="O480" s="719"/>
      <c r="P480" s="479"/>
    </row>
    <row r="481" spans="1:16" ht="63" x14ac:dyDescent="0.25">
      <c r="A481" s="727"/>
      <c r="B481" s="732" t="s">
        <v>1374</v>
      </c>
      <c r="C481" s="729"/>
      <c r="D481" s="730"/>
      <c r="E481" s="730"/>
      <c r="F481" s="731"/>
      <c r="G481" s="731"/>
      <c r="H481" s="504"/>
      <c r="I481" s="729"/>
      <c r="J481" s="729"/>
      <c r="K481" s="731"/>
      <c r="L481" s="504"/>
      <c r="M481" s="729"/>
      <c r="N481" s="735">
        <v>-12451</v>
      </c>
      <c r="O481" s="719"/>
      <c r="P481" s="469"/>
    </row>
    <row r="482" spans="1:16" x14ac:dyDescent="0.25">
      <c r="A482" s="727"/>
      <c r="B482" s="732"/>
      <c r="C482" s="729"/>
      <c r="D482" s="730"/>
      <c r="E482" s="730"/>
      <c r="F482" s="731"/>
      <c r="G482" s="731"/>
      <c r="H482" s="504"/>
      <c r="I482" s="729"/>
      <c r="J482" s="729"/>
      <c r="K482" s="731"/>
      <c r="L482" s="504"/>
      <c r="M482" s="729"/>
      <c r="N482" s="731"/>
      <c r="O482" s="719"/>
      <c r="P482" s="469"/>
    </row>
    <row r="483" spans="1:16" ht="16.5" thickBot="1" x14ac:dyDescent="0.3">
      <c r="A483" s="505" t="s">
        <v>47</v>
      </c>
      <c r="B483" s="506" t="s">
        <v>48</v>
      </c>
      <c r="C483" s="729"/>
      <c r="D483" s="730"/>
      <c r="E483" s="730"/>
      <c r="F483" s="731"/>
      <c r="G483" s="731"/>
      <c r="H483" s="504"/>
      <c r="I483" s="729"/>
      <c r="J483" s="729"/>
      <c r="K483" s="731"/>
      <c r="L483" s="504"/>
      <c r="M483" s="507">
        <f>SUM(M356:M482)</f>
        <v>-127541</v>
      </c>
      <c r="N483" s="508">
        <f>SUM(N391:N482)</f>
        <v>2074590</v>
      </c>
      <c r="O483" s="504">
        <f>M483+N483</f>
        <v>1947049</v>
      </c>
      <c r="P483" s="469">
        <f>SUM(O483)</f>
        <v>1947049</v>
      </c>
    </row>
    <row r="484" spans="1:16" ht="17.25" thickTop="1" thickBot="1" x14ac:dyDescent="0.3">
      <c r="A484" s="509" t="s">
        <v>49</v>
      </c>
      <c r="B484" s="510" t="s">
        <v>50</v>
      </c>
      <c r="C484" s="511">
        <f>SUM(C354:C390)</f>
        <v>398249</v>
      </c>
      <c r="D484" s="511">
        <f t="shared" ref="D484:L484" si="315">SUM(D354:D483)</f>
        <v>98069</v>
      </c>
      <c r="E484" s="511">
        <f t="shared" si="315"/>
        <v>8961959</v>
      </c>
      <c r="F484" s="511">
        <f t="shared" si="315"/>
        <v>220370</v>
      </c>
      <c r="G484" s="511">
        <f t="shared" si="315"/>
        <v>11719550</v>
      </c>
      <c r="H484" s="511">
        <f t="shared" si="315"/>
        <v>21398197</v>
      </c>
      <c r="I484" s="511">
        <f t="shared" si="315"/>
        <v>23745405</v>
      </c>
      <c r="J484" s="511">
        <f t="shared" si="315"/>
        <v>340659</v>
      </c>
      <c r="K484" s="511">
        <f t="shared" si="315"/>
        <v>1436954</v>
      </c>
      <c r="L484" s="511">
        <f t="shared" si="315"/>
        <v>25523018</v>
      </c>
      <c r="M484" s="511">
        <f>SUM(M354+M483)</f>
        <v>272459</v>
      </c>
      <c r="N484" s="511">
        <f>SUM(N354+N483)</f>
        <v>2811406</v>
      </c>
      <c r="O484" s="511">
        <f>SUM(O354+O483)</f>
        <v>3083865</v>
      </c>
      <c r="P484" s="511">
        <f>SUM(P354+P483)</f>
        <v>50005080</v>
      </c>
    </row>
    <row r="485" spans="1:16" x14ac:dyDescent="0.25">
      <c r="B485" s="712"/>
    </row>
    <row r="486" spans="1:16" hidden="1" x14ac:dyDescent="0.25">
      <c r="B486" s="712"/>
      <c r="C486" s="497">
        <f t="shared" ref="C486:P486" si="316">SUM(C484-C9)</f>
        <v>-21972</v>
      </c>
      <c r="D486" s="497">
        <f t="shared" si="316"/>
        <v>10433</v>
      </c>
      <c r="E486" s="497">
        <f t="shared" si="316"/>
        <v>-447792</v>
      </c>
      <c r="F486" s="497">
        <f t="shared" si="316"/>
        <v>20224</v>
      </c>
      <c r="G486" s="497">
        <f t="shared" si="316"/>
        <v>-1892350</v>
      </c>
      <c r="H486" s="497">
        <f t="shared" si="316"/>
        <v>-2331457</v>
      </c>
      <c r="I486" s="497">
        <f t="shared" si="316"/>
        <v>-775147</v>
      </c>
      <c r="J486" s="497">
        <f t="shared" si="316"/>
        <v>22953</v>
      </c>
      <c r="K486" s="497">
        <f t="shared" si="316"/>
        <v>-726139</v>
      </c>
      <c r="L486" s="497">
        <f t="shared" si="316"/>
        <v>-1478333</v>
      </c>
      <c r="M486" s="497">
        <f t="shared" si="316"/>
        <v>-127541</v>
      </c>
      <c r="N486" s="497">
        <f t="shared" si="316"/>
        <v>2074590</v>
      </c>
      <c r="O486" s="497">
        <f t="shared" si="316"/>
        <v>1947049</v>
      </c>
      <c r="P486" s="497">
        <f t="shared" si="316"/>
        <v>-1862741</v>
      </c>
    </row>
    <row r="487" spans="1:16" hidden="1" x14ac:dyDescent="0.25">
      <c r="B487" s="712"/>
    </row>
    <row r="488" spans="1:16" x14ac:dyDescent="0.25">
      <c r="B488" s="712"/>
    </row>
    <row r="489" spans="1:16" x14ac:dyDescent="0.25">
      <c r="B489" s="712"/>
    </row>
    <row r="490" spans="1:16" x14ac:dyDescent="0.25">
      <c r="B490" s="712"/>
    </row>
    <row r="491" spans="1:16" x14ac:dyDescent="0.25">
      <c r="B491" s="712"/>
    </row>
    <row r="492" spans="1:16" x14ac:dyDescent="0.25">
      <c r="B492" s="712"/>
    </row>
    <row r="493" spans="1:16" x14ac:dyDescent="0.25">
      <c r="B493" s="712"/>
    </row>
    <row r="494" spans="1:16" x14ac:dyDescent="0.25">
      <c r="B494" s="712"/>
    </row>
    <row r="495" spans="1:16" x14ac:dyDescent="0.25">
      <c r="B495" s="712"/>
    </row>
    <row r="496" spans="1:16" x14ac:dyDescent="0.25">
      <c r="B496" s="712"/>
    </row>
    <row r="497" spans="2:2" x14ac:dyDescent="0.25">
      <c r="B497" s="712"/>
    </row>
    <row r="498" spans="2:2" x14ac:dyDescent="0.25">
      <c r="B498" s="712"/>
    </row>
    <row r="499" spans="2:2" x14ac:dyDescent="0.25">
      <c r="B499" s="712"/>
    </row>
    <row r="500" spans="2:2" x14ac:dyDescent="0.25">
      <c r="B500" s="712"/>
    </row>
    <row r="501" spans="2:2" x14ac:dyDescent="0.25">
      <c r="B501" s="712"/>
    </row>
    <row r="502" spans="2:2" x14ac:dyDescent="0.25">
      <c r="B502" s="712"/>
    </row>
  </sheetData>
  <mergeCells count="1">
    <mergeCell ref="A1:P1"/>
  </mergeCells>
  <phoneticPr fontId="35" type="noConversion"/>
  <printOptions horizontalCentered="1"/>
  <pageMargins left="0.19685039370078741" right="0.15748031496062992" top="0.78740157480314965" bottom="0.39370078740157483" header="0.43307086614173229" footer="0.19685039370078741"/>
  <pageSetup paperSize="9" scale="67" fitToHeight="0" orientation="landscape" r:id="rId1"/>
  <headerFooter alignWithMargins="0">
    <oddHeader>&amp;R&amp;"Times New Roman CE,Félkövér"&amp;11 10.melléklet a 24/2020.(VI.3.) önkormányzati rendelethez&amp;12
&amp;"Times New Roman CE,Dőlt"&amp;10 10. melléklet
  az 5/2020.(II.17.) önkormányzati rendelethez</oddHeader>
  </headerFooter>
  <rowBreaks count="11" manualBreakCount="11">
    <brk id="156" max="15" man="1"/>
    <brk id="181" max="15" man="1"/>
    <brk id="199" max="15" man="1"/>
    <brk id="217" max="15" man="1"/>
    <brk id="301" max="15" man="1"/>
    <brk id="334" max="15" man="1"/>
    <brk id="373" max="15" man="1"/>
    <brk id="400" max="15" man="1"/>
    <brk id="432" max="15" man="1"/>
    <brk id="462" max="15" man="1"/>
    <brk id="468" max="1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55"/>
  <sheetViews>
    <sheetView view="pageBreakPreview" zoomScale="70" zoomScaleNormal="120" zoomScaleSheetLayoutView="70" workbookViewId="0">
      <pane ySplit="3" topLeftCell="A239" activePane="bottomLeft" state="frozen"/>
      <selection activeCell="B128" sqref="B128"/>
      <selection pane="bottomLeft" activeCell="Q168" sqref="Q168"/>
    </sheetView>
  </sheetViews>
  <sheetFormatPr defaultRowHeight="15.75" x14ac:dyDescent="0.25"/>
  <cols>
    <col min="1" max="1" width="4.875" style="737" bestFit="1" customWidth="1"/>
    <col min="2" max="2" width="65.75" style="737" customWidth="1"/>
    <col min="3" max="3" width="15.25" style="738" customWidth="1"/>
    <col min="4" max="5" width="13.25" style="738" customWidth="1"/>
    <col min="6" max="6" width="15.25" style="738" customWidth="1"/>
    <col min="7" max="8" width="13.25" style="738" customWidth="1"/>
    <col min="9" max="11" width="9.625" style="554" customWidth="1"/>
    <col min="12" max="218" width="8.75" style="737"/>
    <col min="219" max="219" width="4.875" style="737" bestFit="1" customWidth="1"/>
    <col min="220" max="220" width="65.75" style="737" customWidth="1"/>
    <col min="221" max="222" width="13.25" style="737" customWidth="1"/>
    <col min="223" max="223" width="17.125" style="737" customWidth="1"/>
    <col min="224" max="226" width="0" style="737" hidden="1" customWidth="1"/>
    <col min="227" max="474" width="8.75" style="737"/>
    <col min="475" max="475" width="4.875" style="737" bestFit="1" customWidth="1"/>
    <col min="476" max="476" width="65.75" style="737" customWidth="1"/>
    <col min="477" max="478" width="13.25" style="737" customWidth="1"/>
    <col min="479" max="479" width="17.125" style="737" customWidth="1"/>
    <col min="480" max="482" width="0" style="737" hidden="1" customWidth="1"/>
    <col min="483" max="730" width="8.75" style="737"/>
    <col min="731" max="731" width="4.875" style="737" bestFit="1" customWidth="1"/>
    <col min="732" max="732" width="65.75" style="737" customWidth="1"/>
    <col min="733" max="734" width="13.25" style="737" customWidth="1"/>
    <col min="735" max="735" width="17.125" style="737" customWidth="1"/>
    <col min="736" max="738" width="0" style="737" hidden="1" customWidth="1"/>
    <col min="739" max="986" width="8.75" style="737"/>
    <col min="987" max="987" width="4.875" style="737" bestFit="1" customWidth="1"/>
    <col min="988" max="988" width="65.75" style="737" customWidth="1"/>
    <col min="989" max="990" width="13.25" style="737" customWidth="1"/>
    <col min="991" max="991" width="17.125" style="737" customWidth="1"/>
    <col min="992" max="994" width="0" style="737" hidden="1" customWidth="1"/>
    <col min="995" max="1242" width="8.75" style="737"/>
    <col min="1243" max="1243" width="4.875" style="737" bestFit="1" customWidth="1"/>
    <col min="1244" max="1244" width="65.75" style="737" customWidth="1"/>
    <col min="1245" max="1246" width="13.25" style="737" customWidth="1"/>
    <col min="1247" max="1247" width="17.125" style="737" customWidth="1"/>
    <col min="1248" max="1250" width="0" style="737" hidden="1" customWidth="1"/>
    <col min="1251" max="1498" width="8.75" style="737"/>
    <col min="1499" max="1499" width="4.875" style="737" bestFit="1" customWidth="1"/>
    <col min="1500" max="1500" width="65.75" style="737" customWidth="1"/>
    <col min="1501" max="1502" width="13.25" style="737" customWidth="1"/>
    <col min="1503" max="1503" width="17.125" style="737" customWidth="1"/>
    <col min="1504" max="1506" width="0" style="737" hidden="1" customWidth="1"/>
    <col min="1507" max="1754" width="8.75" style="737"/>
    <col min="1755" max="1755" width="4.875" style="737" bestFit="1" customWidth="1"/>
    <col min="1756" max="1756" width="65.75" style="737" customWidth="1"/>
    <col min="1757" max="1758" width="13.25" style="737" customWidth="1"/>
    <col min="1759" max="1759" width="17.125" style="737" customWidth="1"/>
    <col min="1760" max="1762" width="0" style="737" hidden="1" customWidth="1"/>
    <col min="1763" max="2010" width="8.75" style="737"/>
    <col min="2011" max="2011" width="4.875" style="737" bestFit="1" customWidth="1"/>
    <col min="2012" max="2012" width="65.75" style="737" customWidth="1"/>
    <col min="2013" max="2014" width="13.25" style="737" customWidth="1"/>
    <col min="2015" max="2015" width="17.125" style="737" customWidth="1"/>
    <col min="2016" max="2018" width="0" style="737" hidden="1" customWidth="1"/>
    <col min="2019" max="2266" width="8.75" style="737"/>
    <col min="2267" max="2267" width="4.875" style="737" bestFit="1" customWidth="1"/>
    <col min="2268" max="2268" width="65.75" style="737" customWidth="1"/>
    <col min="2269" max="2270" width="13.25" style="737" customWidth="1"/>
    <col min="2271" max="2271" width="17.125" style="737" customWidth="1"/>
    <col min="2272" max="2274" width="0" style="737" hidden="1" customWidth="1"/>
    <col min="2275" max="2522" width="8.75" style="737"/>
    <col min="2523" max="2523" width="4.875" style="737" bestFit="1" customWidth="1"/>
    <col min="2524" max="2524" width="65.75" style="737" customWidth="1"/>
    <col min="2525" max="2526" width="13.25" style="737" customWidth="1"/>
    <col min="2527" max="2527" width="17.125" style="737" customWidth="1"/>
    <col min="2528" max="2530" width="0" style="737" hidden="1" customWidth="1"/>
    <col min="2531" max="2778" width="8.75" style="737"/>
    <col min="2779" max="2779" width="4.875" style="737" bestFit="1" customWidth="1"/>
    <col min="2780" max="2780" width="65.75" style="737" customWidth="1"/>
    <col min="2781" max="2782" width="13.25" style="737" customWidth="1"/>
    <col min="2783" max="2783" width="17.125" style="737" customWidth="1"/>
    <col min="2784" max="2786" width="0" style="737" hidden="1" customWidth="1"/>
    <col min="2787" max="3034" width="8.75" style="737"/>
    <col min="3035" max="3035" width="4.875" style="737" bestFit="1" customWidth="1"/>
    <col min="3036" max="3036" width="65.75" style="737" customWidth="1"/>
    <col min="3037" max="3038" width="13.25" style="737" customWidth="1"/>
    <col min="3039" max="3039" width="17.125" style="737" customWidth="1"/>
    <col min="3040" max="3042" width="0" style="737" hidden="1" customWidth="1"/>
    <col min="3043" max="3290" width="8.75" style="737"/>
    <col min="3291" max="3291" width="4.875" style="737" bestFit="1" customWidth="1"/>
    <col min="3292" max="3292" width="65.75" style="737" customWidth="1"/>
    <col min="3293" max="3294" width="13.25" style="737" customWidth="1"/>
    <col min="3295" max="3295" width="17.125" style="737" customWidth="1"/>
    <col min="3296" max="3298" width="0" style="737" hidden="1" customWidth="1"/>
    <col min="3299" max="3546" width="8.75" style="737"/>
    <col min="3547" max="3547" width="4.875" style="737" bestFit="1" customWidth="1"/>
    <col min="3548" max="3548" width="65.75" style="737" customWidth="1"/>
    <col min="3549" max="3550" width="13.25" style="737" customWidth="1"/>
    <col min="3551" max="3551" width="17.125" style="737" customWidth="1"/>
    <col min="3552" max="3554" width="0" style="737" hidden="1" customWidth="1"/>
    <col min="3555" max="3802" width="8.75" style="737"/>
    <col min="3803" max="3803" width="4.875" style="737" bestFit="1" customWidth="1"/>
    <col min="3804" max="3804" width="65.75" style="737" customWidth="1"/>
    <col min="3805" max="3806" width="13.25" style="737" customWidth="1"/>
    <col min="3807" max="3807" width="17.125" style="737" customWidth="1"/>
    <col min="3808" max="3810" width="0" style="737" hidden="1" customWidth="1"/>
    <col min="3811" max="4058" width="8.75" style="737"/>
    <col min="4059" max="4059" width="4.875" style="737" bestFit="1" customWidth="1"/>
    <col min="4060" max="4060" width="65.75" style="737" customWidth="1"/>
    <col min="4061" max="4062" width="13.25" style="737" customWidth="1"/>
    <col min="4063" max="4063" width="17.125" style="737" customWidth="1"/>
    <col min="4064" max="4066" width="0" style="737" hidden="1" customWidth="1"/>
    <col min="4067" max="4314" width="8.75" style="737"/>
    <col min="4315" max="4315" width="4.875" style="737" bestFit="1" customWidth="1"/>
    <col min="4316" max="4316" width="65.75" style="737" customWidth="1"/>
    <col min="4317" max="4318" width="13.25" style="737" customWidth="1"/>
    <col min="4319" max="4319" width="17.125" style="737" customWidth="1"/>
    <col min="4320" max="4322" width="0" style="737" hidden="1" customWidth="1"/>
    <col min="4323" max="4570" width="8.75" style="737"/>
    <col min="4571" max="4571" width="4.875" style="737" bestFit="1" customWidth="1"/>
    <col min="4572" max="4572" width="65.75" style="737" customWidth="1"/>
    <col min="4573" max="4574" width="13.25" style="737" customWidth="1"/>
    <col min="4575" max="4575" width="17.125" style="737" customWidth="1"/>
    <col min="4576" max="4578" width="0" style="737" hidden="1" customWidth="1"/>
    <col min="4579" max="4826" width="8.75" style="737"/>
    <col min="4827" max="4827" width="4.875" style="737" bestFit="1" customWidth="1"/>
    <col min="4828" max="4828" width="65.75" style="737" customWidth="1"/>
    <col min="4829" max="4830" width="13.25" style="737" customWidth="1"/>
    <col min="4831" max="4831" width="17.125" style="737" customWidth="1"/>
    <col min="4832" max="4834" width="0" style="737" hidden="1" customWidth="1"/>
    <col min="4835" max="5082" width="8.75" style="737"/>
    <col min="5083" max="5083" width="4.875" style="737" bestFit="1" customWidth="1"/>
    <col min="5084" max="5084" width="65.75" style="737" customWidth="1"/>
    <col min="5085" max="5086" width="13.25" style="737" customWidth="1"/>
    <col min="5087" max="5087" width="17.125" style="737" customWidth="1"/>
    <col min="5088" max="5090" width="0" style="737" hidden="1" customWidth="1"/>
    <col min="5091" max="5338" width="8.75" style="737"/>
    <col min="5339" max="5339" width="4.875" style="737" bestFit="1" customWidth="1"/>
    <col min="5340" max="5340" width="65.75" style="737" customWidth="1"/>
    <col min="5341" max="5342" width="13.25" style="737" customWidth="1"/>
    <col min="5343" max="5343" width="17.125" style="737" customWidth="1"/>
    <col min="5344" max="5346" width="0" style="737" hidden="1" customWidth="1"/>
    <col min="5347" max="5594" width="8.75" style="737"/>
    <col min="5595" max="5595" width="4.875" style="737" bestFit="1" customWidth="1"/>
    <col min="5596" max="5596" width="65.75" style="737" customWidth="1"/>
    <col min="5597" max="5598" width="13.25" style="737" customWidth="1"/>
    <col min="5599" max="5599" width="17.125" style="737" customWidth="1"/>
    <col min="5600" max="5602" width="0" style="737" hidden="1" customWidth="1"/>
    <col min="5603" max="5850" width="8.75" style="737"/>
    <col min="5851" max="5851" width="4.875" style="737" bestFit="1" customWidth="1"/>
    <col min="5852" max="5852" width="65.75" style="737" customWidth="1"/>
    <col min="5853" max="5854" width="13.25" style="737" customWidth="1"/>
    <col min="5855" max="5855" width="17.125" style="737" customWidth="1"/>
    <col min="5856" max="5858" width="0" style="737" hidden="1" customWidth="1"/>
    <col min="5859" max="6106" width="8.75" style="737"/>
    <col min="6107" max="6107" width="4.875" style="737" bestFit="1" customWidth="1"/>
    <col min="6108" max="6108" width="65.75" style="737" customWidth="1"/>
    <col min="6109" max="6110" width="13.25" style="737" customWidth="1"/>
    <col min="6111" max="6111" width="17.125" style="737" customWidth="1"/>
    <col min="6112" max="6114" width="0" style="737" hidden="1" customWidth="1"/>
    <col min="6115" max="6362" width="8.75" style="737"/>
    <col min="6363" max="6363" width="4.875" style="737" bestFit="1" customWidth="1"/>
    <col min="6364" max="6364" width="65.75" style="737" customWidth="1"/>
    <col min="6365" max="6366" width="13.25" style="737" customWidth="1"/>
    <col min="6367" max="6367" width="17.125" style="737" customWidth="1"/>
    <col min="6368" max="6370" width="0" style="737" hidden="1" customWidth="1"/>
    <col min="6371" max="6618" width="8.75" style="737"/>
    <col min="6619" max="6619" width="4.875" style="737" bestFit="1" customWidth="1"/>
    <col min="6620" max="6620" width="65.75" style="737" customWidth="1"/>
    <col min="6621" max="6622" width="13.25" style="737" customWidth="1"/>
    <col min="6623" max="6623" width="17.125" style="737" customWidth="1"/>
    <col min="6624" max="6626" width="0" style="737" hidden="1" customWidth="1"/>
    <col min="6627" max="6874" width="8.75" style="737"/>
    <col min="6875" max="6875" width="4.875" style="737" bestFit="1" customWidth="1"/>
    <col min="6876" max="6876" width="65.75" style="737" customWidth="1"/>
    <col min="6877" max="6878" width="13.25" style="737" customWidth="1"/>
    <col min="6879" max="6879" width="17.125" style="737" customWidth="1"/>
    <col min="6880" max="6882" width="0" style="737" hidden="1" customWidth="1"/>
    <col min="6883" max="7130" width="8.75" style="737"/>
    <col min="7131" max="7131" width="4.875" style="737" bestFit="1" customWidth="1"/>
    <col min="7132" max="7132" width="65.75" style="737" customWidth="1"/>
    <col min="7133" max="7134" width="13.25" style="737" customWidth="1"/>
    <col min="7135" max="7135" width="17.125" style="737" customWidth="1"/>
    <col min="7136" max="7138" width="0" style="737" hidden="1" customWidth="1"/>
    <col min="7139" max="7386" width="8.75" style="737"/>
    <col min="7387" max="7387" width="4.875" style="737" bestFit="1" customWidth="1"/>
    <col min="7388" max="7388" width="65.75" style="737" customWidth="1"/>
    <col min="7389" max="7390" width="13.25" style="737" customWidth="1"/>
    <col min="7391" max="7391" width="17.125" style="737" customWidth="1"/>
    <col min="7392" max="7394" width="0" style="737" hidden="1" customWidth="1"/>
    <col min="7395" max="7642" width="8.75" style="737"/>
    <col min="7643" max="7643" width="4.875" style="737" bestFit="1" customWidth="1"/>
    <col min="7644" max="7644" width="65.75" style="737" customWidth="1"/>
    <col min="7645" max="7646" width="13.25" style="737" customWidth="1"/>
    <col min="7647" max="7647" width="17.125" style="737" customWidth="1"/>
    <col min="7648" max="7650" width="0" style="737" hidden="1" customWidth="1"/>
    <col min="7651" max="7898" width="8.75" style="737"/>
    <col min="7899" max="7899" width="4.875" style="737" bestFit="1" customWidth="1"/>
    <col min="7900" max="7900" width="65.75" style="737" customWidth="1"/>
    <col min="7901" max="7902" width="13.25" style="737" customWidth="1"/>
    <col min="7903" max="7903" width="17.125" style="737" customWidth="1"/>
    <col min="7904" max="7906" width="0" style="737" hidden="1" customWidth="1"/>
    <col min="7907" max="8154" width="8.75" style="737"/>
    <col min="8155" max="8155" width="4.875" style="737" bestFit="1" customWidth="1"/>
    <col min="8156" max="8156" width="65.75" style="737" customWidth="1"/>
    <col min="8157" max="8158" width="13.25" style="737" customWidth="1"/>
    <col min="8159" max="8159" width="17.125" style="737" customWidth="1"/>
    <col min="8160" max="8162" width="0" style="737" hidden="1" customWidth="1"/>
    <col min="8163" max="8410" width="8.75" style="737"/>
    <col min="8411" max="8411" width="4.875" style="737" bestFit="1" customWidth="1"/>
    <col min="8412" max="8412" width="65.75" style="737" customWidth="1"/>
    <col min="8413" max="8414" width="13.25" style="737" customWidth="1"/>
    <col min="8415" max="8415" width="17.125" style="737" customWidth="1"/>
    <col min="8416" max="8418" width="0" style="737" hidden="1" customWidth="1"/>
    <col min="8419" max="8666" width="8.75" style="737"/>
    <col min="8667" max="8667" width="4.875" style="737" bestFit="1" customWidth="1"/>
    <col min="8668" max="8668" width="65.75" style="737" customWidth="1"/>
    <col min="8669" max="8670" width="13.25" style="737" customWidth="1"/>
    <col min="8671" max="8671" width="17.125" style="737" customWidth="1"/>
    <col min="8672" max="8674" width="0" style="737" hidden="1" customWidth="1"/>
    <col min="8675" max="8922" width="8.75" style="737"/>
    <col min="8923" max="8923" width="4.875" style="737" bestFit="1" customWidth="1"/>
    <col min="8924" max="8924" width="65.75" style="737" customWidth="1"/>
    <col min="8925" max="8926" width="13.25" style="737" customWidth="1"/>
    <col min="8927" max="8927" width="17.125" style="737" customWidth="1"/>
    <col min="8928" max="8930" width="0" style="737" hidden="1" customWidth="1"/>
    <col min="8931" max="9178" width="8.75" style="737"/>
    <col min="9179" max="9179" width="4.875" style="737" bestFit="1" customWidth="1"/>
    <col min="9180" max="9180" width="65.75" style="737" customWidth="1"/>
    <col min="9181" max="9182" width="13.25" style="737" customWidth="1"/>
    <col min="9183" max="9183" width="17.125" style="737" customWidth="1"/>
    <col min="9184" max="9186" width="0" style="737" hidden="1" customWidth="1"/>
    <col min="9187" max="9434" width="8.75" style="737"/>
    <col min="9435" max="9435" width="4.875" style="737" bestFit="1" customWidth="1"/>
    <col min="9436" max="9436" width="65.75" style="737" customWidth="1"/>
    <col min="9437" max="9438" width="13.25" style="737" customWidth="1"/>
    <col min="9439" max="9439" width="17.125" style="737" customWidth="1"/>
    <col min="9440" max="9442" width="0" style="737" hidden="1" customWidth="1"/>
    <col min="9443" max="9690" width="8.75" style="737"/>
    <col min="9691" max="9691" width="4.875" style="737" bestFit="1" customWidth="1"/>
    <col min="9692" max="9692" width="65.75" style="737" customWidth="1"/>
    <col min="9693" max="9694" width="13.25" style="737" customWidth="1"/>
    <col min="9695" max="9695" width="17.125" style="737" customWidth="1"/>
    <col min="9696" max="9698" width="0" style="737" hidden="1" customWidth="1"/>
    <col min="9699" max="9946" width="8.75" style="737"/>
    <col min="9947" max="9947" width="4.875" style="737" bestFit="1" customWidth="1"/>
    <col min="9948" max="9948" width="65.75" style="737" customWidth="1"/>
    <col min="9949" max="9950" width="13.25" style="737" customWidth="1"/>
    <col min="9951" max="9951" width="17.125" style="737" customWidth="1"/>
    <col min="9952" max="9954" width="0" style="737" hidden="1" customWidth="1"/>
    <col min="9955" max="10202" width="8.75" style="737"/>
    <col min="10203" max="10203" width="4.875" style="737" bestFit="1" customWidth="1"/>
    <col min="10204" max="10204" width="65.75" style="737" customWidth="1"/>
    <col min="10205" max="10206" width="13.25" style="737" customWidth="1"/>
    <col min="10207" max="10207" width="17.125" style="737" customWidth="1"/>
    <col min="10208" max="10210" width="0" style="737" hidden="1" customWidth="1"/>
    <col min="10211" max="10458" width="8.75" style="737"/>
    <col min="10459" max="10459" width="4.875" style="737" bestFit="1" customWidth="1"/>
    <col min="10460" max="10460" width="65.75" style="737" customWidth="1"/>
    <col min="10461" max="10462" width="13.25" style="737" customWidth="1"/>
    <col min="10463" max="10463" width="17.125" style="737" customWidth="1"/>
    <col min="10464" max="10466" width="0" style="737" hidden="1" customWidth="1"/>
    <col min="10467" max="10714" width="8.75" style="737"/>
    <col min="10715" max="10715" width="4.875" style="737" bestFit="1" customWidth="1"/>
    <col min="10716" max="10716" width="65.75" style="737" customWidth="1"/>
    <col min="10717" max="10718" width="13.25" style="737" customWidth="1"/>
    <col min="10719" max="10719" width="17.125" style="737" customWidth="1"/>
    <col min="10720" max="10722" width="0" style="737" hidden="1" customWidth="1"/>
    <col min="10723" max="10970" width="8.75" style="737"/>
    <col min="10971" max="10971" width="4.875" style="737" bestFit="1" customWidth="1"/>
    <col min="10972" max="10972" width="65.75" style="737" customWidth="1"/>
    <col min="10973" max="10974" width="13.25" style="737" customWidth="1"/>
    <col min="10975" max="10975" width="17.125" style="737" customWidth="1"/>
    <col min="10976" max="10978" width="0" style="737" hidden="1" customWidth="1"/>
    <col min="10979" max="11226" width="8.75" style="737"/>
    <col min="11227" max="11227" width="4.875" style="737" bestFit="1" customWidth="1"/>
    <col min="11228" max="11228" width="65.75" style="737" customWidth="1"/>
    <col min="11229" max="11230" width="13.25" style="737" customWidth="1"/>
    <col min="11231" max="11231" width="17.125" style="737" customWidth="1"/>
    <col min="11232" max="11234" width="0" style="737" hidden="1" customWidth="1"/>
    <col min="11235" max="11482" width="8.75" style="737"/>
    <col min="11483" max="11483" width="4.875" style="737" bestFit="1" customWidth="1"/>
    <col min="11484" max="11484" width="65.75" style="737" customWidth="1"/>
    <col min="11485" max="11486" width="13.25" style="737" customWidth="1"/>
    <col min="11487" max="11487" width="17.125" style="737" customWidth="1"/>
    <col min="11488" max="11490" width="0" style="737" hidden="1" customWidth="1"/>
    <col min="11491" max="11738" width="8.75" style="737"/>
    <col min="11739" max="11739" width="4.875" style="737" bestFit="1" customWidth="1"/>
    <col min="11740" max="11740" width="65.75" style="737" customWidth="1"/>
    <col min="11741" max="11742" width="13.25" style="737" customWidth="1"/>
    <col min="11743" max="11743" width="17.125" style="737" customWidth="1"/>
    <col min="11744" max="11746" width="0" style="737" hidden="1" customWidth="1"/>
    <col min="11747" max="11994" width="8.75" style="737"/>
    <col min="11995" max="11995" width="4.875" style="737" bestFit="1" customWidth="1"/>
    <col min="11996" max="11996" width="65.75" style="737" customWidth="1"/>
    <col min="11997" max="11998" width="13.25" style="737" customWidth="1"/>
    <col min="11999" max="11999" width="17.125" style="737" customWidth="1"/>
    <col min="12000" max="12002" width="0" style="737" hidden="1" customWidth="1"/>
    <col min="12003" max="12250" width="8.75" style="737"/>
    <col min="12251" max="12251" width="4.875" style="737" bestFit="1" customWidth="1"/>
    <col min="12252" max="12252" width="65.75" style="737" customWidth="1"/>
    <col min="12253" max="12254" width="13.25" style="737" customWidth="1"/>
    <col min="12255" max="12255" width="17.125" style="737" customWidth="1"/>
    <col min="12256" max="12258" width="0" style="737" hidden="1" customWidth="1"/>
    <col min="12259" max="12506" width="8.75" style="737"/>
    <col min="12507" max="12507" width="4.875" style="737" bestFit="1" customWidth="1"/>
    <col min="12508" max="12508" width="65.75" style="737" customWidth="1"/>
    <col min="12509" max="12510" width="13.25" style="737" customWidth="1"/>
    <col min="12511" max="12511" width="17.125" style="737" customWidth="1"/>
    <col min="12512" max="12514" width="0" style="737" hidden="1" customWidth="1"/>
    <col min="12515" max="12762" width="8.75" style="737"/>
    <col min="12763" max="12763" width="4.875" style="737" bestFit="1" customWidth="1"/>
    <col min="12764" max="12764" width="65.75" style="737" customWidth="1"/>
    <col min="12765" max="12766" width="13.25" style="737" customWidth="1"/>
    <col min="12767" max="12767" width="17.125" style="737" customWidth="1"/>
    <col min="12768" max="12770" width="0" style="737" hidden="1" customWidth="1"/>
    <col min="12771" max="13018" width="8.75" style="737"/>
    <col min="13019" max="13019" width="4.875" style="737" bestFit="1" customWidth="1"/>
    <col min="13020" max="13020" width="65.75" style="737" customWidth="1"/>
    <col min="13021" max="13022" width="13.25" style="737" customWidth="1"/>
    <col min="13023" max="13023" width="17.125" style="737" customWidth="1"/>
    <col min="13024" max="13026" width="0" style="737" hidden="1" customWidth="1"/>
    <col min="13027" max="13274" width="8.75" style="737"/>
    <col min="13275" max="13275" width="4.875" style="737" bestFit="1" customWidth="1"/>
    <col min="13276" max="13276" width="65.75" style="737" customWidth="1"/>
    <col min="13277" max="13278" width="13.25" style="737" customWidth="1"/>
    <col min="13279" max="13279" width="17.125" style="737" customWidth="1"/>
    <col min="13280" max="13282" width="0" style="737" hidden="1" customWidth="1"/>
    <col min="13283" max="13530" width="8.75" style="737"/>
    <col min="13531" max="13531" width="4.875" style="737" bestFit="1" customWidth="1"/>
    <col min="13532" max="13532" width="65.75" style="737" customWidth="1"/>
    <col min="13533" max="13534" width="13.25" style="737" customWidth="1"/>
    <col min="13535" max="13535" width="17.125" style="737" customWidth="1"/>
    <col min="13536" max="13538" width="0" style="737" hidden="1" customWidth="1"/>
    <col min="13539" max="13786" width="8.75" style="737"/>
    <col min="13787" max="13787" width="4.875" style="737" bestFit="1" customWidth="1"/>
    <col min="13788" max="13788" width="65.75" style="737" customWidth="1"/>
    <col min="13789" max="13790" width="13.25" style="737" customWidth="1"/>
    <col min="13791" max="13791" width="17.125" style="737" customWidth="1"/>
    <col min="13792" max="13794" width="0" style="737" hidden="1" customWidth="1"/>
    <col min="13795" max="14042" width="8.75" style="737"/>
    <col min="14043" max="14043" width="4.875" style="737" bestFit="1" customWidth="1"/>
    <col min="14044" max="14044" width="65.75" style="737" customWidth="1"/>
    <col min="14045" max="14046" width="13.25" style="737" customWidth="1"/>
    <col min="14047" max="14047" width="17.125" style="737" customWidth="1"/>
    <col min="14048" max="14050" width="0" style="737" hidden="1" customWidth="1"/>
    <col min="14051" max="14298" width="8.75" style="737"/>
    <col min="14299" max="14299" width="4.875" style="737" bestFit="1" customWidth="1"/>
    <col min="14300" max="14300" width="65.75" style="737" customWidth="1"/>
    <col min="14301" max="14302" width="13.25" style="737" customWidth="1"/>
    <col min="14303" max="14303" width="17.125" style="737" customWidth="1"/>
    <col min="14304" max="14306" width="0" style="737" hidden="1" customWidth="1"/>
    <col min="14307" max="14554" width="8.75" style="737"/>
    <col min="14555" max="14555" width="4.875" style="737" bestFit="1" customWidth="1"/>
    <col min="14556" max="14556" width="65.75" style="737" customWidth="1"/>
    <col min="14557" max="14558" width="13.25" style="737" customWidth="1"/>
    <col min="14559" max="14559" width="17.125" style="737" customWidth="1"/>
    <col min="14560" max="14562" width="0" style="737" hidden="1" customWidth="1"/>
    <col min="14563" max="14810" width="8.75" style="737"/>
    <col min="14811" max="14811" width="4.875" style="737" bestFit="1" customWidth="1"/>
    <col min="14812" max="14812" width="65.75" style="737" customWidth="1"/>
    <col min="14813" max="14814" width="13.25" style="737" customWidth="1"/>
    <col min="14815" max="14815" width="17.125" style="737" customWidth="1"/>
    <col min="14816" max="14818" width="0" style="737" hidden="1" customWidth="1"/>
    <col min="14819" max="15066" width="8.75" style="737"/>
    <col min="15067" max="15067" width="4.875" style="737" bestFit="1" customWidth="1"/>
    <col min="15068" max="15068" width="65.75" style="737" customWidth="1"/>
    <col min="15069" max="15070" width="13.25" style="737" customWidth="1"/>
    <col min="15071" max="15071" width="17.125" style="737" customWidth="1"/>
    <col min="15072" max="15074" width="0" style="737" hidden="1" customWidth="1"/>
    <col min="15075" max="15322" width="8.75" style="737"/>
    <col min="15323" max="15323" width="4.875" style="737" bestFit="1" customWidth="1"/>
    <col min="15324" max="15324" width="65.75" style="737" customWidth="1"/>
    <col min="15325" max="15326" width="13.25" style="737" customWidth="1"/>
    <col min="15327" max="15327" width="17.125" style="737" customWidth="1"/>
    <col min="15328" max="15330" width="0" style="737" hidden="1" customWidth="1"/>
    <col min="15331" max="15578" width="8.75" style="737"/>
    <col min="15579" max="15579" width="4.875" style="737" bestFit="1" customWidth="1"/>
    <col min="15580" max="15580" width="65.75" style="737" customWidth="1"/>
    <col min="15581" max="15582" width="13.25" style="737" customWidth="1"/>
    <col min="15583" max="15583" width="17.125" style="737" customWidth="1"/>
    <col min="15584" max="15586" width="0" style="737" hidden="1" customWidth="1"/>
    <col min="15587" max="15834" width="8.75" style="737"/>
    <col min="15835" max="15835" width="4.875" style="737" bestFit="1" customWidth="1"/>
    <col min="15836" max="15836" width="65.75" style="737" customWidth="1"/>
    <col min="15837" max="15838" width="13.25" style="737" customWidth="1"/>
    <col min="15839" max="15839" width="17.125" style="737" customWidth="1"/>
    <col min="15840" max="15842" width="0" style="737" hidden="1" customWidth="1"/>
    <col min="15843" max="16090" width="8.75" style="737"/>
    <col min="16091" max="16091" width="4.875" style="737" bestFit="1" customWidth="1"/>
    <col min="16092" max="16092" width="65.75" style="737" customWidth="1"/>
    <col min="16093" max="16094" width="13.25" style="737" customWidth="1"/>
    <col min="16095" max="16095" width="17.125" style="737" customWidth="1"/>
    <col min="16096" max="16098" width="0" style="737" hidden="1" customWidth="1"/>
    <col min="16099" max="16384" width="8.75" style="737"/>
  </cols>
  <sheetData>
    <row r="1" spans="1:11" ht="39.75" customHeight="1" x14ac:dyDescent="0.3">
      <c r="A1" s="917" t="s">
        <v>539</v>
      </c>
      <c r="B1" s="917"/>
      <c r="C1" s="917"/>
      <c r="D1" s="917"/>
      <c r="E1" s="917"/>
      <c r="F1" s="917"/>
      <c r="G1" s="917"/>
      <c r="H1" s="917"/>
      <c r="I1" s="917"/>
      <c r="J1" s="917"/>
      <c r="K1" s="917"/>
    </row>
    <row r="2" spans="1:11" ht="16.5" thickBot="1" x14ac:dyDescent="0.3"/>
    <row r="3" spans="1:11" ht="63.75" thickBot="1" x14ac:dyDescent="0.3">
      <c r="A3" s="409"/>
      <c r="B3" s="410" t="s">
        <v>137</v>
      </c>
      <c r="C3" s="411" t="s">
        <v>866</v>
      </c>
      <c r="D3" s="412" t="s">
        <v>649</v>
      </c>
      <c r="E3" s="412" t="s">
        <v>867</v>
      </c>
      <c r="F3" s="411" t="s">
        <v>803</v>
      </c>
      <c r="G3" s="412" t="s">
        <v>804</v>
      </c>
      <c r="H3" s="412" t="s">
        <v>650</v>
      </c>
      <c r="I3" s="412" t="s">
        <v>132</v>
      </c>
      <c r="J3" s="412" t="s">
        <v>133</v>
      </c>
      <c r="K3" s="412" t="s">
        <v>336</v>
      </c>
    </row>
    <row r="4" spans="1:11" x14ac:dyDescent="0.25">
      <c r="A4" s="413" t="s">
        <v>76</v>
      </c>
      <c r="B4" s="414" t="s">
        <v>109</v>
      </c>
      <c r="C4" s="415">
        <f>SUM(C5,C9,C67,C68,C71)</f>
        <v>5174899</v>
      </c>
      <c r="D4" s="415">
        <f>SUM(D5,D9,D67,D68,D71)</f>
        <v>227583</v>
      </c>
      <c r="E4" s="415">
        <f>SUM(C4:D4)</f>
        <v>5402482</v>
      </c>
      <c r="F4" s="415">
        <f>SUM(F5,F9,F67,F68,F71)</f>
        <v>10662</v>
      </c>
      <c r="G4" s="415">
        <f>SUM(G5,G9,G67,G68,G71)</f>
        <v>5391820</v>
      </c>
      <c r="H4" s="415">
        <f>SUM(H5,H9,H67,H68,H71)</f>
        <v>0</v>
      </c>
      <c r="I4" s="416" t="s">
        <v>540</v>
      </c>
      <c r="J4" s="416" t="s">
        <v>540</v>
      </c>
      <c r="K4" s="416"/>
    </row>
    <row r="5" spans="1:11" x14ac:dyDescent="0.25">
      <c r="A5" s="417"/>
      <c r="B5" s="418" t="s">
        <v>77</v>
      </c>
      <c r="C5" s="419">
        <f>SUM(C6:C8)</f>
        <v>3974473</v>
      </c>
      <c r="D5" s="419">
        <f>SUM(D6:D8)</f>
        <v>464637</v>
      </c>
      <c r="E5" s="419">
        <f t="shared" ref="E5:E94" si="0">SUM(C5:D5)</f>
        <v>4439110</v>
      </c>
      <c r="F5" s="419">
        <f>SUM(F6:F8)</f>
        <v>3565</v>
      </c>
      <c r="G5" s="419">
        <f>SUM(G6:G8)</f>
        <v>4435545</v>
      </c>
      <c r="H5" s="419">
        <f>SUM(H6:H8)</f>
        <v>0</v>
      </c>
      <c r="I5" s="420" t="s">
        <v>540</v>
      </c>
      <c r="J5" s="420" t="s">
        <v>540</v>
      </c>
      <c r="K5" s="420"/>
    </row>
    <row r="6" spans="1:11" x14ac:dyDescent="0.25">
      <c r="A6" s="417"/>
      <c r="B6" s="739" t="s">
        <v>78</v>
      </c>
      <c r="C6" s="740">
        <v>349840</v>
      </c>
      <c r="D6" s="740">
        <f>-53-22000+532789+194689+23782-100000</f>
        <v>629207</v>
      </c>
      <c r="E6" s="740">
        <f>SUM(C6:D6)</f>
        <v>979047</v>
      </c>
      <c r="F6" s="740">
        <v>3565</v>
      </c>
      <c r="G6" s="740">
        <f>346275-53-22000+532789+194689+23782-100000</f>
        <v>975482</v>
      </c>
      <c r="H6" s="740"/>
      <c r="I6" s="555" t="s">
        <v>540</v>
      </c>
      <c r="J6" s="555" t="s">
        <v>540</v>
      </c>
      <c r="K6" s="555"/>
    </row>
    <row r="7" spans="1:11" x14ac:dyDescent="0.25">
      <c r="A7" s="417"/>
      <c r="B7" s="739" t="s">
        <v>337</v>
      </c>
      <c r="C7" s="740">
        <v>14036</v>
      </c>
      <c r="D7" s="740"/>
      <c r="E7" s="740">
        <f t="shared" si="0"/>
        <v>14036</v>
      </c>
      <c r="F7" s="740"/>
      <c r="G7" s="740">
        <v>14036</v>
      </c>
      <c r="H7" s="740"/>
      <c r="I7" s="555"/>
      <c r="J7" s="555" t="s">
        <v>540</v>
      </c>
      <c r="K7" s="555"/>
    </row>
    <row r="8" spans="1:11" x14ac:dyDescent="0.25">
      <c r="A8" s="417"/>
      <c r="B8" s="739" t="s">
        <v>459</v>
      </c>
      <c r="C8" s="740">
        <v>3610597</v>
      </c>
      <c r="D8" s="740">
        <v>-164570</v>
      </c>
      <c r="E8" s="740">
        <f t="shared" si="0"/>
        <v>3446027</v>
      </c>
      <c r="F8" s="740"/>
      <c r="G8" s="740">
        <f>3610597-164570</f>
        <v>3446027</v>
      </c>
      <c r="H8" s="740"/>
      <c r="I8" s="555" t="s">
        <v>540</v>
      </c>
      <c r="J8" s="555"/>
      <c r="K8" s="555"/>
    </row>
    <row r="9" spans="1:11" x14ac:dyDescent="0.25">
      <c r="A9" s="417"/>
      <c r="B9" s="421" t="s">
        <v>79</v>
      </c>
      <c r="C9" s="419">
        <f>SUM(C10,C61,C66)</f>
        <v>360930</v>
      </c>
      <c r="D9" s="419">
        <f>SUM(D10,D61,D66)</f>
        <v>-72476</v>
      </c>
      <c r="E9" s="419">
        <f t="shared" si="0"/>
        <v>288454</v>
      </c>
      <c r="F9" s="419">
        <f>SUM(F10,F61,F66)</f>
        <v>6907</v>
      </c>
      <c r="G9" s="419">
        <f>SUM(G10,G61,G66)</f>
        <v>281547</v>
      </c>
      <c r="H9" s="419">
        <f>SUM(H10,H61,H66)</f>
        <v>0</v>
      </c>
      <c r="I9" s="420" t="s">
        <v>540</v>
      </c>
      <c r="J9" s="420" t="s">
        <v>540</v>
      </c>
      <c r="K9" s="420"/>
    </row>
    <row r="10" spans="1:11" x14ac:dyDescent="0.25">
      <c r="A10" s="417"/>
      <c r="B10" s="739" t="s">
        <v>80</v>
      </c>
      <c r="C10" s="740">
        <v>336780</v>
      </c>
      <c r="D10" s="740">
        <f>-1000-10000-2000-500-500-250-1000-250-100-2500-4700-500-2000-4000-600-2500-2346-1000-2000-1800-1000-500-1000-10000-5000-5000-5000-483</f>
        <v>-67529</v>
      </c>
      <c r="E10" s="740">
        <f t="shared" si="0"/>
        <v>269251</v>
      </c>
      <c r="F10" s="740">
        <v>6907</v>
      </c>
      <c r="G10" s="740">
        <f>349373-10000-5000-4500-1000-10000-2000-500-500-250-1000-250-100-2500-4700-500-2000-4000-600-2500-2346-1000-2000-1800-1000-500-1000-10000-5000-5000-5000-483</f>
        <v>262344</v>
      </c>
      <c r="H10" s="740"/>
      <c r="I10" s="555" t="s">
        <v>540</v>
      </c>
      <c r="J10" s="555" t="s">
        <v>540</v>
      </c>
      <c r="K10" s="555"/>
    </row>
    <row r="11" spans="1:11" s="428" customFormat="1" x14ac:dyDescent="0.25">
      <c r="A11" s="422"/>
      <c r="B11" s="423" t="s">
        <v>241</v>
      </c>
      <c r="C11" s="424">
        <v>2000</v>
      </c>
      <c r="D11" s="425"/>
      <c r="E11" s="426">
        <f t="shared" si="0"/>
        <v>2000</v>
      </c>
      <c r="F11" s="424">
        <v>0</v>
      </c>
      <c r="G11" s="425">
        <v>2000</v>
      </c>
      <c r="H11" s="425"/>
      <c r="I11" s="427"/>
      <c r="J11" s="427" t="s">
        <v>540</v>
      </c>
      <c r="K11" s="427"/>
    </row>
    <row r="12" spans="1:11" s="428" customFormat="1" x14ac:dyDescent="0.25">
      <c r="A12" s="422"/>
      <c r="B12" s="423" t="s">
        <v>101</v>
      </c>
      <c r="C12" s="424">
        <v>2000</v>
      </c>
      <c r="D12" s="425"/>
      <c r="E12" s="426">
        <f t="shared" si="0"/>
        <v>2000</v>
      </c>
      <c r="F12" s="424">
        <v>0</v>
      </c>
      <c r="G12" s="425">
        <v>2000</v>
      </c>
      <c r="H12" s="425"/>
      <c r="I12" s="427"/>
      <c r="J12" s="427" t="s">
        <v>540</v>
      </c>
      <c r="K12" s="427"/>
    </row>
    <row r="13" spans="1:11" s="428" customFormat="1" x14ac:dyDescent="0.25">
      <c r="A13" s="422"/>
      <c r="B13" s="423" t="s">
        <v>102</v>
      </c>
      <c r="C13" s="424">
        <v>4091</v>
      </c>
      <c r="D13" s="425"/>
      <c r="E13" s="426">
        <f t="shared" si="0"/>
        <v>4091</v>
      </c>
      <c r="F13" s="424"/>
      <c r="G13" s="425">
        <v>4091</v>
      </c>
      <c r="H13" s="425"/>
      <c r="I13" s="427"/>
      <c r="J13" s="427" t="s">
        <v>540</v>
      </c>
      <c r="K13" s="427"/>
    </row>
    <row r="14" spans="1:11" s="428" customFormat="1" x14ac:dyDescent="0.25">
      <c r="A14" s="422"/>
      <c r="B14" s="423" t="s">
        <v>242</v>
      </c>
      <c r="C14" s="424">
        <v>9644</v>
      </c>
      <c r="D14" s="425"/>
      <c r="E14" s="426">
        <f t="shared" si="0"/>
        <v>9644</v>
      </c>
      <c r="F14" s="424">
        <v>25</v>
      </c>
      <c r="G14" s="425">
        <v>9619</v>
      </c>
      <c r="H14" s="425"/>
      <c r="I14" s="427"/>
      <c r="J14" s="427" t="s">
        <v>540</v>
      </c>
      <c r="K14" s="427"/>
    </row>
    <row r="15" spans="1:11" s="428" customFormat="1" x14ac:dyDescent="0.25">
      <c r="A15" s="422"/>
      <c r="B15" s="423" t="s">
        <v>589</v>
      </c>
      <c r="C15" s="424">
        <v>350</v>
      </c>
      <c r="D15" s="425"/>
      <c r="E15" s="426">
        <f t="shared" si="0"/>
        <v>350</v>
      </c>
      <c r="F15" s="424">
        <v>0</v>
      </c>
      <c r="G15" s="425">
        <v>350</v>
      </c>
      <c r="H15" s="425"/>
      <c r="I15" s="427"/>
      <c r="J15" s="427" t="s">
        <v>540</v>
      </c>
      <c r="K15" s="427"/>
    </row>
    <row r="16" spans="1:11" s="428" customFormat="1" x14ac:dyDescent="0.25">
      <c r="A16" s="422"/>
      <c r="B16" s="423" t="s">
        <v>243</v>
      </c>
      <c r="C16" s="424">
        <v>400</v>
      </c>
      <c r="D16" s="425"/>
      <c r="E16" s="426">
        <f t="shared" si="0"/>
        <v>400</v>
      </c>
      <c r="F16" s="424">
        <v>0</v>
      </c>
      <c r="G16" s="425">
        <v>400</v>
      </c>
      <c r="H16" s="425"/>
      <c r="I16" s="427"/>
      <c r="J16" s="427" t="s">
        <v>540</v>
      </c>
      <c r="K16" s="427"/>
    </row>
    <row r="17" spans="1:11" s="428" customFormat="1" x14ac:dyDescent="0.25">
      <c r="A17" s="422"/>
      <c r="B17" s="423" t="s">
        <v>244</v>
      </c>
      <c r="C17" s="424">
        <v>15000</v>
      </c>
      <c r="D17" s="425"/>
      <c r="E17" s="426">
        <f t="shared" si="0"/>
        <v>15000</v>
      </c>
      <c r="F17" s="424">
        <v>0</v>
      </c>
      <c r="G17" s="425">
        <v>15000</v>
      </c>
      <c r="H17" s="425"/>
      <c r="I17" s="427"/>
      <c r="J17" s="427" t="s">
        <v>540</v>
      </c>
      <c r="K17" s="427"/>
    </row>
    <row r="18" spans="1:11" s="428" customFormat="1" x14ac:dyDescent="0.25">
      <c r="A18" s="422"/>
      <c r="B18" s="423" t="s">
        <v>245</v>
      </c>
      <c r="C18" s="424">
        <v>2000</v>
      </c>
      <c r="D18" s="425"/>
      <c r="E18" s="426">
        <f t="shared" si="0"/>
        <v>2000</v>
      </c>
      <c r="F18" s="424">
        <v>0</v>
      </c>
      <c r="G18" s="425">
        <v>2000</v>
      </c>
      <c r="H18" s="425"/>
      <c r="I18" s="427"/>
      <c r="J18" s="427" t="s">
        <v>540</v>
      </c>
      <c r="K18" s="427"/>
    </row>
    <row r="19" spans="1:11" s="428" customFormat="1" x14ac:dyDescent="0.25">
      <c r="A19" s="422"/>
      <c r="B19" s="423" t="s">
        <v>246</v>
      </c>
      <c r="C19" s="424">
        <v>2000</v>
      </c>
      <c r="D19" s="425"/>
      <c r="E19" s="426">
        <f t="shared" si="0"/>
        <v>2000</v>
      </c>
      <c r="F19" s="424">
        <v>0</v>
      </c>
      <c r="G19" s="425">
        <v>2000</v>
      </c>
      <c r="H19" s="425"/>
      <c r="I19" s="427"/>
      <c r="J19" s="427" t="s">
        <v>540</v>
      </c>
      <c r="K19" s="427"/>
    </row>
    <row r="20" spans="1:11" s="428" customFormat="1" x14ac:dyDescent="0.25">
      <c r="A20" s="422"/>
      <c r="B20" s="423" t="s">
        <v>247</v>
      </c>
      <c r="C20" s="424">
        <v>2000</v>
      </c>
      <c r="D20" s="425"/>
      <c r="E20" s="426">
        <f t="shared" si="0"/>
        <v>2000</v>
      </c>
      <c r="F20" s="424">
        <v>0</v>
      </c>
      <c r="G20" s="425">
        <v>2000</v>
      </c>
      <c r="H20" s="425"/>
      <c r="I20" s="427"/>
      <c r="J20" s="427" t="s">
        <v>540</v>
      </c>
      <c r="K20" s="427"/>
    </row>
    <row r="21" spans="1:11" s="428" customFormat="1" ht="31.5" x14ac:dyDescent="0.25">
      <c r="A21" s="422"/>
      <c r="B21" s="423" t="s">
        <v>248</v>
      </c>
      <c r="C21" s="424">
        <v>4000</v>
      </c>
      <c r="D21" s="425">
        <v>-2000</v>
      </c>
      <c r="E21" s="426">
        <f t="shared" si="0"/>
        <v>2000</v>
      </c>
      <c r="F21" s="424">
        <v>0</v>
      </c>
      <c r="G21" s="425">
        <f>4000-2000</f>
        <v>2000</v>
      </c>
      <c r="H21" s="425"/>
      <c r="I21" s="429"/>
      <c r="J21" s="429" t="s">
        <v>540</v>
      </c>
      <c r="K21" s="429"/>
    </row>
    <row r="22" spans="1:11" s="428" customFormat="1" ht="31.5" x14ac:dyDescent="0.25">
      <c r="A22" s="422"/>
      <c r="B22" s="423" t="s">
        <v>541</v>
      </c>
      <c r="C22" s="424">
        <v>1000</v>
      </c>
      <c r="D22" s="425"/>
      <c r="E22" s="426">
        <f t="shared" si="0"/>
        <v>1000</v>
      </c>
      <c r="F22" s="424"/>
      <c r="G22" s="425">
        <v>1000</v>
      </c>
      <c r="H22" s="425"/>
      <c r="I22" s="429"/>
      <c r="J22" s="429" t="s">
        <v>540</v>
      </c>
      <c r="K22" s="429"/>
    </row>
    <row r="23" spans="1:11" s="428" customFormat="1" x14ac:dyDescent="0.25">
      <c r="A23" s="422"/>
      <c r="B23" s="423" t="s">
        <v>249</v>
      </c>
      <c r="C23" s="424">
        <v>500</v>
      </c>
      <c r="D23" s="425">
        <v>-500</v>
      </c>
      <c r="E23" s="426">
        <f t="shared" si="0"/>
        <v>0</v>
      </c>
      <c r="F23" s="424">
        <v>0</v>
      </c>
      <c r="G23" s="425">
        <f>500-500</f>
        <v>0</v>
      </c>
      <c r="H23" s="425"/>
      <c r="I23" s="429"/>
      <c r="J23" s="429" t="s">
        <v>540</v>
      </c>
      <c r="K23" s="429"/>
    </row>
    <row r="24" spans="1:11" s="428" customFormat="1" x14ac:dyDescent="0.25">
      <c r="A24" s="422"/>
      <c r="B24" s="423" t="s">
        <v>127</v>
      </c>
      <c r="C24" s="424">
        <v>1000</v>
      </c>
      <c r="D24" s="425">
        <v>-1000</v>
      </c>
      <c r="E24" s="426">
        <f t="shared" si="0"/>
        <v>0</v>
      </c>
      <c r="F24" s="424">
        <v>0</v>
      </c>
      <c r="G24" s="425">
        <f>1000-1000</f>
        <v>0</v>
      </c>
      <c r="H24" s="425"/>
      <c r="I24" s="429"/>
      <c r="J24" s="429" t="s">
        <v>540</v>
      </c>
      <c r="K24" s="429"/>
    </row>
    <row r="25" spans="1:11" s="428" customFormat="1" x14ac:dyDescent="0.25">
      <c r="A25" s="422"/>
      <c r="B25" s="423" t="s">
        <v>250</v>
      </c>
      <c r="C25" s="424">
        <v>500</v>
      </c>
      <c r="D25" s="425">
        <v>-250</v>
      </c>
      <c r="E25" s="426">
        <f t="shared" si="0"/>
        <v>250</v>
      </c>
      <c r="F25" s="424">
        <v>0</v>
      </c>
      <c r="G25" s="425">
        <f>500-250</f>
        <v>250</v>
      </c>
      <c r="H25" s="425"/>
      <c r="I25" s="429"/>
      <c r="J25" s="429" t="s">
        <v>540</v>
      </c>
      <c r="K25" s="429"/>
    </row>
    <row r="26" spans="1:11" s="428" customFormat="1" x14ac:dyDescent="0.25">
      <c r="A26" s="422"/>
      <c r="B26" s="423" t="s">
        <v>251</v>
      </c>
      <c r="C26" s="424">
        <v>200</v>
      </c>
      <c r="D26" s="425">
        <v>-100</v>
      </c>
      <c r="E26" s="426">
        <f t="shared" si="0"/>
        <v>100</v>
      </c>
      <c r="F26" s="424">
        <v>0</v>
      </c>
      <c r="G26" s="425">
        <f>200-100</f>
        <v>100</v>
      </c>
      <c r="H26" s="425"/>
      <c r="I26" s="429"/>
      <c r="J26" s="429" t="s">
        <v>540</v>
      </c>
      <c r="K26" s="429"/>
    </row>
    <row r="27" spans="1:11" s="428" customFormat="1" ht="31.5" x14ac:dyDescent="0.25">
      <c r="A27" s="422"/>
      <c r="B27" s="423" t="s">
        <v>590</v>
      </c>
      <c r="C27" s="424">
        <v>6000</v>
      </c>
      <c r="D27" s="430">
        <v>-2500</v>
      </c>
      <c r="E27" s="426">
        <f t="shared" si="0"/>
        <v>3500</v>
      </c>
      <c r="F27" s="424">
        <v>3500</v>
      </c>
      <c r="G27" s="430">
        <f>2500-2500</f>
        <v>0</v>
      </c>
      <c r="H27" s="430"/>
      <c r="I27" s="429"/>
      <c r="J27" s="429" t="s">
        <v>540</v>
      </c>
      <c r="K27" s="429"/>
    </row>
    <row r="28" spans="1:11" s="428" customFormat="1" x14ac:dyDescent="0.25">
      <c r="A28" s="422"/>
      <c r="B28" s="423" t="s">
        <v>591</v>
      </c>
      <c r="C28" s="424">
        <v>1000</v>
      </c>
      <c r="D28" s="430">
        <v>-500</v>
      </c>
      <c r="E28" s="426">
        <f t="shared" si="0"/>
        <v>500</v>
      </c>
      <c r="F28" s="424"/>
      <c r="G28" s="430">
        <f>1000-500</f>
        <v>500</v>
      </c>
      <c r="H28" s="430"/>
      <c r="I28" s="429"/>
      <c r="J28" s="429" t="s">
        <v>540</v>
      </c>
      <c r="K28" s="429"/>
    </row>
    <row r="29" spans="1:11" s="428" customFormat="1" ht="31.5" x14ac:dyDescent="0.25">
      <c r="A29" s="422"/>
      <c r="B29" s="423" t="s">
        <v>592</v>
      </c>
      <c r="C29" s="424">
        <v>1000</v>
      </c>
      <c r="D29" s="430"/>
      <c r="E29" s="426">
        <f t="shared" si="0"/>
        <v>1000</v>
      </c>
      <c r="F29" s="424"/>
      <c r="G29" s="430">
        <v>1000</v>
      </c>
      <c r="H29" s="430"/>
      <c r="I29" s="429"/>
      <c r="J29" s="429" t="s">
        <v>540</v>
      </c>
      <c r="K29" s="429"/>
    </row>
    <row r="30" spans="1:11" s="428" customFormat="1" ht="31.5" x14ac:dyDescent="0.25">
      <c r="A30" s="422"/>
      <c r="B30" s="423" t="s">
        <v>593</v>
      </c>
      <c r="C30" s="424">
        <v>4250</v>
      </c>
      <c r="D30" s="430"/>
      <c r="E30" s="426">
        <f t="shared" si="0"/>
        <v>4250</v>
      </c>
      <c r="F30" s="424"/>
      <c r="G30" s="430">
        <v>4250</v>
      </c>
      <c r="H30" s="430"/>
      <c r="I30" s="429"/>
      <c r="J30" s="429" t="s">
        <v>540</v>
      </c>
      <c r="K30" s="429"/>
    </row>
    <row r="31" spans="1:11" s="428" customFormat="1" ht="43.5" customHeight="1" x14ac:dyDescent="0.25">
      <c r="A31" s="422"/>
      <c r="B31" s="423" t="s">
        <v>594</v>
      </c>
      <c r="C31" s="424">
        <v>5000</v>
      </c>
      <c r="D31" s="430">
        <v>-4000</v>
      </c>
      <c r="E31" s="426">
        <f t="shared" si="0"/>
        <v>1000</v>
      </c>
      <c r="F31" s="424"/>
      <c r="G31" s="430">
        <f>5000-4000</f>
        <v>1000</v>
      </c>
      <c r="H31" s="430"/>
      <c r="I31" s="429"/>
      <c r="J31" s="429" t="s">
        <v>540</v>
      </c>
      <c r="K31" s="429"/>
    </row>
    <row r="32" spans="1:11" s="428" customFormat="1" x14ac:dyDescent="0.25">
      <c r="A32" s="422"/>
      <c r="B32" s="423" t="s">
        <v>595</v>
      </c>
      <c r="C32" s="424">
        <v>8071</v>
      </c>
      <c r="D32" s="430">
        <f>-1000-4700</f>
        <v>-5700</v>
      </c>
      <c r="E32" s="426">
        <f t="shared" si="0"/>
        <v>2371</v>
      </c>
      <c r="F32" s="424">
        <v>190</v>
      </c>
      <c r="G32" s="430">
        <f>7881-1000-4700</f>
        <v>2181</v>
      </c>
      <c r="H32" s="430"/>
      <c r="I32" s="429"/>
      <c r="J32" s="429" t="s">
        <v>540</v>
      </c>
      <c r="K32" s="429"/>
    </row>
    <row r="33" spans="1:11" s="428" customFormat="1" x14ac:dyDescent="0.25">
      <c r="A33" s="422"/>
      <c r="B33" s="423" t="s">
        <v>695</v>
      </c>
      <c r="C33" s="424">
        <v>6598</v>
      </c>
      <c r="D33" s="430"/>
      <c r="E33" s="426">
        <f t="shared" si="0"/>
        <v>6598</v>
      </c>
      <c r="F33" s="424"/>
      <c r="G33" s="430">
        <v>6598</v>
      </c>
      <c r="H33" s="430"/>
      <c r="I33" s="429"/>
      <c r="J33" s="429" t="s">
        <v>540</v>
      </c>
      <c r="K33" s="429"/>
    </row>
    <row r="34" spans="1:11" s="428" customFormat="1" ht="31.5" x14ac:dyDescent="0.25">
      <c r="A34" s="422"/>
      <c r="B34" s="423" t="s">
        <v>596</v>
      </c>
      <c r="C34" s="424">
        <v>1200</v>
      </c>
      <c r="D34" s="430">
        <v>-600</v>
      </c>
      <c r="E34" s="426">
        <f t="shared" si="0"/>
        <v>600</v>
      </c>
      <c r="F34" s="424"/>
      <c r="G34" s="430">
        <f>1200-600</f>
        <v>600</v>
      </c>
      <c r="H34" s="430"/>
      <c r="I34" s="429"/>
      <c r="J34" s="429" t="s">
        <v>540</v>
      </c>
      <c r="K34" s="429"/>
    </row>
    <row r="35" spans="1:11" s="428" customFormat="1" x14ac:dyDescent="0.25">
      <c r="A35" s="422"/>
      <c r="B35" s="423" t="s">
        <v>597</v>
      </c>
      <c r="C35" s="424">
        <v>60</v>
      </c>
      <c r="D35" s="430"/>
      <c r="E35" s="426">
        <f t="shared" si="0"/>
        <v>60</v>
      </c>
      <c r="F35" s="424">
        <v>60</v>
      </c>
      <c r="G35" s="430">
        <v>0</v>
      </c>
      <c r="H35" s="430"/>
      <c r="I35" s="429"/>
      <c r="J35" s="429" t="s">
        <v>540</v>
      </c>
      <c r="K35" s="429"/>
    </row>
    <row r="36" spans="1:11" s="428" customFormat="1" x14ac:dyDescent="0.25">
      <c r="A36" s="422"/>
      <c r="B36" s="423" t="s">
        <v>598</v>
      </c>
      <c r="C36" s="424">
        <v>5000</v>
      </c>
      <c r="D36" s="430">
        <v>-2500</v>
      </c>
      <c r="E36" s="426">
        <f t="shared" ref="E36" si="1">SUM(C36:D36)</f>
        <v>2500</v>
      </c>
      <c r="F36" s="424"/>
      <c r="G36" s="430">
        <f>5000-2500</f>
        <v>2500</v>
      </c>
      <c r="H36" s="430"/>
      <c r="I36" s="429"/>
      <c r="J36" s="429" t="s">
        <v>540</v>
      </c>
      <c r="K36" s="429"/>
    </row>
    <row r="37" spans="1:11" s="428" customFormat="1" x14ac:dyDescent="0.25">
      <c r="A37" s="422"/>
      <c r="B37" s="423" t="s">
        <v>599</v>
      </c>
      <c r="C37" s="424">
        <v>7117</v>
      </c>
      <c r="D37" s="430">
        <v>-2346</v>
      </c>
      <c r="E37" s="426">
        <f t="shared" ref="E37:E41" si="2">SUM(C37:D37)</f>
        <v>4771</v>
      </c>
      <c r="F37" s="424"/>
      <c r="G37" s="430">
        <f>7117-2346</f>
        <v>4771</v>
      </c>
      <c r="H37" s="430"/>
      <c r="I37" s="429"/>
      <c r="J37" s="429" t="s">
        <v>540</v>
      </c>
      <c r="K37" s="429"/>
    </row>
    <row r="38" spans="1:11" s="428" customFormat="1" x14ac:dyDescent="0.25">
      <c r="A38" s="422"/>
      <c r="B38" s="423" t="s">
        <v>600</v>
      </c>
      <c r="C38" s="424">
        <v>1500</v>
      </c>
      <c r="D38" s="430">
        <v>-1000</v>
      </c>
      <c r="E38" s="426">
        <f t="shared" si="2"/>
        <v>500</v>
      </c>
      <c r="F38" s="424"/>
      <c r="G38" s="430">
        <f>1500-1000</f>
        <v>500</v>
      </c>
      <c r="H38" s="430"/>
      <c r="I38" s="429"/>
      <c r="J38" s="429" t="s">
        <v>540</v>
      </c>
      <c r="K38" s="429"/>
    </row>
    <row r="39" spans="1:11" s="428" customFormat="1" ht="31.5" x14ac:dyDescent="0.25">
      <c r="A39" s="422"/>
      <c r="B39" s="423" t="s">
        <v>601</v>
      </c>
      <c r="C39" s="424">
        <v>1880</v>
      </c>
      <c r="D39" s="430"/>
      <c r="E39" s="426">
        <f t="shared" si="2"/>
        <v>1880</v>
      </c>
      <c r="F39" s="424"/>
      <c r="G39" s="430">
        <v>1880</v>
      </c>
      <c r="H39" s="430"/>
      <c r="I39" s="429"/>
      <c r="J39" s="429" t="s">
        <v>540</v>
      </c>
      <c r="K39" s="429"/>
    </row>
    <row r="40" spans="1:11" s="428" customFormat="1" ht="31.5" x14ac:dyDescent="0.25">
      <c r="A40" s="422"/>
      <c r="B40" s="423" t="s">
        <v>602</v>
      </c>
      <c r="C40" s="424">
        <v>1500</v>
      </c>
      <c r="D40" s="430">
        <v>-500</v>
      </c>
      <c r="E40" s="426">
        <f t="shared" si="2"/>
        <v>1000</v>
      </c>
      <c r="F40" s="424"/>
      <c r="G40" s="430">
        <f>1500-500</f>
        <v>1000</v>
      </c>
      <c r="H40" s="430"/>
      <c r="I40" s="429"/>
      <c r="J40" s="429" t="s">
        <v>540</v>
      </c>
      <c r="K40" s="429"/>
    </row>
    <row r="41" spans="1:11" s="428" customFormat="1" x14ac:dyDescent="0.25">
      <c r="A41" s="422"/>
      <c r="B41" s="423" t="s">
        <v>603</v>
      </c>
      <c r="C41" s="424">
        <v>250</v>
      </c>
      <c r="D41" s="430">
        <v>-250</v>
      </c>
      <c r="E41" s="426">
        <f t="shared" si="2"/>
        <v>0</v>
      </c>
      <c r="F41" s="424"/>
      <c r="G41" s="430">
        <f>250-250</f>
        <v>0</v>
      </c>
      <c r="H41" s="430"/>
      <c r="I41" s="429"/>
      <c r="J41" s="429" t="s">
        <v>540</v>
      </c>
      <c r="K41" s="429"/>
    </row>
    <row r="42" spans="1:11" s="428" customFormat="1" x14ac:dyDescent="0.25">
      <c r="A42" s="422"/>
      <c r="B42" s="423" t="s">
        <v>604</v>
      </c>
      <c r="C42" s="424">
        <v>3000</v>
      </c>
      <c r="D42" s="430">
        <v>-2000</v>
      </c>
      <c r="E42" s="426">
        <f t="shared" si="0"/>
        <v>1000</v>
      </c>
      <c r="F42" s="424"/>
      <c r="G42" s="430">
        <f>3000-2000</f>
        <v>1000</v>
      </c>
      <c r="H42" s="430"/>
      <c r="I42" s="429"/>
      <c r="J42" s="429" t="s">
        <v>540</v>
      </c>
      <c r="K42" s="429"/>
    </row>
    <row r="43" spans="1:11" s="428" customFormat="1" ht="31.5" x14ac:dyDescent="0.25">
      <c r="A43" s="422"/>
      <c r="B43" s="423" t="s">
        <v>605</v>
      </c>
      <c r="C43" s="424">
        <v>3000</v>
      </c>
      <c r="D43" s="430">
        <v>-2000</v>
      </c>
      <c r="E43" s="426">
        <f t="shared" si="0"/>
        <v>1000</v>
      </c>
      <c r="F43" s="424"/>
      <c r="G43" s="430">
        <f>3000-2000</f>
        <v>1000</v>
      </c>
      <c r="H43" s="430"/>
      <c r="I43" s="429"/>
      <c r="J43" s="429" t="s">
        <v>540</v>
      </c>
      <c r="K43" s="429"/>
    </row>
    <row r="44" spans="1:11" s="428" customFormat="1" x14ac:dyDescent="0.25">
      <c r="A44" s="422"/>
      <c r="B44" s="423" t="s">
        <v>606</v>
      </c>
      <c r="C44" s="424">
        <f>24977+2081</f>
        <v>27058</v>
      </c>
      <c r="D44" s="430"/>
      <c r="E44" s="426">
        <f t="shared" si="0"/>
        <v>27058</v>
      </c>
      <c r="F44" s="424">
        <v>2081</v>
      </c>
      <c r="G44" s="430">
        <v>24977</v>
      </c>
      <c r="H44" s="430"/>
      <c r="I44" s="429"/>
      <c r="J44" s="429" t="s">
        <v>540</v>
      </c>
      <c r="K44" s="429"/>
    </row>
    <row r="45" spans="1:11" s="428" customFormat="1" x14ac:dyDescent="0.25">
      <c r="A45" s="422"/>
      <c r="B45" s="423" t="s">
        <v>607</v>
      </c>
      <c r="C45" s="424">
        <v>2300</v>
      </c>
      <c r="D45" s="430">
        <v>-1800</v>
      </c>
      <c r="E45" s="426">
        <f t="shared" si="0"/>
        <v>500</v>
      </c>
      <c r="F45" s="424"/>
      <c r="G45" s="430">
        <f>2300-1800</f>
        <v>500</v>
      </c>
      <c r="H45" s="430"/>
      <c r="I45" s="429"/>
      <c r="J45" s="429" t="s">
        <v>540</v>
      </c>
      <c r="K45" s="429"/>
    </row>
    <row r="46" spans="1:11" s="428" customFormat="1" x14ac:dyDescent="0.25">
      <c r="A46" s="422"/>
      <c r="B46" s="423" t="s">
        <v>608</v>
      </c>
      <c r="C46" s="424">
        <v>2000</v>
      </c>
      <c r="D46" s="430">
        <v>-1000</v>
      </c>
      <c r="E46" s="426">
        <f t="shared" si="0"/>
        <v>1000</v>
      </c>
      <c r="F46" s="424"/>
      <c r="G46" s="430">
        <f>2000-1000</f>
        <v>1000</v>
      </c>
      <c r="H46" s="430"/>
      <c r="I46" s="429"/>
      <c r="J46" s="429" t="s">
        <v>540</v>
      </c>
      <c r="K46" s="429"/>
    </row>
    <row r="47" spans="1:11" s="428" customFormat="1" x14ac:dyDescent="0.25">
      <c r="A47" s="422"/>
      <c r="B47" s="423" t="s">
        <v>609</v>
      </c>
      <c r="C47" s="424">
        <v>500</v>
      </c>
      <c r="D47" s="430">
        <v>-500</v>
      </c>
      <c r="E47" s="426">
        <f t="shared" si="0"/>
        <v>0</v>
      </c>
      <c r="F47" s="424"/>
      <c r="G47" s="430">
        <f>500-500</f>
        <v>0</v>
      </c>
      <c r="H47" s="430"/>
      <c r="I47" s="429"/>
      <c r="J47" s="429" t="s">
        <v>540</v>
      </c>
      <c r="K47" s="429"/>
    </row>
    <row r="48" spans="1:11" s="428" customFormat="1" ht="31.5" x14ac:dyDescent="0.25">
      <c r="A48" s="422"/>
      <c r="B48" s="423" t="s">
        <v>610</v>
      </c>
      <c r="C48" s="424">
        <v>300</v>
      </c>
      <c r="D48" s="430"/>
      <c r="E48" s="426">
        <f t="shared" si="0"/>
        <v>300</v>
      </c>
      <c r="F48" s="424"/>
      <c r="G48" s="430">
        <v>300</v>
      </c>
      <c r="H48" s="430"/>
      <c r="I48" s="429"/>
      <c r="J48" s="429" t="s">
        <v>540</v>
      </c>
      <c r="K48" s="429"/>
    </row>
    <row r="49" spans="1:11" s="428" customFormat="1" x14ac:dyDescent="0.25">
      <c r="A49" s="422"/>
      <c r="B49" s="423" t="s">
        <v>611</v>
      </c>
      <c r="C49" s="424">
        <v>2483</v>
      </c>
      <c r="D49" s="430">
        <f>-1000-483</f>
        <v>-1483</v>
      </c>
      <c r="E49" s="426">
        <f t="shared" si="0"/>
        <v>1000</v>
      </c>
      <c r="F49" s="424"/>
      <c r="G49" s="430">
        <f>2483-1000-483</f>
        <v>1000</v>
      </c>
      <c r="H49" s="430"/>
      <c r="I49" s="429"/>
      <c r="J49" s="429" t="s">
        <v>540</v>
      </c>
      <c r="K49" s="429"/>
    </row>
    <row r="50" spans="1:11" s="428" customFormat="1" x14ac:dyDescent="0.25">
      <c r="A50" s="422"/>
      <c r="B50" s="423" t="s">
        <v>612</v>
      </c>
      <c r="C50" s="424">
        <v>100000</v>
      </c>
      <c r="D50" s="430">
        <v>-10000</v>
      </c>
      <c r="E50" s="426">
        <f t="shared" si="0"/>
        <v>90000</v>
      </c>
      <c r="F50" s="424"/>
      <c r="G50" s="430">
        <f>100000-10000</f>
        <v>90000</v>
      </c>
      <c r="H50" s="430"/>
      <c r="I50" s="429"/>
      <c r="J50" s="429" t="s">
        <v>540</v>
      </c>
      <c r="K50" s="429"/>
    </row>
    <row r="51" spans="1:11" s="428" customFormat="1" x14ac:dyDescent="0.25">
      <c r="A51" s="422"/>
      <c r="B51" s="423" t="s">
        <v>613</v>
      </c>
      <c r="C51" s="424">
        <v>0</v>
      </c>
      <c r="D51" s="430"/>
      <c r="E51" s="426">
        <f t="shared" si="0"/>
        <v>0</v>
      </c>
      <c r="F51" s="424"/>
      <c r="G51" s="430">
        <v>0</v>
      </c>
      <c r="H51" s="430"/>
      <c r="I51" s="429"/>
      <c r="J51" s="429" t="s">
        <v>540</v>
      </c>
      <c r="K51" s="429"/>
    </row>
    <row r="52" spans="1:11" s="428" customFormat="1" x14ac:dyDescent="0.25">
      <c r="A52" s="422"/>
      <c r="B52" s="423" t="s">
        <v>614</v>
      </c>
      <c r="C52" s="424">
        <v>1000</v>
      </c>
      <c r="D52" s="430"/>
      <c r="E52" s="426">
        <f t="shared" si="0"/>
        <v>1000</v>
      </c>
      <c r="F52" s="424"/>
      <c r="G52" s="430">
        <v>1000</v>
      </c>
      <c r="H52" s="430"/>
      <c r="I52" s="429"/>
      <c r="J52" s="429" t="s">
        <v>540</v>
      </c>
      <c r="K52" s="429"/>
    </row>
    <row r="53" spans="1:11" s="428" customFormat="1" ht="31.5" x14ac:dyDescent="0.25">
      <c r="A53" s="422"/>
      <c r="B53" s="423" t="s">
        <v>615</v>
      </c>
      <c r="C53" s="424">
        <v>1000</v>
      </c>
      <c r="D53" s="430"/>
      <c r="E53" s="426">
        <f t="shared" si="0"/>
        <v>1000</v>
      </c>
      <c r="F53" s="424"/>
      <c r="G53" s="430">
        <v>1000</v>
      </c>
      <c r="H53" s="430"/>
      <c r="I53" s="429"/>
      <c r="J53" s="429" t="s">
        <v>540</v>
      </c>
      <c r="K53" s="429"/>
    </row>
    <row r="54" spans="1:11" s="428" customFormat="1" ht="31.5" x14ac:dyDescent="0.25">
      <c r="A54" s="422"/>
      <c r="B54" s="423" t="s">
        <v>696</v>
      </c>
      <c r="C54" s="424">
        <v>1000</v>
      </c>
      <c r="D54" s="430"/>
      <c r="E54" s="426">
        <f t="shared" si="0"/>
        <v>1000</v>
      </c>
      <c r="F54" s="424"/>
      <c r="G54" s="430">
        <v>1000</v>
      </c>
      <c r="H54" s="430"/>
      <c r="I54" s="429"/>
      <c r="J54" s="429" t="s">
        <v>540</v>
      </c>
      <c r="K54" s="429"/>
    </row>
    <row r="55" spans="1:11" s="428" customFormat="1" x14ac:dyDescent="0.25">
      <c r="A55" s="422"/>
      <c r="B55" s="423" t="s">
        <v>616</v>
      </c>
      <c r="C55" s="424">
        <v>2000</v>
      </c>
      <c r="D55" s="430"/>
      <c r="E55" s="426">
        <f t="shared" si="0"/>
        <v>2000</v>
      </c>
      <c r="F55" s="424"/>
      <c r="G55" s="430">
        <v>2000</v>
      </c>
      <c r="H55" s="430"/>
      <c r="I55" s="429"/>
      <c r="J55" s="429" t="s">
        <v>540</v>
      </c>
      <c r="K55" s="429"/>
    </row>
    <row r="56" spans="1:11" s="428" customFormat="1" x14ac:dyDescent="0.25">
      <c r="A56" s="422"/>
      <c r="B56" s="423" t="s">
        <v>697</v>
      </c>
      <c r="C56" s="424">
        <v>8000</v>
      </c>
      <c r="D56" s="430">
        <v>-5000</v>
      </c>
      <c r="E56" s="426">
        <f t="shared" si="0"/>
        <v>3000</v>
      </c>
      <c r="F56" s="424"/>
      <c r="G56" s="430">
        <f>12500-4500-5000</f>
        <v>3000</v>
      </c>
      <c r="H56" s="430"/>
      <c r="I56" s="429"/>
      <c r="J56" s="429" t="s">
        <v>540</v>
      </c>
      <c r="K56" s="429"/>
    </row>
    <row r="57" spans="1:11" s="428" customFormat="1" x14ac:dyDescent="0.25">
      <c r="A57" s="422"/>
      <c r="B57" s="423" t="s">
        <v>698</v>
      </c>
      <c r="C57" s="424">
        <v>1000</v>
      </c>
      <c r="D57" s="430"/>
      <c r="E57" s="426">
        <f t="shared" si="0"/>
        <v>1000</v>
      </c>
      <c r="F57" s="424"/>
      <c r="G57" s="430">
        <v>1000</v>
      </c>
      <c r="H57" s="430"/>
      <c r="I57" s="429"/>
      <c r="J57" s="429" t="s">
        <v>540</v>
      </c>
      <c r="K57" s="429"/>
    </row>
    <row r="58" spans="1:11" s="428" customFormat="1" ht="31.5" x14ac:dyDescent="0.25">
      <c r="A58" s="422"/>
      <c r="B58" s="423" t="s">
        <v>699</v>
      </c>
      <c r="C58" s="424">
        <v>3369</v>
      </c>
      <c r="D58" s="430"/>
      <c r="E58" s="426">
        <f t="shared" si="0"/>
        <v>3369</v>
      </c>
      <c r="F58" s="424"/>
      <c r="G58" s="430">
        <v>3369</v>
      </c>
      <c r="H58" s="430"/>
      <c r="I58" s="429"/>
      <c r="J58" s="429" t="s">
        <v>540</v>
      </c>
      <c r="K58" s="429"/>
    </row>
    <row r="59" spans="1:11" s="428" customFormat="1" ht="31.5" x14ac:dyDescent="0.25">
      <c r="A59" s="422"/>
      <c r="B59" s="423" t="s">
        <v>700</v>
      </c>
      <c r="C59" s="424">
        <v>0</v>
      </c>
      <c r="D59" s="430"/>
      <c r="E59" s="426">
        <f t="shared" si="0"/>
        <v>0</v>
      </c>
      <c r="F59" s="424"/>
      <c r="G59" s="430">
        <f>5000-5000</f>
        <v>0</v>
      </c>
      <c r="H59" s="430"/>
      <c r="I59" s="429"/>
      <c r="J59" s="429" t="s">
        <v>540</v>
      </c>
      <c r="K59" s="429"/>
    </row>
    <row r="60" spans="1:11" s="428" customFormat="1" ht="31.5" x14ac:dyDescent="0.25">
      <c r="A60" s="422"/>
      <c r="B60" s="423" t="s">
        <v>701</v>
      </c>
      <c r="C60" s="424">
        <v>7289</v>
      </c>
      <c r="D60" s="430"/>
      <c r="E60" s="426">
        <f t="shared" si="0"/>
        <v>7289</v>
      </c>
      <c r="F60" s="424"/>
      <c r="G60" s="430">
        <v>7289</v>
      </c>
      <c r="H60" s="430"/>
      <c r="I60" s="429"/>
      <c r="J60" s="429" t="s">
        <v>540</v>
      </c>
      <c r="K60" s="429"/>
    </row>
    <row r="61" spans="1:11" x14ac:dyDescent="0.25">
      <c r="A61" s="417"/>
      <c r="B61" s="739" t="s">
        <v>103</v>
      </c>
      <c r="C61" s="740">
        <f>C62+C63+C64+C65</f>
        <v>16662</v>
      </c>
      <c r="D61" s="740">
        <f>D62+D63+D64+D65</f>
        <v>-5000</v>
      </c>
      <c r="E61" s="740">
        <f t="shared" si="0"/>
        <v>11662</v>
      </c>
      <c r="F61" s="740">
        <f>SUM(F62:F65)</f>
        <v>0</v>
      </c>
      <c r="G61" s="740">
        <f>SUM(G62:G65)</f>
        <v>11662</v>
      </c>
      <c r="H61" s="740">
        <f t="shared" ref="H61" si="3">SUM(H62:H64)</f>
        <v>0</v>
      </c>
      <c r="I61" s="555"/>
      <c r="J61" s="555" t="s">
        <v>540</v>
      </c>
      <c r="K61" s="555"/>
    </row>
    <row r="62" spans="1:11" x14ac:dyDescent="0.25">
      <c r="A62" s="417"/>
      <c r="B62" s="431" t="s">
        <v>114</v>
      </c>
      <c r="C62" s="432">
        <v>13053</v>
      </c>
      <c r="D62" s="432">
        <v>-5000</v>
      </c>
      <c r="E62" s="432">
        <f t="shared" si="0"/>
        <v>8053</v>
      </c>
      <c r="F62" s="432"/>
      <c r="G62" s="432">
        <f>18053-5000-5000</f>
        <v>8053</v>
      </c>
      <c r="H62" s="432"/>
      <c r="I62" s="433"/>
      <c r="J62" s="433" t="s">
        <v>540</v>
      </c>
      <c r="K62" s="433"/>
    </row>
    <row r="63" spans="1:11" x14ac:dyDescent="0.25">
      <c r="A63" s="417"/>
      <c r="B63" s="431" t="s">
        <v>115</v>
      </c>
      <c r="C63" s="432">
        <v>1109</v>
      </c>
      <c r="D63" s="432"/>
      <c r="E63" s="432">
        <f t="shared" si="0"/>
        <v>1109</v>
      </c>
      <c r="F63" s="432"/>
      <c r="G63" s="432">
        <v>1109</v>
      </c>
      <c r="H63" s="432"/>
      <c r="I63" s="433"/>
      <c r="J63" s="433" t="s">
        <v>540</v>
      </c>
      <c r="K63" s="433"/>
    </row>
    <row r="64" spans="1:11" x14ac:dyDescent="0.25">
      <c r="A64" s="417"/>
      <c r="B64" s="431" t="s">
        <v>116</v>
      </c>
      <c r="C64" s="432">
        <v>2500</v>
      </c>
      <c r="D64" s="432"/>
      <c r="E64" s="432">
        <f t="shared" si="0"/>
        <v>2500</v>
      </c>
      <c r="F64" s="432"/>
      <c r="G64" s="432">
        <v>2500</v>
      </c>
      <c r="H64" s="432"/>
      <c r="I64" s="433"/>
      <c r="J64" s="433" t="s">
        <v>540</v>
      </c>
      <c r="K64" s="433"/>
    </row>
    <row r="65" spans="1:11" x14ac:dyDescent="0.25">
      <c r="A65" s="417"/>
      <c r="B65" s="431" t="s">
        <v>702</v>
      </c>
      <c r="C65" s="432">
        <v>0</v>
      </c>
      <c r="D65" s="432"/>
      <c r="E65" s="432">
        <f t="shared" si="0"/>
        <v>0</v>
      </c>
      <c r="F65" s="432"/>
      <c r="G65" s="432">
        <f>-1000+1000</f>
        <v>0</v>
      </c>
      <c r="H65" s="432"/>
      <c r="I65" s="433"/>
      <c r="J65" s="433" t="s">
        <v>540</v>
      </c>
      <c r="K65" s="433"/>
    </row>
    <row r="66" spans="1:11" x14ac:dyDescent="0.25">
      <c r="A66" s="417"/>
      <c r="B66" s="739" t="s">
        <v>126</v>
      </c>
      <c r="C66" s="740">
        <v>7488</v>
      </c>
      <c r="D66" s="740">
        <v>53</v>
      </c>
      <c r="E66" s="740">
        <f t="shared" si="0"/>
        <v>7541</v>
      </c>
      <c r="F66" s="740">
        <v>0</v>
      </c>
      <c r="G66" s="740">
        <f>7488+53</f>
        <v>7541</v>
      </c>
      <c r="H66" s="740"/>
      <c r="I66" s="555" t="s">
        <v>540</v>
      </c>
      <c r="J66" s="555" t="s">
        <v>540</v>
      </c>
      <c r="K66" s="555"/>
    </row>
    <row r="67" spans="1:11" x14ac:dyDescent="0.25">
      <c r="A67" s="417"/>
      <c r="B67" s="421" t="s">
        <v>81</v>
      </c>
      <c r="C67" s="419">
        <v>328431</v>
      </c>
      <c r="D67" s="419">
        <f>2450-14062</f>
        <v>-11612</v>
      </c>
      <c r="E67" s="419">
        <f t="shared" si="0"/>
        <v>316819</v>
      </c>
      <c r="F67" s="419">
        <v>190</v>
      </c>
      <c r="G67" s="419">
        <f>328241+2450-14062</f>
        <v>316629</v>
      </c>
      <c r="H67" s="419"/>
      <c r="I67" s="420" t="s">
        <v>540</v>
      </c>
      <c r="J67" s="420" t="s">
        <v>540</v>
      </c>
      <c r="K67" s="420"/>
    </row>
    <row r="68" spans="1:11" x14ac:dyDescent="0.25">
      <c r="A68" s="417"/>
      <c r="B68" s="421" t="s">
        <v>82</v>
      </c>
      <c r="C68" s="419">
        <v>470565</v>
      </c>
      <c r="D68" s="419">
        <f>-29311-100000</f>
        <v>-129311</v>
      </c>
      <c r="E68" s="419">
        <f t="shared" si="0"/>
        <v>341254</v>
      </c>
      <c r="F68" s="419">
        <v>0</v>
      </c>
      <c r="G68" s="419">
        <f>370565+100000-29311-100000</f>
        <v>341254</v>
      </c>
      <c r="H68" s="419"/>
      <c r="I68" s="420" t="s">
        <v>540</v>
      </c>
      <c r="J68" s="420"/>
      <c r="K68" s="420"/>
    </row>
    <row r="69" spans="1:11" x14ac:dyDescent="0.25">
      <c r="A69" s="417"/>
      <c r="B69" s="431" t="s">
        <v>104</v>
      </c>
      <c r="C69" s="432">
        <v>354732</v>
      </c>
      <c r="D69" s="736">
        <v>-100000</v>
      </c>
      <c r="E69" s="432">
        <f t="shared" si="0"/>
        <v>254732</v>
      </c>
      <c r="F69" s="432"/>
      <c r="G69" s="736">
        <f>254732+100000-100000</f>
        <v>254732</v>
      </c>
      <c r="H69" s="432"/>
      <c r="I69" s="433" t="s">
        <v>540</v>
      </c>
      <c r="J69" s="433"/>
      <c r="K69" s="433"/>
    </row>
    <row r="70" spans="1:11" x14ac:dyDescent="0.25">
      <c r="A70" s="417"/>
      <c r="B70" s="434" t="s">
        <v>617</v>
      </c>
      <c r="C70" s="432">
        <v>115721</v>
      </c>
      <c r="D70" s="432">
        <v>-29311</v>
      </c>
      <c r="E70" s="432">
        <f t="shared" si="0"/>
        <v>86410</v>
      </c>
      <c r="F70" s="432"/>
      <c r="G70" s="432">
        <f>115721-29311</f>
        <v>86410</v>
      </c>
      <c r="H70" s="432"/>
      <c r="I70" s="433" t="s">
        <v>540</v>
      </c>
      <c r="J70" s="433"/>
      <c r="K70" s="433"/>
    </row>
    <row r="71" spans="1:11" x14ac:dyDescent="0.25">
      <c r="A71" s="417"/>
      <c r="B71" s="421" t="s">
        <v>105</v>
      </c>
      <c r="C71" s="419">
        <f>C72+C73+C74+C75+C76</f>
        <v>40500</v>
      </c>
      <c r="D71" s="419">
        <f>D72+D73+D74+D75+D76</f>
        <v>-23655</v>
      </c>
      <c r="E71" s="419">
        <f t="shared" si="0"/>
        <v>16845</v>
      </c>
      <c r="F71" s="419">
        <f>F72+F73+F74+F75+F76</f>
        <v>0</v>
      </c>
      <c r="G71" s="419">
        <f>G72+G73+G74+G75+G76</f>
        <v>16845</v>
      </c>
      <c r="H71" s="419"/>
      <c r="I71" s="420"/>
      <c r="J71" s="420" t="s">
        <v>540</v>
      </c>
      <c r="K71" s="420"/>
    </row>
    <row r="72" spans="1:11" x14ac:dyDescent="0.25">
      <c r="A72" s="417"/>
      <c r="B72" s="431" t="s">
        <v>460</v>
      </c>
      <c r="C72" s="432">
        <v>0</v>
      </c>
      <c r="D72" s="432"/>
      <c r="E72" s="432">
        <f t="shared" si="0"/>
        <v>0</v>
      </c>
      <c r="F72" s="432"/>
      <c r="G72" s="432">
        <f>10000-10000</f>
        <v>0</v>
      </c>
      <c r="H72" s="432"/>
      <c r="I72" s="433"/>
      <c r="J72" s="433" t="s">
        <v>540</v>
      </c>
      <c r="K72" s="433"/>
    </row>
    <row r="73" spans="1:11" ht="31.5" x14ac:dyDescent="0.25">
      <c r="A73" s="417"/>
      <c r="B73" s="431" t="s">
        <v>542</v>
      </c>
      <c r="C73" s="432">
        <v>0</v>
      </c>
      <c r="D73" s="432"/>
      <c r="E73" s="432">
        <f t="shared" si="0"/>
        <v>0</v>
      </c>
      <c r="F73" s="432"/>
      <c r="G73" s="432">
        <f>20000-20000</f>
        <v>0</v>
      </c>
      <c r="H73" s="432"/>
      <c r="I73" s="433"/>
      <c r="J73" s="433" t="s">
        <v>540</v>
      </c>
      <c r="K73" s="433"/>
    </row>
    <row r="74" spans="1:11" ht="31.5" x14ac:dyDescent="0.25">
      <c r="A74" s="417"/>
      <c r="B74" s="431" t="s">
        <v>799</v>
      </c>
      <c r="C74" s="432">
        <v>2500</v>
      </c>
      <c r="D74" s="432"/>
      <c r="E74" s="432">
        <f t="shared" si="0"/>
        <v>2500</v>
      </c>
      <c r="F74" s="432"/>
      <c r="G74" s="432">
        <v>2500</v>
      </c>
      <c r="H74" s="432"/>
      <c r="I74" s="433"/>
      <c r="J74" s="433" t="s">
        <v>540</v>
      </c>
      <c r="K74" s="433"/>
    </row>
    <row r="75" spans="1:11" ht="31.5" x14ac:dyDescent="0.25">
      <c r="A75" s="417"/>
      <c r="B75" s="431" t="s">
        <v>461</v>
      </c>
      <c r="C75" s="432">
        <v>38000</v>
      </c>
      <c r="D75" s="432">
        <v>-23655</v>
      </c>
      <c r="E75" s="432">
        <f t="shared" si="0"/>
        <v>14345</v>
      </c>
      <c r="F75" s="432"/>
      <c r="G75" s="432">
        <f>38000-23655</f>
        <v>14345</v>
      </c>
      <c r="H75" s="432"/>
      <c r="I75" s="433"/>
      <c r="J75" s="433" t="s">
        <v>540</v>
      </c>
      <c r="K75" s="433"/>
    </row>
    <row r="76" spans="1:11" x14ac:dyDescent="0.25">
      <c r="A76" s="417"/>
      <c r="B76" s="431" t="s">
        <v>234</v>
      </c>
      <c r="C76" s="432">
        <v>0</v>
      </c>
      <c r="D76" s="432"/>
      <c r="E76" s="432">
        <f t="shared" si="0"/>
        <v>0</v>
      </c>
      <c r="F76" s="432"/>
      <c r="G76" s="432">
        <f>15000-15000</f>
        <v>0</v>
      </c>
      <c r="H76" s="432"/>
      <c r="I76" s="433"/>
      <c r="J76" s="433" t="s">
        <v>540</v>
      </c>
      <c r="K76" s="433"/>
    </row>
    <row r="77" spans="1:11" x14ac:dyDescent="0.25">
      <c r="A77" s="417" t="s">
        <v>106</v>
      </c>
      <c r="B77" s="418" t="s">
        <v>107</v>
      </c>
      <c r="C77" s="435">
        <f t="shared" ref="C77:H77" si="4">SUM(C78:C79)+C81</f>
        <v>816666</v>
      </c>
      <c r="D77" s="435">
        <f t="shared" si="4"/>
        <v>57105</v>
      </c>
      <c r="E77" s="435">
        <f t="shared" si="4"/>
        <v>873771</v>
      </c>
      <c r="F77" s="435">
        <f t="shared" si="4"/>
        <v>86</v>
      </c>
      <c r="G77" s="435">
        <f t="shared" si="4"/>
        <v>1350405</v>
      </c>
      <c r="H77" s="435">
        <f t="shared" si="4"/>
        <v>-476720</v>
      </c>
      <c r="I77" s="436" t="s">
        <v>540</v>
      </c>
      <c r="J77" s="436"/>
      <c r="K77" s="436"/>
    </row>
    <row r="78" spans="1:11" x14ac:dyDescent="0.25">
      <c r="A78" s="417"/>
      <c r="B78" s="739" t="s">
        <v>235</v>
      </c>
      <c r="C78" s="740">
        <v>15000</v>
      </c>
      <c r="D78" s="740"/>
      <c r="E78" s="740">
        <f t="shared" si="0"/>
        <v>15000</v>
      </c>
      <c r="F78" s="740"/>
      <c r="G78" s="740">
        <v>15000</v>
      </c>
      <c r="H78" s="740"/>
      <c r="I78" s="555" t="s">
        <v>540</v>
      </c>
      <c r="J78" s="555"/>
      <c r="K78" s="555"/>
    </row>
    <row r="79" spans="1:11" x14ac:dyDescent="0.25">
      <c r="A79" s="417"/>
      <c r="B79" s="739" t="s">
        <v>83</v>
      </c>
      <c r="C79" s="740">
        <v>185086</v>
      </c>
      <c r="D79" s="740">
        <v>20000</v>
      </c>
      <c r="E79" s="740">
        <f t="shared" si="0"/>
        <v>205086</v>
      </c>
      <c r="F79" s="740">
        <v>86</v>
      </c>
      <c r="G79" s="740">
        <f>185000+20000</f>
        <v>205000</v>
      </c>
      <c r="H79" s="740"/>
      <c r="I79" s="555" t="s">
        <v>540</v>
      </c>
      <c r="J79" s="555"/>
      <c r="K79" s="555"/>
    </row>
    <row r="80" spans="1:11" x14ac:dyDescent="0.25">
      <c r="A80" s="417"/>
      <c r="B80" s="431" t="s">
        <v>703</v>
      </c>
      <c r="C80" s="437">
        <v>180000</v>
      </c>
      <c r="D80" s="437">
        <v>20000</v>
      </c>
      <c r="E80" s="437">
        <f t="shared" ref="E80" si="5">SUM(C80:D80)</f>
        <v>200000</v>
      </c>
      <c r="F80" s="437"/>
      <c r="G80" s="437">
        <f>180000+20000</f>
        <v>200000</v>
      </c>
      <c r="H80" s="437"/>
      <c r="I80" s="438" t="s">
        <v>540</v>
      </c>
      <c r="J80" s="438"/>
      <c r="K80" s="438"/>
    </row>
    <row r="81" spans="1:12" x14ac:dyDescent="0.25">
      <c r="A81" s="417"/>
      <c r="B81" s="439" t="s">
        <v>1023</v>
      </c>
      <c r="C81" s="740">
        <v>616580</v>
      </c>
      <c r="D81" s="740">
        <f>22109+12013+2349+634</f>
        <v>37105</v>
      </c>
      <c r="E81" s="740">
        <f t="shared" si="0"/>
        <v>653685</v>
      </c>
      <c r="F81" s="740"/>
      <c r="G81" s="437">
        <f>61100+1332200-100000-200000+22109+12013+2349+634</f>
        <v>1130405</v>
      </c>
      <c r="H81" s="740">
        <f>-55392-28624-21704-1000-200000-100000-20000-50000</f>
        <v>-476720</v>
      </c>
      <c r="I81" s="555" t="s">
        <v>540</v>
      </c>
      <c r="J81" s="555"/>
      <c r="K81" s="555"/>
    </row>
    <row r="82" spans="1:12" x14ac:dyDescent="0.25">
      <c r="A82" s="417" t="s">
        <v>108</v>
      </c>
      <c r="B82" s="421" t="s">
        <v>319</v>
      </c>
      <c r="C82" s="435">
        <f t="shared" ref="C82:D82" si="6">SUM(C83:C86)</f>
        <v>31596817</v>
      </c>
      <c r="D82" s="435">
        <f t="shared" si="6"/>
        <v>-1286796</v>
      </c>
      <c r="E82" s="435">
        <f t="shared" si="0"/>
        <v>30310021</v>
      </c>
      <c r="F82" s="435">
        <f>SUM(F83:F86)</f>
        <v>247705</v>
      </c>
      <c r="G82" s="435">
        <f t="shared" ref="G82:H82" si="7">SUM(G83:G86)</f>
        <v>30062316</v>
      </c>
      <c r="H82" s="435">
        <f t="shared" si="7"/>
        <v>0</v>
      </c>
      <c r="I82" s="436" t="s">
        <v>540</v>
      </c>
      <c r="J82" s="436" t="s">
        <v>540</v>
      </c>
      <c r="K82" s="436"/>
    </row>
    <row r="83" spans="1:12" ht="33" customHeight="1" x14ac:dyDescent="0.25">
      <c r="A83" s="417"/>
      <c r="B83" s="439" t="s">
        <v>704</v>
      </c>
      <c r="C83" s="740">
        <v>1717428</v>
      </c>
      <c r="D83" s="740">
        <v>-86334</v>
      </c>
      <c r="E83" s="740">
        <f t="shared" si="0"/>
        <v>1631094</v>
      </c>
      <c r="F83" s="740">
        <v>75420</v>
      </c>
      <c r="G83" s="740">
        <f>2112637-470629-86334</f>
        <v>1555674</v>
      </c>
      <c r="H83" s="740"/>
      <c r="I83" s="555" t="s">
        <v>540</v>
      </c>
      <c r="J83" s="555"/>
      <c r="K83" s="555"/>
    </row>
    <row r="84" spans="1:12" x14ac:dyDescent="0.25">
      <c r="A84" s="417"/>
      <c r="B84" s="439" t="s">
        <v>84</v>
      </c>
      <c r="C84" s="740">
        <v>28562939</v>
      </c>
      <c r="D84" s="740">
        <f>6375-399837+4+784+18000-605287</f>
        <v>-979961</v>
      </c>
      <c r="E84" s="740">
        <f t="shared" si="0"/>
        <v>27582978</v>
      </c>
      <c r="F84" s="740">
        <v>154059</v>
      </c>
      <c r="G84" s="740">
        <f>29117311-708431+6375-399837+4+784+18000-605287</f>
        <v>27428919</v>
      </c>
      <c r="H84" s="740"/>
      <c r="I84" s="555" t="s">
        <v>540</v>
      </c>
      <c r="J84" s="555" t="s">
        <v>540</v>
      </c>
      <c r="K84" s="555"/>
    </row>
    <row r="85" spans="1:12" x14ac:dyDescent="0.25">
      <c r="A85" s="417"/>
      <c r="B85" s="439" t="s">
        <v>462</v>
      </c>
      <c r="C85" s="740">
        <v>1300621</v>
      </c>
      <c r="D85" s="740">
        <f>-95000-25650-99851</f>
        <v>-220501</v>
      </c>
      <c r="E85" s="740">
        <f t="shared" si="0"/>
        <v>1080120</v>
      </c>
      <c r="F85" s="740">
        <v>18226</v>
      </c>
      <c r="G85" s="740">
        <f>1282395-95000-25650-99851</f>
        <v>1061894</v>
      </c>
      <c r="H85" s="740"/>
      <c r="I85" s="555" t="s">
        <v>540</v>
      </c>
      <c r="J85" s="555"/>
      <c r="K85" s="555"/>
    </row>
    <row r="86" spans="1:12" x14ac:dyDescent="0.25">
      <c r="A86" s="417"/>
      <c r="B86" s="439" t="s">
        <v>110</v>
      </c>
      <c r="C86" s="740">
        <v>15829</v>
      </c>
      <c r="D86" s="740"/>
      <c r="E86" s="740">
        <f t="shared" si="0"/>
        <v>15829</v>
      </c>
      <c r="F86" s="740">
        <v>0</v>
      </c>
      <c r="G86" s="740">
        <v>15829</v>
      </c>
      <c r="H86" s="740"/>
      <c r="I86" s="555" t="s">
        <v>540</v>
      </c>
      <c r="J86" s="555"/>
      <c r="K86" s="555"/>
    </row>
    <row r="87" spans="1:12" x14ac:dyDescent="0.25">
      <c r="A87" s="417" t="s">
        <v>85</v>
      </c>
      <c r="B87" s="421" t="s">
        <v>64</v>
      </c>
      <c r="C87" s="419">
        <f>SUM(C91,C88)</f>
        <v>2348793</v>
      </c>
      <c r="D87" s="419">
        <f>SUM(D91,D88)</f>
        <v>-244350</v>
      </c>
      <c r="E87" s="419">
        <f t="shared" si="0"/>
        <v>2104443</v>
      </c>
      <c r="F87" s="419">
        <f>SUM(F91,F88)</f>
        <v>26277</v>
      </c>
      <c r="G87" s="419">
        <f>SUM(G91,G88)</f>
        <v>2078166</v>
      </c>
      <c r="H87" s="419">
        <f>SUM(H91,H88)</f>
        <v>0</v>
      </c>
      <c r="I87" s="420" t="s">
        <v>540</v>
      </c>
      <c r="J87" s="420" t="s">
        <v>540</v>
      </c>
      <c r="K87" s="420"/>
    </row>
    <row r="88" spans="1:12" x14ac:dyDescent="0.25">
      <c r="A88" s="417"/>
      <c r="B88" s="439" t="s">
        <v>86</v>
      </c>
      <c r="C88" s="740">
        <v>2338793</v>
      </c>
      <c r="D88" s="740">
        <f>50+2749-200000+224+12+11-47396</f>
        <v>-244350</v>
      </c>
      <c r="E88" s="740">
        <f t="shared" si="0"/>
        <v>2094443</v>
      </c>
      <c r="F88" s="740">
        <v>26277</v>
      </c>
      <c r="G88" s="740">
        <f>2112516+200000+50+2749-200000+224+12+11-47396</f>
        <v>2068166</v>
      </c>
      <c r="H88" s="740"/>
      <c r="I88" s="555" t="s">
        <v>540</v>
      </c>
      <c r="J88" s="555" t="s">
        <v>540</v>
      </c>
      <c r="K88" s="555"/>
    </row>
    <row r="89" spans="1:12" x14ac:dyDescent="0.25">
      <c r="A89" s="417"/>
      <c r="B89" s="434" t="s">
        <v>618</v>
      </c>
      <c r="C89" s="432">
        <v>20000</v>
      </c>
      <c r="D89" s="432"/>
      <c r="E89" s="432">
        <f t="shared" si="0"/>
        <v>20000</v>
      </c>
      <c r="F89" s="432"/>
      <c r="G89" s="432">
        <v>20000</v>
      </c>
      <c r="H89" s="432"/>
      <c r="I89" s="433"/>
      <c r="J89" s="433" t="s">
        <v>540</v>
      </c>
      <c r="K89" s="433"/>
    </row>
    <row r="90" spans="1:12" ht="31.5" x14ac:dyDescent="0.25">
      <c r="A90" s="417"/>
      <c r="B90" s="434" t="s">
        <v>705</v>
      </c>
      <c r="C90" s="432">
        <v>460062</v>
      </c>
      <c r="D90" s="432">
        <f>2152-38100</f>
        <v>-35948</v>
      </c>
      <c r="E90" s="432">
        <f t="shared" si="0"/>
        <v>424114</v>
      </c>
      <c r="F90" s="432"/>
      <c r="G90" s="432">
        <f>460062+2152-38100</f>
        <v>424114</v>
      </c>
      <c r="H90" s="432"/>
      <c r="I90" s="433" t="s">
        <v>540</v>
      </c>
      <c r="J90" s="433"/>
      <c r="K90" s="433"/>
    </row>
    <row r="91" spans="1:12" x14ac:dyDescent="0.25">
      <c r="A91" s="417"/>
      <c r="B91" s="439" t="s">
        <v>252</v>
      </c>
      <c r="C91" s="740">
        <v>10000</v>
      </c>
      <c r="D91" s="740"/>
      <c r="E91" s="740">
        <f t="shared" si="0"/>
        <v>10000</v>
      </c>
      <c r="F91" s="740"/>
      <c r="G91" s="740">
        <v>10000</v>
      </c>
      <c r="H91" s="740"/>
      <c r="I91" s="555"/>
      <c r="J91" s="555" t="s">
        <v>540</v>
      </c>
      <c r="K91" s="555"/>
    </row>
    <row r="92" spans="1:12" x14ac:dyDescent="0.25">
      <c r="A92" s="417" t="s">
        <v>87</v>
      </c>
      <c r="B92" s="421" t="s">
        <v>65</v>
      </c>
      <c r="C92" s="435">
        <f>SUM(C101,C99,C95,C93:C94)</f>
        <v>7916506</v>
      </c>
      <c r="D92" s="435">
        <f>SUM(D101,D99,D95,D93:D94)</f>
        <v>-1737500</v>
      </c>
      <c r="E92" s="435">
        <f t="shared" si="0"/>
        <v>6179006</v>
      </c>
      <c r="F92" s="435">
        <f>SUM(F101,F99,F95,F93:F94)</f>
        <v>202949</v>
      </c>
      <c r="G92" s="435">
        <f>SUM(G101,G99,G95,G93:G94)</f>
        <v>5976057</v>
      </c>
      <c r="H92" s="435">
        <f>SUM(H101,H99,H95,H93:H94)</f>
        <v>0</v>
      </c>
      <c r="I92" s="436" t="s">
        <v>540</v>
      </c>
      <c r="J92" s="436" t="s">
        <v>540</v>
      </c>
      <c r="K92" s="436"/>
    </row>
    <row r="93" spans="1:12" x14ac:dyDescent="0.25">
      <c r="A93" s="417"/>
      <c r="B93" s="439" t="s">
        <v>88</v>
      </c>
      <c r="C93" s="740">
        <v>6920431</v>
      </c>
      <c r="D93" s="740">
        <f>-525000-1500000</f>
        <v>-2025000</v>
      </c>
      <c r="E93" s="740">
        <f t="shared" si="0"/>
        <v>4895431</v>
      </c>
      <c r="F93" s="740">
        <v>201586</v>
      </c>
      <c r="G93" s="740">
        <f>5218845+1500000-525000-1500000</f>
        <v>4693845</v>
      </c>
      <c r="H93" s="740"/>
      <c r="I93" s="555" t="s">
        <v>540</v>
      </c>
      <c r="J93" s="555"/>
      <c r="K93" s="555"/>
      <c r="L93" s="741"/>
    </row>
    <row r="94" spans="1:12" x14ac:dyDescent="0.25">
      <c r="A94" s="417"/>
      <c r="B94" s="739" t="s">
        <v>89</v>
      </c>
      <c r="C94" s="740">
        <v>28203</v>
      </c>
      <c r="D94" s="740">
        <f>-10000-4000</f>
        <v>-14000</v>
      </c>
      <c r="E94" s="740">
        <f t="shared" si="0"/>
        <v>14203</v>
      </c>
      <c r="F94" s="740"/>
      <c r="G94" s="740">
        <f>28203-10000-4000</f>
        <v>14203</v>
      </c>
      <c r="H94" s="740"/>
      <c r="I94" s="555" t="s">
        <v>540</v>
      </c>
      <c r="J94" s="555" t="s">
        <v>540</v>
      </c>
      <c r="K94" s="555"/>
    </row>
    <row r="95" spans="1:12" x14ac:dyDescent="0.25">
      <c r="A95" s="417"/>
      <c r="B95" s="439" t="s">
        <v>276</v>
      </c>
      <c r="C95" s="740">
        <v>914118</v>
      </c>
      <c r="D95" s="740">
        <f>22000-20000+300000</f>
        <v>302000</v>
      </c>
      <c r="E95" s="740">
        <f t="shared" ref="E95:E132" si="8">SUM(C95:D95)</f>
        <v>1216118</v>
      </c>
      <c r="F95" s="740"/>
      <c r="G95" s="740">
        <f>914118+22000-20000+300000</f>
        <v>1216118</v>
      </c>
      <c r="H95" s="740"/>
      <c r="I95" s="555"/>
      <c r="J95" s="555" t="s">
        <v>540</v>
      </c>
      <c r="K95" s="555"/>
    </row>
    <row r="96" spans="1:12" x14ac:dyDescent="0.25">
      <c r="A96" s="417"/>
      <c r="B96" s="434" t="s">
        <v>463</v>
      </c>
      <c r="C96" s="432">
        <v>812289</v>
      </c>
      <c r="D96" s="432">
        <f>22000+300000</f>
        <v>322000</v>
      </c>
      <c r="E96" s="432">
        <f t="shared" si="8"/>
        <v>1134289</v>
      </c>
      <c r="F96" s="432"/>
      <c r="G96" s="432">
        <f>812289+22000+300000</f>
        <v>1134289</v>
      </c>
      <c r="H96" s="432"/>
      <c r="I96" s="433" t="s">
        <v>540</v>
      </c>
      <c r="J96" s="433"/>
      <c r="K96" s="433"/>
    </row>
    <row r="97" spans="1:11" ht="31.5" x14ac:dyDescent="0.25">
      <c r="A97" s="417"/>
      <c r="B97" s="434" t="s">
        <v>706</v>
      </c>
      <c r="C97" s="432">
        <v>63000</v>
      </c>
      <c r="D97" s="432"/>
      <c r="E97" s="432">
        <f t="shared" si="8"/>
        <v>63000</v>
      </c>
      <c r="F97" s="432"/>
      <c r="G97" s="432">
        <v>63000</v>
      </c>
      <c r="H97" s="432"/>
      <c r="I97" s="433" t="s">
        <v>540</v>
      </c>
      <c r="J97" s="433"/>
      <c r="K97" s="433"/>
    </row>
    <row r="98" spans="1:11" ht="31.5" x14ac:dyDescent="0.25">
      <c r="A98" s="417"/>
      <c r="B98" s="434" t="s">
        <v>619</v>
      </c>
      <c r="C98" s="432">
        <v>38829</v>
      </c>
      <c r="D98" s="432">
        <v>-20000</v>
      </c>
      <c r="E98" s="432">
        <f t="shared" si="8"/>
        <v>18829</v>
      </c>
      <c r="F98" s="432"/>
      <c r="G98" s="432">
        <f>38829-20000</f>
        <v>18829</v>
      </c>
      <c r="H98" s="432"/>
      <c r="I98" s="433"/>
      <c r="J98" s="433" t="s">
        <v>540</v>
      </c>
      <c r="K98" s="433"/>
    </row>
    <row r="99" spans="1:11" x14ac:dyDescent="0.25">
      <c r="A99" s="417"/>
      <c r="B99" s="439" t="s">
        <v>543</v>
      </c>
      <c r="C99" s="740">
        <v>51781</v>
      </c>
      <c r="D99" s="740">
        <v>0</v>
      </c>
      <c r="E99" s="740">
        <f t="shared" si="8"/>
        <v>51781</v>
      </c>
      <c r="F99" s="740">
        <v>1363</v>
      </c>
      <c r="G99" s="740">
        <v>50418</v>
      </c>
      <c r="H99" s="740"/>
      <c r="I99" s="555" t="s">
        <v>540</v>
      </c>
      <c r="J99" s="555" t="s">
        <v>540</v>
      </c>
      <c r="K99" s="555"/>
    </row>
    <row r="100" spans="1:11" x14ac:dyDescent="0.25">
      <c r="A100" s="417"/>
      <c r="B100" s="434" t="s">
        <v>277</v>
      </c>
      <c r="C100" s="432">
        <v>7000</v>
      </c>
      <c r="D100" s="432"/>
      <c r="E100" s="432">
        <f t="shared" si="8"/>
        <v>7000</v>
      </c>
      <c r="F100" s="432"/>
      <c r="G100" s="432">
        <v>7000</v>
      </c>
      <c r="H100" s="432"/>
      <c r="I100" s="433"/>
      <c r="J100" s="433" t="s">
        <v>540</v>
      </c>
      <c r="K100" s="433"/>
    </row>
    <row r="101" spans="1:11" x14ac:dyDescent="0.25">
      <c r="A101" s="417"/>
      <c r="B101" s="739" t="s">
        <v>90</v>
      </c>
      <c r="C101" s="740">
        <v>1973</v>
      </c>
      <c r="D101" s="740">
        <v>-500</v>
      </c>
      <c r="E101" s="740">
        <f t="shared" si="8"/>
        <v>1473</v>
      </c>
      <c r="F101" s="740"/>
      <c r="G101" s="740">
        <f>1973-500</f>
        <v>1473</v>
      </c>
      <c r="H101" s="740"/>
      <c r="I101" s="555"/>
      <c r="J101" s="555" t="s">
        <v>540</v>
      </c>
      <c r="K101" s="555"/>
    </row>
    <row r="102" spans="1:11" x14ac:dyDescent="0.25">
      <c r="A102" s="417" t="s">
        <v>91</v>
      </c>
      <c r="B102" s="421" t="s">
        <v>66</v>
      </c>
      <c r="C102" s="435">
        <f>SUM(C200,C196,C187,C184,C132,C117,C103)</f>
        <v>2601111</v>
      </c>
      <c r="D102" s="435">
        <f>SUM(D200,D196,D187,D184,D132,D117,D103)</f>
        <v>-720909</v>
      </c>
      <c r="E102" s="435">
        <f t="shared" si="8"/>
        <v>1880202</v>
      </c>
      <c r="F102" s="435">
        <f>SUM(F200,F196,F187,F184,F132,F117,F103)</f>
        <v>45907</v>
      </c>
      <c r="G102" s="435">
        <f>SUM(G200,G196,G187,G184,G132,G117,G103)</f>
        <v>1834295</v>
      </c>
      <c r="H102" s="435">
        <f>SUM(H200,H196,H187,H184,H132,H117,H103)</f>
        <v>0</v>
      </c>
      <c r="I102" s="436" t="s">
        <v>540</v>
      </c>
      <c r="J102" s="436" t="s">
        <v>540</v>
      </c>
      <c r="K102" s="436"/>
    </row>
    <row r="103" spans="1:11" x14ac:dyDescent="0.25">
      <c r="A103" s="417"/>
      <c r="B103" s="739" t="s">
        <v>92</v>
      </c>
      <c r="C103" s="740">
        <v>242315</v>
      </c>
      <c r="D103" s="740">
        <v>-77390</v>
      </c>
      <c r="E103" s="740">
        <f t="shared" si="8"/>
        <v>164925</v>
      </c>
      <c r="F103" s="740">
        <v>7987</v>
      </c>
      <c r="G103" s="740">
        <f>249328-15000-77390</f>
        <v>156938</v>
      </c>
      <c r="H103" s="740"/>
      <c r="I103" s="555" t="s">
        <v>540</v>
      </c>
      <c r="J103" s="555" t="s">
        <v>540</v>
      </c>
      <c r="K103" s="555"/>
    </row>
    <row r="104" spans="1:11" s="369" customFormat="1" ht="31.5" x14ac:dyDescent="0.25">
      <c r="A104" s="440"/>
      <c r="B104" s="441" t="s">
        <v>544</v>
      </c>
      <c r="C104" s="442">
        <v>7022</v>
      </c>
      <c r="D104" s="430"/>
      <c r="E104" s="426">
        <f t="shared" si="8"/>
        <v>7022</v>
      </c>
      <c r="F104" s="442"/>
      <c r="G104" s="430">
        <v>7022</v>
      </c>
      <c r="H104" s="430"/>
      <c r="I104" s="429" t="s">
        <v>540</v>
      </c>
      <c r="J104" s="429"/>
      <c r="K104" s="429"/>
    </row>
    <row r="105" spans="1:11" s="369" customFormat="1" ht="31.5" x14ac:dyDescent="0.25">
      <c r="A105" s="440"/>
      <c r="B105" s="441" t="s">
        <v>125</v>
      </c>
      <c r="C105" s="442">
        <v>2174</v>
      </c>
      <c r="D105" s="430"/>
      <c r="E105" s="426">
        <f t="shared" si="8"/>
        <v>2174</v>
      </c>
      <c r="F105" s="442"/>
      <c r="G105" s="430">
        <v>2174</v>
      </c>
      <c r="H105" s="430"/>
      <c r="I105" s="429" t="s">
        <v>540</v>
      </c>
      <c r="J105" s="429"/>
      <c r="K105" s="429"/>
    </row>
    <row r="106" spans="1:11" s="369" customFormat="1" ht="31.5" x14ac:dyDescent="0.25">
      <c r="A106" s="440"/>
      <c r="B106" s="441" t="s">
        <v>545</v>
      </c>
      <c r="C106" s="442">
        <v>6000</v>
      </c>
      <c r="D106" s="430">
        <v>-2000</v>
      </c>
      <c r="E106" s="426">
        <f t="shared" si="8"/>
        <v>4000</v>
      </c>
      <c r="F106" s="442"/>
      <c r="G106" s="430">
        <f>6000-2000</f>
        <v>4000</v>
      </c>
      <c r="H106" s="430"/>
      <c r="I106" s="429"/>
      <c r="J106" s="429" t="s">
        <v>540</v>
      </c>
      <c r="K106" s="429"/>
    </row>
    <row r="107" spans="1:11" s="369" customFormat="1" x14ac:dyDescent="0.25">
      <c r="A107" s="440"/>
      <c r="B107" s="441" t="s">
        <v>546</v>
      </c>
      <c r="C107" s="442">
        <v>7000</v>
      </c>
      <c r="D107" s="430">
        <v>-3500</v>
      </c>
      <c r="E107" s="426">
        <f t="shared" si="8"/>
        <v>3500</v>
      </c>
      <c r="F107" s="442"/>
      <c r="G107" s="430">
        <f>7000-3500</f>
        <v>3500</v>
      </c>
      <c r="H107" s="430"/>
      <c r="I107" s="429"/>
      <c r="J107" s="429" t="s">
        <v>540</v>
      </c>
      <c r="K107" s="429"/>
    </row>
    <row r="108" spans="1:11" s="369" customFormat="1" ht="31.5" x14ac:dyDescent="0.25">
      <c r="A108" s="440"/>
      <c r="B108" s="441" t="s">
        <v>547</v>
      </c>
      <c r="C108" s="442">
        <v>700</v>
      </c>
      <c r="D108" s="430"/>
      <c r="E108" s="426">
        <f t="shared" si="8"/>
        <v>700</v>
      </c>
      <c r="F108" s="442"/>
      <c r="G108" s="430">
        <v>700</v>
      </c>
      <c r="H108" s="430"/>
      <c r="I108" s="429"/>
      <c r="J108" s="429" t="s">
        <v>540</v>
      </c>
      <c r="K108" s="429"/>
    </row>
    <row r="109" spans="1:11" s="369" customFormat="1" x14ac:dyDescent="0.25">
      <c r="A109" s="440"/>
      <c r="B109" s="441" t="s">
        <v>620</v>
      </c>
      <c r="C109" s="442">
        <v>156674</v>
      </c>
      <c r="D109" s="430">
        <v>-50000</v>
      </c>
      <c r="E109" s="426">
        <f t="shared" si="8"/>
        <v>106674</v>
      </c>
      <c r="F109" s="442"/>
      <c r="G109" s="430">
        <f>156674-50000</f>
        <v>106674</v>
      </c>
      <c r="H109" s="430"/>
      <c r="I109" s="429"/>
      <c r="J109" s="429" t="s">
        <v>540</v>
      </c>
      <c r="K109" s="429"/>
    </row>
    <row r="110" spans="1:11" s="369" customFormat="1" x14ac:dyDescent="0.25">
      <c r="A110" s="440"/>
      <c r="B110" s="441" t="s">
        <v>548</v>
      </c>
      <c r="C110" s="442">
        <v>26008</v>
      </c>
      <c r="D110" s="430"/>
      <c r="E110" s="426">
        <f t="shared" si="8"/>
        <v>26008</v>
      </c>
      <c r="F110" s="442"/>
      <c r="G110" s="430">
        <v>26008</v>
      </c>
      <c r="H110" s="430"/>
      <c r="I110" s="429"/>
      <c r="J110" s="429" t="s">
        <v>540</v>
      </c>
      <c r="K110" s="429"/>
    </row>
    <row r="111" spans="1:11" s="369" customFormat="1" x14ac:dyDescent="0.25">
      <c r="A111" s="440"/>
      <c r="B111" s="441" t="s">
        <v>464</v>
      </c>
      <c r="C111" s="442">
        <v>100</v>
      </c>
      <c r="D111" s="430"/>
      <c r="E111" s="426">
        <f t="shared" si="8"/>
        <v>100</v>
      </c>
      <c r="F111" s="442"/>
      <c r="G111" s="430">
        <v>100</v>
      </c>
      <c r="H111" s="430"/>
      <c r="I111" s="429"/>
      <c r="J111" s="429" t="s">
        <v>540</v>
      </c>
      <c r="K111" s="429"/>
    </row>
    <row r="112" spans="1:11" s="369" customFormat="1" ht="31.5" x14ac:dyDescent="0.25">
      <c r="A112" s="440"/>
      <c r="B112" s="441" t="s">
        <v>465</v>
      </c>
      <c r="C112" s="442">
        <v>21087</v>
      </c>
      <c r="D112" s="430">
        <v>-8646</v>
      </c>
      <c r="E112" s="426">
        <f t="shared" si="8"/>
        <v>12441</v>
      </c>
      <c r="F112" s="442">
        <v>7987</v>
      </c>
      <c r="G112" s="430">
        <f>13100-8686</f>
        <v>4414</v>
      </c>
      <c r="H112" s="430"/>
      <c r="I112" s="429"/>
      <c r="J112" s="429" t="s">
        <v>540</v>
      </c>
      <c r="K112" s="429"/>
    </row>
    <row r="113" spans="1:11" s="369" customFormat="1" ht="31.5" x14ac:dyDescent="0.25">
      <c r="A113" s="440"/>
      <c r="B113" s="441" t="s">
        <v>466</v>
      </c>
      <c r="C113" s="442">
        <v>3400</v>
      </c>
      <c r="D113" s="430">
        <v>-2244</v>
      </c>
      <c r="E113" s="426">
        <f t="shared" si="8"/>
        <v>1156</v>
      </c>
      <c r="F113" s="442"/>
      <c r="G113" s="430">
        <f>3400-2244</f>
        <v>1156</v>
      </c>
      <c r="H113" s="430"/>
      <c r="I113" s="429"/>
      <c r="J113" s="429" t="s">
        <v>540</v>
      </c>
      <c r="K113" s="429"/>
    </row>
    <row r="114" spans="1:11" s="369" customFormat="1" ht="31.5" x14ac:dyDescent="0.25">
      <c r="A114" s="440"/>
      <c r="B114" s="441" t="s">
        <v>621</v>
      </c>
      <c r="C114" s="442">
        <v>11000</v>
      </c>
      <c r="D114" s="430">
        <v>-11000</v>
      </c>
      <c r="E114" s="426">
        <f t="shared" si="8"/>
        <v>0</v>
      </c>
      <c r="F114" s="442"/>
      <c r="G114" s="430">
        <f>26000-15000-11000</f>
        <v>0</v>
      </c>
      <c r="H114" s="430"/>
      <c r="I114" s="429"/>
      <c r="J114" s="429" t="s">
        <v>540</v>
      </c>
      <c r="K114" s="429"/>
    </row>
    <row r="115" spans="1:11" s="369" customFormat="1" ht="31.5" x14ac:dyDescent="0.25">
      <c r="A115" s="440"/>
      <c r="B115" s="441" t="s">
        <v>622</v>
      </c>
      <c r="C115" s="442">
        <v>0</v>
      </c>
      <c r="D115" s="430"/>
      <c r="E115" s="426">
        <f t="shared" si="8"/>
        <v>0</v>
      </c>
      <c r="F115" s="442"/>
      <c r="G115" s="430">
        <v>0</v>
      </c>
      <c r="H115" s="430"/>
      <c r="I115" s="429"/>
      <c r="J115" s="429" t="s">
        <v>540</v>
      </c>
      <c r="K115" s="429"/>
    </row>
    <row r="116" spans="1:11" s="369" customFormat="1" x14ac:dyDescent="0.25">
      <c r="A116" s="440"/>
      <c r="B116" s="441" t="s">
        <v>707</v>
      </c>
      <c r="C116" s="442">
        <v>1000</v>
      </c>
      <c r="D116" s="430"/>
      <c r="E116" s="426">
        <f t="shared" si="8"/>
        <v>1000</v>
      </c>
      <c r="F116" s="442"/>
      <c r="G116" s="430">
        <v>1000</v>
      </c>
      <c r="H116" s="430"/>
      <c r="I116" s="429"/>
      <c r="J116" s="429" t="s">
        <v>540</v>
      </c>
      <c r="K116" s="429"/>
    </row>
    <row r="117" spans="1:11" x14ac:dyDescent="0.25">
      <c r="A117" s="417"/>
      <c r="B117" s="739" t="s">
        <v>93</v>
      </c>
      <c r="C117" s="740">
        <v>449053</v>
      </c>
      <c r="D117" s="740">
        <f>-135000+3000</f>
        <v>-132000</v>
      </c>
      <c r="E117" s="740">
        <f t="shared" si="8"/>
        <v>317053</v>
      </c>
      <c r="F117" s="740">
        <v>0</v>
      </c>
      <c r="G117" s="740">
        <f>434053+15000-135000+3000</f>
        <v>317053</v>
      </c>
      <c r="H117" s="740"/>
      <c r="I117" s="555" t="s">
        <v>540</v>
      </c>
      <c r="J117" s="555" t="s">
        <v>540</v>
      </c>
      <c r="K117" s="555"/>
    </row>
    <row r="118" spans="1:11" s="369" customFormat="1" ht="31.5" x14ac:dyDescent="0.25">
      <c r="A118" s="440"/>
      <c r="B118" s="441" t="s">
        <v>328</v>
      </c>
      <c r="C118" s="442">
        <v>84000</v>
      </c>
      <c r="D118" s="430">
        <v>-10000</v>
      </c>
      <c r="E118" s="426">
        <f t="shared" si="8"/>
        <v>74000</v>
      </c>
      <c r="F118" s="442"/>
      <c r="G118" s="430">
        <f>84000-10000</f>
        <v>74000</v>
      </c>
      <c r="H118" s="430"/>
      <c r="I118" s="429" t="s">
        <v>540</v>
      </c>
      <c r="J118" s="429"/>
      <c r="K118" s="429"/>
    </row>
    <row r="119" spans="1:11" s="369" customFormat="1" x14ac:dyDescent="0.25">
      <c r="A119" s="440"/>
      <c r="B119" s="441" t="s">
        <v>117</v>
      </c>
      <c r="C119" s="442">
        <v>29400</v>
      </c>
      <c r="D119" s="430"/>
      <c r="E119" s="426">
        <f t="shared" si="8"/>
        <v>29400</v>
      </c>
      <c r="F119" s="442"/>
      <c r="G119" s="430">
        <v>29400</v>
      </c>
      <c r="H119" s="430"/>
      <c r="I119" s="429" t="s">
        <v>540</v>
      </c>
      <c r="J119" s="429"/>
      <c r="K119" s="429"/>
    </row>
    <row r="120" spans="1:11" s="369" customFormat="1" ht="31.5" x14ac:dyDescent="0.25">
      <c r="A120" s="440"/>
      <c r="B120" s="441" t="s">
        <v>467</v>
      </c>
      <c r="C120" s="442">
        <v>12000</v>
      </c>
      <c r="D120" s="430">
        <v>3000</v>
      </c>
      <c r="E120" s="426">
        <f t="shared" si="8"/>
        <v>15000</v>
      </c>
      <c r="F120" s="442"/>
      <c r="G120" s="430">
        <f>12000+3000</f>
        <v>15000</v>
      </c>
      <c r="H120" s="430"/>
      <c r="I120" s="429"/>
      <c r="J120" s="429" t="s">
        <v>540</v>
      </c>
      <c r="K120" s="429"/>
    </row>
    <row r="121" spans="1:11" s="369" customFormat="1" x14ac:dyDescent="0.25">
      <c r="A121" s="440"/>
      <c r="B121" s="441" t="s">
        <v>468</v>
      </c>
      <c r="C121" s="442">
        <v>13000</v>
      </c>
      <c r="D121" s="430"/>
      <c r="E121" s="426">
        <f t="shared" si="8"/>
        <v>13000</v>
      </c>
      <c r="F121" s="442"/>
      <c r="G121" s="430">
        <v>13000</v>
      </c>
      <c r="H121" s="430"/>
      <c r="I121" s="429"/>
      <c r="J121" s="429" t="s">
        <v>540</v>
      </c>
      <c r="K121" s="429"/>
    </row>
    <row r="122" spans="1:11" s="369" customFormat="1" x14ac:dyDescent="0.25">
      <c r="A122" s="440"/>
      <c r="B122" s="441" t="s">
        <v>469</v>
      </c>
      <c r="C122" s="442">
        <v>78462</v>
      </c>
      <c r="D122" s="430"/>
      <c r="E122" s="426">
        <f t="shared" si="8"/>
        <v>78462</v>
      </c>
      <c r="F122" s="442"/>
      <c r="G122" s="430">
        <f>63462+15000</f>
        <v>78462</v>
      </c>
      <c r="H122" s="430"/>
      <c r="I122" s="429"/>
      <c r="J122" s="429" t="s">
        <v>540</v>
      </c>
      <c r="K122" s="429"/>
    </row>
    <row r="123" spans="1:11" s="369" customFormat="1" ht="31.5" x14ac:dyDescent="0.25">
      <c r="A123" s="440"/>
      <c r="B123" s="441" t="s">
        <v>470</v>
      </c>
      <c r="C123" s="442">
        <v>150000</v>
      </c>
      <c r="D123" s="430">
        <v>-100000</v>
      </c>
      <c r="E123" s="426">
        <f t="shared" si="8"/>
        <v>50000</v>
      </c>
      <c r="F123" s="442"/>
      <c r="G123" s="430">
        <f>150000-100000</f>
        <v>50000</v>
      </c>
      <c r="H123" s="430"/>
      <c r="I123" s="429"/>
      <c r="J123" s="429" t="s">
        <v>540</v>
      </c>
      <c r="K123" s="443"/>
    </row>
    <row r="124" spans="1:11" s="369" customFormat="1" x14ac:dyDescent="0.25">
      <c r="A124" s="440"/>
      <c r="B124" s="441" t="s">
        <v>471</v>
      </c>
      <c r="C124" s="442">
        <v>14200</v>
      </c>
      <c r="D124" s="430"/>
      <c r="E124" s="426">
        <f t="shared" si="8"/>
        <v>14200</v>
      </c>
      <c r="F124" s="442"/>
      <c r="G124" s="430">
        <v>14200</v>
      </c>
      <c r="H124" s="430"/>
      <c r="I124" s="429"/>
      <c r="J124" s="429" t="s">
        <v>540</v>
      </c>
      <c r="K124" s="443"/>
    </row>
    <row r="125" spans="1:11" s="369" customFormat="1" ht="47.25" x14ac:dyDescent="0.25">
      <c r="A125" s="440"/>
      <c r="B125" s="441" t="s">
        <v>708</v>
      </c>
      <c r="C125" s="442">
        <v>25974</v>
      </c>
      <c r="D125" s="430"/>
      <c r="E125" s="426">
        <f t="shared" si="8"/>
        <v>25974</v>
      </c>
      <c r="F125" s="442"/>
      <c r="G125" s="430">
        <v>25974</v>
      </c>
      <c r="H125" s="430"/>
      <c r="I125" s="429"/>
      <c r="J125" s="429" t="s">
        <v>540</v>
      </c>
      <c r="K125" s="443"/>
    </row>
    <row r="126" spans="1:11" s="369" customFormat="1" x14ac:dyDescent="0.25">
      <c r="A126" s="440"/>
      <c r="B126" s="441" t="s">
        <v>549</v>
      </c>
      <c r="C126" s="442">
        <v>500</v>
      </c>
      <c r="D126" s="430"/>
      <c r="E126" s="426">
        <f t="shared" si="8"/>
        <v>500</v>
      </c>
      <c r="F126" s="442"/>
      <c r="G126" s="430">
        <v>500</v>
      </c>
      <c r="H126" s="430"/>
      <c r="I126" s="429"/>
      <c r="J126" s="429" t="s">
        <v>540</v>
      </c>
      <c r="K126" s="443"/>
    </row>
    <row r="127" spans="1:11" s="369" customFormat="1" x14ac:dyDescent="0.25">
      <c r="A127" s="440"/>
      <c r="B127" s="441" t="s">
        <v>709</v>
      </c>
      <c r="C127" s="442">
        <v>1104</v>
      </c>
      <c r="D127" s="430"/>
      <c r="E127" s="426">
        <f t="shared" si="8"/>
        <v>1104</v>
      </c>
      <c r="F127" s="442"/>
      <c r="G127" s="430">
        <v>1104</v>
      </c>
      <c r="H127" s="430"/>
      <c r="I127" s="429"/>
      <c r="J127" s="429" t="s">
        <v>540</v>
      </c>
      <c r="K127" s="443"/>
    </row>
    <row r="128" spans="1:11" s="369" customFormat="1" x14ac:dyDescent="0.25">
      <c r="A128" s="440"/>
      <c r="B128" s="441" t="s">
        <v>710</v>
      </c>
      <c r="C128" s="442">
        <v>9562</v>
      </c>
      <c r="D128" s="430"/>
      <c r="E128" s="426">
        <f t="shared" si="8"/>
        <v>9562</v>
      </c>
      <c r="F128" s="442"/>
      <c r="G128" s="430">
        <v>9562</v>
      </c>
      <c r="H128" s="430"/>
      <c r="I128" s="429"/>
      <c r="J128" s="429" t="s">
        <v>540</v>
      </c>
      <c r="K128" s="443"/>
    </row>
    <row r="129" spans="1:11" s="369" customFormat="1" x14ac:dyDescent="0.25">
      <c r="A129" s="440"/>
      <c r="B129" s="441" t="s">
        <v>711</v>
      </c>
      <c r="C129" s="442">
        <v>25000</v>
      </c>
      <c r="D129" s="430">
        <v>-25000</v>
      </c>
      <c r="E129" s="426">
        <f t="shared" si="8"/>
        <v>0</v>
      </c>
      <c r="F129" s="442"/>
      <c r="G129" s="430">
        <f>25000-25000</f>
        <v>0</v>
      </c>
      <c r="H129" s="430"/>
      <c r="I129" s="429"/>
      <c r="J129" s="429" t="s">
        <v>540</v>
      </c>
      <c r="K129" s="443"/>
    </row>
    <row r="130" spans="1:11" s="369" customFormat="1" x14ac:dyDescent="0.25">
      <c r="A130" s="440"/>
      <c r="B130" s="441" t="s">
        <v>712</v>
      </c>
      <c r="C130" s="442">
        <v>4702</v>
      </c>
      <c r="D130" s="430"/>
      <c r="E130" s="426">
        <f t="shared" si="8"/>
        <v>4702</v>
      </c>
      <c r="F130" s="442"/>
      <c r="G130" s="430">
        <v>4702</v>
      </c>
      <c r="H130" s="430"/>
      <c r="I130" s="429"/>
      <c r="J130" s="429" t="s">
        <v>540</v>
      </c>
      <c r="K130" s="443"/>
    </row>
    <row r="131" spans="1:11" s="369" customFormat="1" x14ac:dyDescent="0.25">
      <c r="A131" s="440"/>
      <c r="B131" s="441" t="s">
        <v>550</v>
      </c>
      <c r="C131" s="442">
        <v>849</v>
      </c>
      <c r="D131" s="430"/>
      <c r="E131" s="426">
        <f t="shared" si="8"/>
        <v>849</v>
      </c>
      <c r="F131" s="442"/>
      <c r="G131" s="430">
        <v>849</v>
      </c>
      <c r="H131" s="430"/>
      <c r="I131" s="429"/>
      <c r="J131" s="429" t="s">
        <v>540</v>
      </c>
      <c r="K131" s="443"/>
    </row>
    <row r="132" spans="1:11" x14ac:dyDescent="0.25">
      <c r="A132" s="417"/>
      <c r="B132" s="739" t="s">
        <v>94</v>
      </c>
      <c r="C132" s="740">
        <v>879432</v>
      </c>
      <c r="D132" s="740">
        <f>-6145+4-4+1000+1000+5000-500-42040-72931-200000</f>
        <v>-314616</v>
      </c>
      <c r="E132" s="740">
        <f t="shared" si="8"/>
        <v>564816</v>
      </c>
      <c r="F132" s="740">
        <v>34293</v>
      </c>
      <c r="G132" s="740">
        <f>896679-2500-10000-800-500-1325-600-1750-500-600-400-665-6250-750-500-12100-5000-3000-4300-6145+4-4+1000+1000+5000-500-42040-72931-200000</f>
        <v>530523</v>
      </c>
      <c r="H132" s="740"/>
      <c r="I132" s="555" t="s">
        <v>540</v>
      </c>
      <c r="J132" s="555" t="s">
        <v>540</v>
      </c>
      <c r="K132" s="555"/>
    </row>
    <row r="133" spans="1:11" x14ac:dyDescent="0.25">
      <c r="A133" s="417"/>
      <c r="B133" s="421" t="s">
        <v>119</v>
      </c>
      <c r="C133" s="432"/>
      <c r="D133" s="432"/>
      <c r="E133" s="432"/>
      <c r="F133" s="432"/>
      <c r="G133" s="432"/>
      <c r="H133" s="432"/>
      <c r="I133" s="433"/>
      <c r="J133" s="433"/>
      <c r="K133" s="433"/>
    </row>
    <row r="134" spans="1:11" s="369" customFormat="1" x14ac:dyDescent="0.25">
      <c r="A134" s="440"/>
      <c r="B134" s="441" t="s">
        <v>551</v>
      </c>
      <c r="C134" s="442">
        <v>5447</v>
      </c>
      <c r="D134" s="430"/>
      <c r="E134" s="426">
        <f t="shared" ref="E134:E136" si="9">SUM(C134:D134)</f>
        <v>5447</v>
      </c>
      <c r="F134" s="442"/>
      <c r="G134" s="430">
        <f>7947-2500</f>
        <v>5447</v>
      </c>
      <c r="H134" s="430"/>
      <c r="I134" s="429" t="s">
        <v>540</v>
      </c>
      <c r="J134" s="429"/>
      <c r="K134" s="443"/>
    </row>
    <row r="135" spans="1:11" s="369" customFormat="1" x14ac:dyDescent="0.25">
      <c r="A135" s="440"/>
      <c r="B135" s="441" t="s">
        <v>623</v>
      </c>
      <c r="C135" s="442">
        <v>6000</v>
      </c>
      <c r="D135" s="430"/>
      <c r="E135" s="426">
        <f t="shared" si="9"/>
        <v>6000</v>
      </c>
      <c r="F135" s="442"/>
      <c r="G135" s="430">
        <v>6000</v>
      </c>
      <c r="H135" s="430"/>
      <c r="I135" s="429"/>
      <c r="J135" s="429" t="s">
        <v>540</v>
      </c>
      <c r="K135" s="443"/>
    </row>
    <row r="136" spans="1:11" s="369" customFormat="1" x14ac:dyDescent="0.25">
      <c r="A136" s="440"/>
      <c r="B136" s="441" t="s">
        <v>624</v>
      </c>
      <c r="C136" s="442">
        <v>330</v>
      </c>
      <c r="D136" s="430">
        <v>4</v>
      </c>
      <c r="E136" s="426">
        <f t="shared" si="9"/>
        <v>334</v>
      </c>
      <c r="F136" s="442"/>
      <c r="G136" s="430">
        <f>330+4</f>
        <v>334</v>
      </c>
      <c r="H136" s="430"/>
      <c r="I136" s="429"/>
      <c r="J136" s="429" t="s">
        <v>540</v>
      </c>
      <c r="K136" s="443"/>
    </row>
    <row r="137" spans="1:11" x14ac:dyDescent="0.25">
      <c r="A137" s="417"/>
      <c r="B137" s="421" t="s">
        <v>120</v>
      </c>
      <c r="C137" s="432"/>
      <c r="D137" s="432"/>
      <c r="E137" s="432"/>
      <c r="F137" s="432"/>
      <c r="G137" s="432"/>
      <c r="H137" s="432"/>
      <c r="I137" s="433"/>
      <c r="J137" s="433"/>
      <c r="K137" s="433"/>
    </row>
    <row r="138" spans="1:11" s="369" customFormat="1" x14ac:dyDescent="0.25">
      <c r="A138" s="440"/>
      <c r="B138" s="423" t="s">
        <v>236</v>
      </c>
      <c r="C138" s="424">
        <v>1000</v>
      </c>
      <c r="D138" s="430"/>
      <c r="E138" s="426">
        <f t="shared" ref="E138:E163" si="10">SUM(C138:D138)</f>
        <v>1000</v>
      </c>
      <c r="F138" s="424"/>
      <c r="G138" s="430">
        <v>1000</v>
      </c>
      <c r="H138" s="430"/>
      <c r="I138" s="429"/>
      <c r="J138" s="429" t="s">
        <v>540</v>
      </c>
      <c r="K138" s="443"/>
    </row>
    <row r="139" spans="1:11" s="369" customFormat="1" x14ac:dyDescent="0.25">
      <c r="A139" s="440"/>
      <c r="B139" s="423" t="s">
        <v>118</v>
      </c>
      <c r="C139" s="424">
        <v>3000</v>
      </c>
      <c r="D139" s="430">
        <v>-1500</v>
      </c>
      <c r="E139" s="426">
        <f t="shared" si="10"/>
        <v>1500</v>
      </c>
      <c r="F139" s="424"/>
      <c r="G139" s="430">
        <f>3000-1500</f>
        <v>1500</v>
      </c>
      <c r="H139" s="430"/>
      <c r="I139" s="429" t="s">
        <v>540</v>
      </c>
      <c r="J139" s="429"/>
      <c r="K139" s="443"/>
    </row>
    <row r="140" spans="1:11" s="369" customFormat="1" x14ac:dyDescent="0.25">
      <c r="A140" s="440"/>
      <c r="B140" s="423" t="s">
        <v>320</v>
      </c>
      <c r="C140" s="424">
        <v>18000</v>
      </c>
      <c r="D140" s="430">
        <v>-9000</v>
      </c>
      <c r="E140" s="426">
        <f t="shared" si="10"/>
        <v>9000</v>
      </c>
      <c r="F140" s="424"/>
      <c r="G140" s="430">
        <f>18000-9000</f>
        <v>9000</v>
      </c>
      <c r="H140" s="430"/>
      <c r="I140" s="429" t="s">
        <v>540</v>
      </c>
      <c r="J140" s="429"/>
      <c r="K140" s="443"/>
    </row>
    <row r="141" spans="1:11" s="369" customFormat="1" x14ac:dyDescent="0.25">
      <c r="A141" s="440"/>
      <c r="B141" s="423" t="s">
        <v>321</v>
      </c>
      <c r="C141" s="424">
        <v>6250</v>
      </c>
      <c r="D141" s="430"/>
      <c r="E141" s="426">
        <f t="shared" si="10"/>
        <v>6250</v>
      </c>
      <c r="F141" s="424"/>
      <c r="G141" s="430">
        <f>12500-6250</f>
        <v>6250</v>
      </c>
      <c r="H141" s="430"/>
      <c r="I141" s="429"/>
      <c r="J141" s="429" t="s">
        <v>540</v>
      </c>
      <c r="K141" s="443"/>
    </row>
    <row r="142" spans="1:11" s="369" customFormat="1" x14ac:dyDescent="0.25">
      <c r="A142" s="440"/>
      <c r="B142" s="423" t="s">
        <v>128</v>
      </c>
      <c r="C142" s="424">
        <v>800</v>
      </c>
      <c r="D142" s="430">
        <v>-800</v>
      </c>
      <c r="E142" s="426">
        <f t="shared" si="10"/>
        <v>0</v>
      </c>
      <c r="F142" s="424"/>
      <c r="G142" s="430">
        <f>1600-800-800</f>
        <v>0</v>
      </c>
      <c r="H142" s="430"/>
      <c r="I142" s="429" t="s">
        <v>540</v>
      </c>
      <c r="J142" s="429"/>
      <c r="K142" s="443"/>
    </row>
    <row r="143" spans="1:11" s="369" customFormat="1" x14ac:dyDescent="0.25">
      <c r="A143" s="440"/>
      <c r="B143" s="423" t="s">
        <v>129</v>
      </c>
      <c r="C143" s="424">
        <v>500</v>
      </c>
      <c r="D143" s="430">
        <v>-500</v>
      </c>
      <c r="E143" s="426">
        <f t="shared" si="10"/>
        <v>0</v>
      </c>
      <c r="F143" s="424"/>
      <c r="G143" s="430">
        <f>1000-500-500</f>
        <v>0</v>
      </c>
      <c r="H143" s="430"/>
      <c r="I143" s="429" t="s">
        <v>540</v>
      </c>
      <c r="J143" s="429"/>
      <c r="K143" s="443"/>
    </row>
    <row r="144" spans="1:11" s="369" customFormat="1" x14ac:dyDescent="0.25">
      <c r="A144" s="440"/>
      <c r="B144" s="423" t="s">
        <v>72</v>
      </c>
      <c r="C144" s="424">
        <v>1325</v>
      </c>
      <c r="D144" s="430">
        <v>-1325</v>
      </c>
      <c r="E144" s="426">
        <f t="shared" si="10"/>
        <v>0</v>
      </c>
      <c r="F144" s="424"/>
      <c r="G144" s="430">
        <f>2650-1325-1325</f>
        <v>0</v>
      </c>
      <c r="H144" s="430"/>
      <c r="I144" s="429" t="s">
        <v>540</v>
      </c>
      <c r="J144" s="429"/>
      <c r="K144" s="443"/>
    </row>
    <row r="145" spans="1:13" s="369" customFormat="1" x14ac:dyDescent="0.25">
      <c r="A145" s="440"/>
      <c r="B145" s="423" t="s">
        <v>73</v>
      </c>
      <c r="C145" s="424">
        <v>600</v>
      </c>
      <c r="D145" s="430">
        <v>-600</v>
      </c>
      <c r="E145" s="426">
        <f t="shared" si="10"/>
        <v>0</v>
      </c>
      <c r="F145" s="424"/>
      <c r="G145" s="430">
        <f>1200-600-600</f>
        <v>0</v>
      </c>
      <c r="H145" s="430"/>
      <c r="I145" s="429" t="s">
        <v>540</v>
      </c>
      <c r="J145" s="429"/>
      <c r="K145" s="443"/>
    </row>
    <row r="146" spans="1:13" s="369" customFormat="1" x14ac:dyDescent="0.25">
      <c r="A146" s="440"/>
      <c r="B146" s="423" t="s">
        <v>130</v>
      </c>
      <c r="C146" s="424">
        <v>1750</v>
      </c>
      <c r="D146" s="430">
        <v>-1750</v>
      </c>
      <c r="E146" s="426">
        <f t="shared" si="10"/>
        <v>0</v>
      </c>
      <c r="F146" s="424"/>
      <c r="G146" s="430">
        <f>3500-1750-1750</f>
        <v>0</v>
      </c>
      <c r="H146" s="430"/>
      <c r="I146" s="429" t="s">
        <v>540</v>
      </c>
      <c r="J146" s="429"/>
      <c r="K146" s="443"/>
    </row>
    <row r="147" spans="1:13" s="369" customFormat="1" x14ac:dyDescent="0.25">
      <c r="A147" s="440"/>
      <c r="B147" s="423" t="s">
        <v>112</v>
      </c>
      <c r="C147" s="424">
        <v>8000</v>
      </c>
      <c r="D147" s="430">
        <v>-4000</v>
      </c>
      <c r="E147" s="426">
        <f t="shared" si="10"/>
        <v>4000</v>
      </c>
      <c r="F147" s="424"/>
      <c r="G147" s="430">
        <f>8000-4000</f>
        <v>4000</v>
      </c>
      <c r="H147" s="430"/>
      <c r="I147" s="429" t="s">
        <v>540</v>
      </c>
      <c r="J147" s="429"/>
      <c r="K147" s="443"/>
    </row>
    <row r="148" spans="1:13" s="369" customFormat="1" ht="31.5" x14ac:dyDescent="0.25">
      <c r="A148" s="440"/>
      <c r="B148" s="423" t="s">
        <v>625</v>
      </c>
      <c r="C148" s="424">
        <v>2000</v>
      </c>
      <c r="D148" s="430">
        <v>-1000</v>
      </c>
      <c r="E148" s="426">
        <f t="shared" si="10"/>
        <v>1000</v>
      </c>
      <c r="F148" s="424"/>
      <c r="G148" s="430">
        <f>2000-1000</f>
        <v>1000</v>
      </c>
      <c r="H148" s="430"/>
      <c r="I148" s="429" t="s">
        <v>540</v>
      </c>
      <c r="J148" s="429"/>
      <c r="K148" s="443"/>
    </row>
    <row r="149" spans="1:13" s="369" customFormat="1" x14ac:dyDescent="0.25">
      <c r="A149" s="440"/>
      <c r="B149" s="423" t="s">
        <v>121</v>
      </c>
      <c r="C149" s="424">
        <v>8600</v>
      </c>
      <c r="D149" s="430">
        <v>-4300</v>
      </c>
      <c r="E149" s="426">
        <f t="shared" si="10"/>
        <v>4300</v>
      </c>
      <c r="F149" s="424"/>
      <c r="G149" s="430">
        <f>8600-4300</f>
        <v>4300</v>
      </c>
      <c r="H149" s="430"/>
      <c r="I149" s="429" t="s">
        <v>540</v>
      </c>
      <c r="J149" s="429"/>
      <c r="K149" s="443"/>
    </row>
    <row r="150" spans="1:13" s="369" customFormat="1" x14ac:dyDescent="0.25">
      <c r="A150" s="440"/>
      <c r="B150" s="423" t="s">
        <v>131</v>
      </c>
      <c r="C150" s="424">
        <v>5700</v>
      </c>
      <c r="D150" s="430">
        <v>-2850</v>
      </c>
      <c r="E150" s="426">
        <f t="shared" si="10"/>
        <v>2850</v>
      </c>
      <c r="F150" s="424"/>
      <c r="G150" s="430">
        <f>5700-2850</f>
        <v>2850</v>
      </c>
      <c r="H150" s="430"/>
      <c r="I150" s="429" t="s">
        <v>540</v>
      </c>
      <c r="J150" s="429"/>
      <c r="K150" s="443"/>
    </row>
    <row r="151" spans="1:13" s="369" customFormat="1" x14ac:dyDescent="0.25">
      <c r="A151" s="440"/>
      <c r="B151" s="423" t="s">
        <v>322</v>
      </c>
      <c r="C151" s="424">
        <v>23000</v>
      </c>
      <c r="D151" s="430">
        <v>-11500</v>
      </c>
      <c r="E151" s="426">
        <f t="shared" si="10"/>
        <v>11500</v>
      </c>
      <c r="F151" s="424"/>
      <c r="G151" s="430">
        <f>23000-11500</f>
        <v>11500</v>
      </c>
      <c r="H151" s="430"/>
      <c r="I151" s="429" t="s">
        <v>540</v>
      </c>
      <c r="J151" s="429"/>
      <c r="K151" s="443"/>
    </row>
    <row r="152" spans="1:13" s="369" customFormat="1" ht="31.5" x14ac:dyDescent="0.25">
      <c r="A152" s="440"/>
      <c r="B152" s="423" t="s">
        <v>254</v>
      </c>
      <c r="C152" s="424">
        <v>100</v>
      </c>
      <c r="D152" s="430"/>
      <c r="E152" s="426">
        <f t="shared" si="10"/>
        <v>100</v>
      </c>
      <c r="F152" s="424"/>
      <c r="G152" s="430">
        <v>100</v>
      </c>
      <c r="H152" s="430"/>
      <c r="I152" s="429"/>
      <c r="J152" s="429" t="s">
        <v>540</v>
      </c>
      <c r="K152" s="443"/>
    </row>
    <row r="153" spans="1:13" s="369" customFormat="1" x14ac:dyDescent="0.25">
      <c r="A153" s="440"/>
      <c r="B153" s="423" t="s">
        <v>237</v>
      </c>
      <c r="C153" s="424">
        <v>95021</v>
      </c>
      <c r="D153" s="430">
        <v>-6145</v>
      </c>
      <c r="E153" s="426">
        <f t="shared" si="10"/>
        <v>88876</v>
      </c>
      <c r="F153" s="424"/>
      <c r="G153" s="430">
        <f>95021-6145</f>
        <v>88876</v>
      </c>
      <c r="H153" s="430"/>
      <c r="I153" s="429" t="s">
        <v>540</v>
      </c>
      <c r="J153" s="429"/>
      <c r="K153" s="443"/>
    </row>
    <row r="154" spans="1:13" s="369" customFormat="1" x14ac:dyDescent="0.25">
      <c r="A154" s="440"/>
      <c r="B154" s="423" t="s">
        <v>327</v>
      </c>
      <c r="C154" s="424">
        <v>543307</v>
      </c>
      <c r="D154" s="430">
        <v>-200000</v>
      </c>
      <c r="E154" s="426">
        <f t="shared" si="10"/>
        <v>343307</v>
      </c>
      <c r="F154" s="424">
        <v>34073</v>
      </c>
      <c r="G154" s="430">
        <f>509234-200000</f>
        <v>309234</v>
      </c>
      <c r="H154" s="430"/>
      <c r="I154" s="429" t="s">
        <v>540</v>
      </c>
      <c r="J154" s="429"/>
      <c r="K154" s="443"/>
      <c r="M154" s="553"/>
    </row>
    <row r="155" spans="1:13" s="369" customFormat="1" x14ac:dyDescent="0.25">
      <c r="A155" s="440"/>
      <c r="B155" s="423" t="s">
        <v>472</v>
      </c>
      <c r="C155" s="424">
        <v>0</v>
      </c>
      <c r="D155" s="430"/>
      <c r="E155" s="426">
        <f t="shared" si="10"/>
        <v>0</v>
      </c>
      <c r="F155" s="424"/>
      <c r="G155" s="430">
        <f>10000-10000</f>
        <v>0</v>
      </c>
      <c r="H155" s="430"/>
      <c r="I155" s="429"/>
      <c r="J155" s="429"/>
      <c r="K155" s="443"/>
    </row>
    <row r="156" spans="1:13" s="369" customFormat="1" x14ac:dyDescent="0.25">
      <c r="A156" s="440"/>
      <c r="B156" s="423" t="s">
        <v>265</v>
      </c>
      <c r="C156" s="424">
        <v>500</v>
      </c>
      <c r="D156" s="430">
        <v>-500</v>
      </c>
      <c r="E156" s="426">
        <f t="shared" si="10"/>
        <v>0</v>
      </c>
      <c r="F156" s="424"/>
      <c r="G156" s="430">
        <f>1000-500-500</f>
        <v>0</v>
      </c>
      <c r="H156" s="430"/>
      <c r="I156" s="429" t="s">
        <v>540</v>
      </c>
      <c r="J156" s="429"/>
      <c r="K156" s="443"/>
    </row>
    <row r="157" spans="1:13" s="369" customFormat="1" x14ac:dyDescent="0.25">
      <c r="A157" s="440"/>
      <c r="B157" s="423" t="s">
        <v>253</v>
      </c>
      <c r="C157" s="424">
        <v>600</v>
      </c>
      <c r="D157" s="430">
        <v>-600</v>
      </c>
      <c r="E157" s="426">
        <f t="shared" si="10"/>
        <v>0</v>
      </c>
      <c r="F157" s="424"/>
      <c r="G157" s="430">
        <f>1200-600-600</f>
        <v>0</v>
      </c>
      <c r="H157" s="430"/>
      <c r="I157" s="429" t="s">
        <v>540</v>
      </c>
      <c r="J157" s="429"/>
      <c r="K157" s="443"/>
    </row>
    <row r="158" spans="1:13" s="369" customFormat="1" x14ac:dyDescent="0.25">
      <c r="A158" s="440"/>
      <c r="B158" s="423" t="s">
        <v>255</v>
      </c>
      <c r="C158" s="424">
        <v>400</v>
      </c>
      <c r="D158" s="430">
        <v>-400</v>
      </c>
      <c r="E158" s="426">
        <f t="shared" si="10"/>
        <v>0</v>
      </c>
      <c r="F158" s="424"/>
      <c r="G158" s="430">
        <f>800-400-400</f>
        <v>0</v>
      </c>
      <c r="H158" s="430"/>
      <c r="I158" s="429" t="s">
        <v>540</v>
      </c>
      <c r="J158" s="429"/>
      <c r="K158" s="443"/>
    </row>
    <row r="159" spans="1:13" s="369" customFormat="1" x14ac:dyDescent="0.25">
      <c r="A159" s="440"/>
      <c r="B159" s="444" t="s">
        <v>473</v>
      </c>
      <c r="C159" s="445">
        <v>750</v>
      </c>
      <c r="D159" s="430">
        <v>-750</v>
      </c>
      <c r="E159" s="426">
        <f t="shared" si="10"/>
        <v>0</v>
      </c>
      <c r="F159" s="445"/>
      <c r="G159" s="430">
        <f>1500-750-750</f>
        <v>0</v>
      </c>
      <c r="H159" s="430"/>
      <c r="I159" s="429" t="s">
        <v>540</v>
      </c>
      <c r="J159" s="429"/>
      <c r="K159" s="443"/>
    </row>
    <row r="160" spans="1:13" s="369" customFormat="1" x14ac:dyDescent="0.25">
      <c r="A160" s="440"/>
      <c r="B160" s="444" t="s">
        <v>552</v>
      </c>
      <c r="C160" s="445">
        <v>665</v>
      </c>
      <c r="D160" s="430">
        <v>-665</v>
      </c>
      <c r="E160" s="426">
        <f t="shared" si="10"/>
        <v>0</v>
      </c>
      <c r="F160" s="445"/>
      <c r="G160" s="430">
        <f>1330-665-665</f>
        <v>0</v>
      </c>
      <c r="H160" s="430"/>
      <c r="I160" s="429" t="s">
        <v>540</v>
      </c>
      <c r="J160" s="429"/>
      <c r="K160" s="443"/>
    </row>
    <row r="161" spans="1:11" s="369" customFormat="1" x14ac:dyDescent="0.25">
      <c r="A161" s="440"/>
      <c r="B161" s="444" t="s">
        <v>626</v>
      </c>
      <c r="C161" s="445">
        <v>0</v>
      </c>
      <c r="D161" s="430"/>
      <c r="E161" s="426">
        <f t="shared" si="10"/>
        <v>0</v>
      </c>
      <c r="F161" s="445"/>
      <c r="G161" s="430">
        <f>500-500</f>
        <v>0</v>
      </c>
      <c r="H161" s="430"/>
      <c r="I161" s="429"/>
      <c r="J161" s="429" t="s">
        <v>540</v>
      </c>
      <c r="K161" s="443"/>
    </row>
    <row r="162" spans="1:11" s="369" customFormat="1" x14ac:dyDescent="0.25">
      <c r="A162" s="440"/>
      <c r="B162" s="441" t="s">
        <v>627</v>
      </c>
      <c r="C162" s="445">
        <v>30000</v>
      </c>
      <c r="D162" s="430"/>
      <c r="E162" s="426">
        <f t="shared" si="10"/>
        <v>30000</v>
      </c>
      <c r="F162" s="445"/>
      <c r="G162" s="430">
        <v>30000</v>
      </c>
      <c r="H162" s="430"/>
      <c r="I162" s="429"/>
      <c r="J162" s="429" t="s">
        <v>540</v>
      </c>
      <c r="K162" s="443"/>
    </row>
    <row r="163" spans="1:11" s="369" customFormat="1" x14ac:dyDescent="0.25">
      <c r="A163" s="440"/>
      <c r="B163" s="444" t="s">
        <v>586</v>
      </c>
      <c r="C163" s="445">
        <v>1000</v>
      </c>
      <c r="D163" s="430"/>
      <c r="E163" s="426">
        <f t="shared" si="10"/>
        <v>1000</v>
      </c>
      <c r="F163" s="445"/>
      <c r="G163" s="430">
        <v>1000</v>
      </c>
      <c r="H163" s="430"/>
      <c r="I163" s="429"/>
      <c r="J163" s="429" t="s">
        <v>540</v>
      </c>
      <c r="K163" s="443"/>
    </row>
    <row r="164" spans="1:11" x14ac:dyDescent="0.25">
      <c r="A164" s="417"/>
      <c r="B164" s="421" t="s">
        <v>238</v>
      </c>
      <c r="C164" s="432"/>
      <c r="D164" s="432"/>
      <c r="E164" s="432"/>
      <c r="F164" s="432"/>
      <c r="G164" s="432"/>
      <c r="H164" s="432"/>
      <c r="I164" s="433"/>
      <c r="J164" s="433"/>
      <c r="K164" s="433"/>
    </row>
    <row r="165" spans="1:11" s="369" customFormat="1" x14ac:dyDescent="0.25">
      <c r="A165" s="440"/>
      <c r="B165" s="444" t="s">
        <v>553</v>
      </c>
      <c r="C165" s="445">
        <v>19436</v>
      </c>
      <c r="D165" s="430">
        <v>-15000</v>
      </c>
      <c r="E165" s="426">
        <f t="shared" ref="E165:E235" si="11">SUM(C165:D165)</f>
        <v>4436</v>
      </c>
      <c r="F165" s="445"/>
      <c r="G165" s="430">
        <f>19436-15000</f>
        <v>4436</v>
      </c>
      <c r="H165" s="430"/>
      <c r="I165" s="429"/>
      <c r="J165" s="429" t="s">
        <v>540</v>
      </c>
      <c r="K165" s="443"/>
    </row>
    <row r="166" spans="1:11" s="369" customFormat="1" x14ac:dyDescent="0.25">
      <c r="A166" s="440"/>
      <c r="B166" s="444" t="s">
        <v>554</v>
      </c>
      <c r="C166" s="445">
        <v>1199</v>
      </c>
      <c r="D166" s="430">
        <f>-4+5000</f>
        <v>4996</v>
      </c>
      <c r="E166" s="426">
        <f t="shared" si="11"/>
        <v>6195</v>
      </c>
      <c r="F166" s="445">
        <v>220</v>
      </c>
      <c r="G166" s="430">
        <f>13079-12100-4+5000</f>
        <v>5975</v>
      </c>
      <c r="H166" s="430"/>
      <c r="I166" s="429"/>
      <c r="J166" s="429" t="s">
        <v>540</v>
      </c>
      <c r="K166" s="443"/>
    </row>
    <row r="167" spans="1:11" s="369" customFormat="1" x14ac:dyDescent="0.25">
      <c r="A167" s="440"/>
      <c r="B167" s="444" t="s">
        <v>555</v>
      </c>
      <c r="C167" s="445">
        <v>12000</v>
      </c>
      <c r="D167" s="430">
        <v>-12000</v>
      </c>
      <c r="E167" s="426">
        <f t="shared" si="11"/>
        <v>0</v>
      </c>
      <c r="F167" s="445"/>
      <c r="G167" s="430">
        <f>12000+-12000</f>
        <v>0</v>
      </c>
      <c r="H167" s="430"/>
      <c r="I167" s="429"/>
      <c r="J167" s="429" t="s">
        <v>540</v>
      </c>
      <c r="K167" s="443"/>
    </row>
    <row r="168" spans="1:11" s="369" customFormat="1" x14ac:dyDescent="0.25">
      <c r="A168" s="440"/>
      <c r="B168" s="444" t="s">
        <v>556</v>
      </c>
      <c r="C168" s="445">
        <v>1500</v>
      </c>
      <c r="D168" s="430"/>
      <c r="E168" s="426">
        <f t="shared" si="11"/>
        <v>1500</v>
      </c>
      <c r="F168" s="445"/>
      <c r="G168" s="430">
        <v>1500</v>
      </c>
      <c r="H168" s="430"/>
      <c r="I168" s="429"/>
      <c r="J168" s="429" t="s">
        <v>540</v>
      </c>
      <c r="K168" s="443"/>
    </row>
    <row r="169" spans="1:11" s="369" customFormat="1" x14ac:dyDescent="0.25">
      <c r="A169" s="440"/>
      <c r="B169" s="444" t="s">
        <v>557</v>
      </c>
      <c r="C169" s="445">
        <v>500</v>
      </c>
      <c r="D169" s="430">
        <v>-500</v>
      </c>
      <c r="E169" s="426">
        <f t="shared" si="11"/>
        <v>0</v>
      </c>
      <c r="F169" s="445"/>
      <c r="G169" s="430">
        <f>500-500</f>
        <v>0</v>
      </c>
      <c r="H169" s="430"/>
      <c r="I169" s="429"/>
      <c r="J169" s="429" t="s">
        <v>540</v>
      </c>
      <c r="K169" s="443"/>
    </row>
    <row r="170" spans="1:11" s="369" customFormat="1" x14ac:dyDescent="0.25">
      <c r="A170" s="440"/>
      <c r="B170" s="444" t="s">
        <v>558</v>
      </c>
      <c r="C170" s="445">
        <v>500</v>
      </c>
      <c r="D170" s="430">
        <v>-500</v>
      </c>
      <c r="E170" s="426">
        <f t="shared" si="11"/>
        <v>0</v>
      </c>
      <c r="F170" s="445"/>
      <c r="G170" s="430">
        <f>500-500</f>
        <v>0</v>
      </c>
      <c r="H170" s="430"/>
      <c r="I170" s="429"/>
      <c r="J170" s="429" t="s">
        <v>540</v>
      </c>
      <c r="K170" s="443"/>
    </row>
    <row r="171" spans="1:11" s="369" customFormat="1" x14ac:dyDescent="0.25">
      <c r="A171" s="440"/>
      <c r="B171" s="444" t="s">
        <v>628</v>
      </c>
      <c r="C171" s="445">
        <v>2000</v>
      </c>
      <c r="D171" s="430"/>
      <c r="E171" s="426">
        <f t="shared" si="11"/>
        <v>2000</v>
      </c>
      <c r="F171" s="445"/>
      <c r="G171" s="430">
        <v>2000</v>
      </c>
      <c r="H171" s="430"/>
      <c r="I171" s="429"/>
      <c r="J171" s="429" t="s">
        <v>540</v>
      </c>
      <c r="K171" s="443"/>
    </row>
    <row r="172" spans="1:11" s="369" customFormat="1" x14ac:dyDescent="0.25">
      <c r="A172" s="440"/>
      <c r="B172" s="444" t="s">
        <v>629</v>
      </c>
      <c r="C172" s="445">
        <v>6400</v>
      </c>
      <c r="D172" s="430">
        <v>-6000</v>
      </c>
      <c r="E172" s="426">
        <f t="shared" si="11"/>
        <v>400</v>
      </c>
      <c r="F172" s="445"/>
      <c r="G172" s="430">
        <f>6400-6000</f>
        <v>400</v>
      </c>
      <c r="H172" s="430"/>
      <c r="I172" s="429"/>
      <c r="J172" s="429" t="s">
        <v>540</v>
      </c>
      <c r="K172" s="443"/>
    </row>
    <row r="173" spans="1:11" s="369" customFormat="1" x14ac:dyDescent="0.25">
      <c r="A173" s="440"/>
      <c r="B173" s="444" t="s">
        <v>630</v>
      </c>
      <c r="C173" s="445">
        <v>6770</v>
      </c>
      <c r="D173" s="430">
        <v>-4419</v>
      </c>
      <c r="E173" s="426">
        <f t="shared" si="11"/>
        <v>2351</v>
      </c>
      <c r="F173" s="445"/>
      <c r="G173" s="430">
        <f>6770-4419</f>
        <v>2351</v>
      </c>
      <c r="H173" s="430"/>
      <c r="I173" s="429"/>
      <c r="J173" s="429" t="s">
        <v>540</v>
      </c>
      <c r="K173" s="443"/>
    </row>
    <row r="174" spans="1:11" s="369" customFormat="1" x14ac:dyDescent="0.25">
      <c r="A174" s="440"/>
      <c r="B174" s="444" t="s">
        <v>675</v>
      </c>
      <c r="C174" s="445">
        <v>3000</v>
      </c>
      <c r="D174" s="430">
        <v>-3000</v>
      </c>
      <c r="E174" s="426">
        <f t="shared" si="11"/>
        <v>0</v>
      </c>
      <c r="F174" s="445"/>
      <c r="G174" s="430">
        <f>3000-3000</f>
        <v>0</v>
      </c>
      <c r="H174" s="430"/>
      <c r="I174" s="429"/>
      <c r="J174" s="429" t="s">
        <v>540</v>
      </c>
      <c r="K174" s="443"/>
    </row>
    <row r="175" spans="1:11" s="369" customFormat="1" x14ac:dyDescent="0.25">
      <c r="A175" s="440"/>
      <c r="B175" s="444" t="s">
        <v>713</v>
      </c>
      <c r="C175" s="445">
        <v>25000</v>
      </c>
      <c r="D175" s="430">
        <f>1000+1000</f>
        <v>2000</v>
      </c>
      <c r="E175" s="426">
        <f t="shared" si="11"/>
        <v>27000</v>
      </c>
      <c r="F175" s="445"/>
      <c r="G175" s="430">
        <f>25000+1000+1000</f>
        <v>27000</v>
      </c>
      <c r="H175" s="430"/>
      <c r="I175" s="429"/>
      <c r="J175" s="429" t="s">
        <v>540</v>
      </c>
      <c r="K175" s="443"/>
    </row>
    <row r="176" spans="1:11" s="369" customFormat="1" x14ac:dyDescent="0.25">
      <c r="A176" s="440"/>
      <c r="B176" s="441" t="s">
        <v>631</v>
      </c>
      <c r="C176" s="445">
        <v>3946</v>
      </c>
      <c r="D176" s="430">
        <v>-2427</v>
      </c>
      <c r="E176" s="426">
        <f>SUM(C176:D176)</f>
        <v>1519</v>
      </c>
      <c r="F176" s="445"/>
      <c r="G176" s="430">
        <f>3946-2427</f>
        <v>1519</v>
      </c>
      <c r="H176" s="430"/>
      <c r="I176" s="429"/>
      <c r="J176" s="429" t="s">
        <v>540</v>
      </c>
      <c r="K176" s="443"/>
    </row>
    <row r="177" spans="1:11" s="369" customFormat="1" ht="31.5" x14ac:dyDescent="0.25">
      <c r="A177" s="440"/>
      <c r="B177" s="441" t="s">
        <v>714</v>
      </c>
      <c r="C177" s="445">
        <v>1270</v>
      </c>
      <c r="D177" s="430"/>
      <c r="E177" s="426">
        <f>SUM(C177:D177)</f>
        <v>1270</v>
      </c>
      <c r="F177" s="445"/>
      <c r="G177" s="430">
        <v>1270</v>
      </c>
      <c r="H177" s="430"/>
      <c r="I177" s="429"/>
      <c r="J177" s="429" t="s">
        <v>540</v>
      </c>
      <c r="K177" s="443"/>
    </row>
    <row r="178" spans="1:11" s="369" customFormat="1" x14ac:dyDescent="0.25">
      <c r="A178" s="440"/>
      <c r="B178" s="441" t="s">
        <v>715</v>
      </c>
      <c r="C178" s="442">
        <v>10200</v>
      </c>
      <c r="D178" s="430">
        <v>-10200</v>
      </c>
      <c r="E178" s="426">
        <f t="shared" si="11"/>
        <v>0</v>
      </c>
      <c r="F178" s="442"/>
      <c r="G178" s="430">
        <f>10200-10200</f>
        <v>0</v>
      </c>
      <c r="H178" s="430"/>
      <c r="I178" s="429"/>
      <c r="J178" s="429" t="s">
        <v>540</v>
      </c>
      <c r="K178" s="443"/>
    </row>
    <row r="179" spans="1:11" s="369" customFormat="1" x14ac:dyDescent="0.25">
      <c r="A179" s="440"/>
      <c r="B179" s="441" t="s">
        <v>716</v>
      </c>
      <c r="C179" s="442">
        <v>18885</v>
      </c>
      <c r="D179" s="430">
        <v>-18885</v>
      </c>
      <c r="E179" s="426">
        <f t="shared" si="11"/>
        <v>0</v>
      </c>
      <c r="F179" s="442"/>
      <c r="G179" s="430">
        <f>18885-18885</f>
        <v>0</v>
      </c>
      <c r="H179" s="430"/>
      <c r="I179" s="429"/>
      <c r="J179" s="429" t="s">
        <v>540</v>
      </c>
      <c r="K179" s="443"/>
    </row>
    <row r="180" spans="1:11" s="369" customFormat="1" x14ac:dyDescent="0.25">
      <c r="A180" s="440"/>
      <c r="B180" s="441" t="s">
        <v>717</v>
      </c>
      <c r="C180" s="442">
        <v>0</v>
      </c>
      <c r="D180" s="430"/>
      <c r="E180" s="426">
        <f t="shared" si="11"/>
        <v>0</v>
      </c>
      <c r="F180" s="442"/>
      <c r="G180" s="430">
        <f>5000-5000</f>
        <v>0</v>
      </c>
      <c r="H180" s="430"/>
      <c r="I180" s="429"/>
      <c r="J180" s="429" t="s">
        <v>540</v>
      </c>
      <c r="K180" s="443"/>
    </row>
    <row r="181" spans="1:11" s="369" customFormat="1" x14ac:dyDescent="0.25">
      <c r="A181" s="440"/>
      <c r="B181" s="441" t="s">
        <v>718</v>
      </c>
      <c r="C181" s="442">
        <v>1500</v>
      </c>
      <c r="D181" s="430"/>
      <c r="E181" s="426">
        <f t="shared" si="11"/>
        <v>1500</v>
      </c>
      <c r="F181" s="442"/>
      <c r="G181" s="430">
        <v>1500</v>
      </c>
      <c r="H181" s="430"/>
      <c r="I181" s="429"/>
      <c r="J181" s="429" t="s">
        <v>540</v>
      </c>
      <c r="K181" s="443"/>
    </row>
    <row r="182" spans="1:11" s="369" customFormat="1" x14ac:dyDescent="0.25">
      <c r="A182" s="440"/>
      <c r="B182" s="441" t="s">
        <v>719</v>
      </c>
      <c r="C182" s="442">
        <v>0</v>
      </c>
      <c r="D182" s="430"/>
      <c r="E182" s="426">
        <f t="shared" si="11"/>
        <v>0</v>
      </c>
      <c r="F182" s="442"/>
      <c r="G182" s="430">
        <f>3000-3000</f>
        <v>0</v>
      </c>
      <c r="H182" s="430"/>
      <c r="I182" s="429"/>
      <c r="J182" s="429" t="s">
        <v>540</v>
      </c>
      <c r="K182" s="443"/>
    </row>
    <row r="183" spans="1:11" s="369" customFormat="1" x14ac:dyDescent="0.25">
      <c r="A183" s="440"/>
      <c r="B183" s="441" t="s">
        <v>720</v>
      </c>
      <c r="C183" s="442">
        <v>0</v>
      </c>
      <c r="D183" s="430"/>
      <c r="E183" s="426">
        <f t="shared" si="11"/>
        <v>0</v>
      </c>
      <c r="F183" s="442"/>
      <c r="G183" s="430">
        <f>4300-4300</f>
        <v>0</v>
      </c>
      <c r="H183" s="430"/>
      <c r="I183" s="429"/>
      <c r="J183" s="429" t="s">
        <v>540</v>
      </c>
      <c r="K183" s="443"/>
    </row>
    <row r="184" spans="1:11" x14ac:dyDescent="0.25">
      <c r="A184" s="417"/>
      <c r="B184" s="739" t="s">
        <v>95</v>
      </c>
      <c r="C184" s="740">
        <f>SUM(C185:C186)</f>
        <v>54261</v>
      </c>
      <c r="D184" s="740">
        <f>SUM(D185:D186)</f>
        <v>-6503</v>
      </c>
      <c r="E184" s="740">
        <f t="shared" si="11"/>
        <v>47758</v>
      </c>
      <c r="F184" s="740">
        <f>SUM(F185:F186)</f>
        <v>3627</v>
      </c>
      <c r="G184" s="740">
        <f>SUM(G185:G186)</f>
        <v>44131</v>
      </c>
      <c r="H184" s="740">
        <f>SUM(H185:H186)</f>
        <v>0</v>
      </c>
      <c r="I184" s="555" t="s">
        <v>540</v>
      </c>
      <c r="J184" s="555"/>
      <c r="K184" s="555"/>
    </row>
    <row r="185" spans="1:11" x14ac:dyDescent="0.25">
      <c r="A185" s="417"/>
      <c r="B185" s="431" t="s">
        <v>122</v>
      </c>
      <c r="C185" s="432">
        <v>8596</v>
      </c>
      <c r="D185" s="432">
        <v>-900</v>
      </c>
      <c r="E185" s="432">
        <f t="shared" si="11"/>
        <v>7696</v>
      </c>
      <c r="F185" s="432">
        <v>0</v>
      </c>
      <c r="G185" s="432">
        <f>8596-900</f>
        <v>7696</v>
      </c>
      <c r="H185" s="432"/>
      <c r="I185" s="433" t="s">
        <v>540</v>
      </c>
      <c r="J185" s="742"/>
      <c r="K185" s="742"/>
    </row>
    <row r="186" spans="1:11" x14ac:dyDescent="0.25">
      <c r="A186" s="417"/>
      <c r="B186" s="431" t="s">
        <v>123</v>
      </c>
      <c r="C186" s="432">
        <v>45665</v>
      </c>
      <c r="D186" s="432">
        <v>-5603</v>
      </c>
      <c r="E186" s="432">
        <f t="shared" si="11"/>
        <v>40062</v>
      </c>
      <c r="F186" s="432">
        <v>3627</v>
      </c>
      <c r="G186" s="432">
        <f>42038-5603</f>
        <v>36435</v>
      </c>
      <c r="H186" s="432"/>
      <c r="I186" s="433" t="s">
        <v>540</v>
      </c>
      <c r="J186" s="742"/>
      <c r="K186" s="742"/>
    </row>
    <row r="187" spans="1:11" x14ac:dyDescent="0.25">
      <c r="A187" s="417"/>
      <c r="B187" s="739" t="s">
        <v>239</v>
      </c>
      <c r="C187" s="740">
        <v>554000</v>
      </c>
      <c r="D187" s="740">
        <v>-117000</v>
      </c>
      <c r="E187" s="740">
        <f t="shared" si="11"/>
        <v>437000</v>
      </c>
      <c r="F187" s="740">
        <f>SUM(F188:F195)</f>
        <v>0</v>
      </c>
      <c r="G187" s="740">
        <f>SUM(G188:G195)</f>
        <v>437000</v>
      </c>
      <c r="H187" s="740"/>
      <c r="I187" s="555"/>
      <c r="J187" s="555" t="s">
        <v>540</v>
      </c>
      <c r="K187" s="555"/>
    </row>
    <row r="188" spans="1:11" ht="18" customHeight="1" x14ac:dyDescent="0.25">
      <c r="A188" s="417"/>
      <c r="B188" s="434" t="s">
        <v>474</v>
      </c>
      <c r="C188" s="432">
        <v>120000</v>
      </c>
      <c r="D188" s="432">
        <v>-60000</v>
      </c>
      <c r="E188" s="432">
        <f t="shared" si="11"/>
        <v>60000</v>
      </c>
      <c r="F188" s="432"/>
      <c r="G188" s="432">
        <f>120000-60000</f>
        <v>60000</v>
      </c>
      <c r="H188" s="432"/>
      <c r="I188" s="433"/>
      <c r="J188" s="433" t="s">
        <v>540</v>
      </c>
      <c r="K188" s="433"/>
    </row>
    <row r="189" spans="1:11" x14ac:dyDescent="0.25">
      <c r="A189" s="417"/>
      <c r="B189" s="434" t="s">
        <v>559</v>
      </c>
      <c r="C189" s="432">
        <v>165000</v>
      </c>
      <c r="D189" s="432"/>
      <c r="E189" s="432">
        <f t="shared" si="11"/>
        <v>165000</v>
      </c>
      <c r="F189" s="432"/>
      <c r="G189" s="432">
        <v>165000</v>
      </c>
      <c r="H189" s="432"/>
      <c r="I189" s="433"/>
      <c r="J189" s="433" t="s">
        <v>540</v>
      </c>
      <c r="K189" s="433"/>
    </row>
    <row r="190" spans="1:11" x14ac:dyDescent="0.25">
      <c r="A190" s="417"/>
      <c r="B190" s="434" t="s">
        <v>111</v>
      </c>
      <c r="C190" s="432">
        <v>60000</v>
      </c>
      <c r="D190" s="432">
        <v>-10000</v>
      </c>
      <c r="E190" s="432">
        <f t="shared" si="11"/>
        <v>50000</v>
      </c>
      <c r="F190" s="432"/>
      <c r="G190" s="432">
        <f>60000-10000</f>
        <v>50000</v>
      </c>
      <c r="H190" s="432"/>
      <c r="I190" s="433"/>
      <c r="J190" s="433" t="s">
        <v>540</v>
      </c>
      <c r="K190" s="433"/>
    </row>
    <row r="191" spans="1:11" x14ac:dyDescent="0.25">
      <c r="A191" s="417"/>
      <c r="B191" s="434" t="s">
        <v>475</v>
      </c>
      <c r="C191" s="432">
        <v>32000</v>
      </c>
      <c r="D191" s="432"/>
      <c r="E191" s="432">
        <f t="shared" si="11"/>
        <v>32000</v>
      </c>
      <c r="F191" s="432"/>
      <c r="G191" s="432">
        <v>32000</v>
      </c>
      <c r="H191" s="432"/>
      <c r="I191" s="433"/>
      <c r="J191" s="433" t="s">
        <v>540</v>
      </c>
      <c r="K191" s="433"/>
    </row>
    <row r="192" spans="1:11" x14ac:dyDescent="0.25">
      <c r="A192" s="417"/>
      <c r="B192" s="434" t="s">
        <v>721</v>
      </c>
      <c r="C192" s="432">
        <v>9000</v>
      </c>
      <c r="D192" s="432">
        <v>-9000</v>
      </c>
      <c r="E192" s="432">
        <f t="shared" si="11"/>
        <v>0</v>
      </c>
      <c r="F192" s="432"/>
      <c r="G192" s="432">
        <f>9000-9000</f>
        <v>0</v>
      </c>
      <c r="H192" s="432"/>
      <c r="I192" s="433"/>
      <c r="J192" s="433" t="s">
        <v>540</v>
      </c>
      <c r="K192" s="433"/>
    </row>
    <row r="193" spans="1:11" x14ac:dyDescent="0.25">
      <c r="A193" s="417"/>
      <c r="B193" s="434" t="s">
        <v>67</v>
      </c>
      <c r="C193" s="432">
        <v>35000</v>
      </c>
      <c r="D193" s="432">
        <v>-17500</v>
      </c>
      <c r="E193" s="432">
        <f t="shared" si="11"/>
        <v>17500</v>
      </c>
      <c r="F193" s="432"/>
      <c r="G193" s="432">
        <f>35000-17500</f>
        <v>17500</v>
      </c>
      <c r="H193" s="432"/>
      <c r="I193" s="433"/>
      <c r="J193" s="433" t="s">
        <v>540</v>
      </c>
      <c r="K193" s="433"/>
    </row>
    <row r="194" spans="1:11" x14ac:dyDescent="0.25">
      <c r="A194" s="417"/>
      <c r="B194" s="434" t="s">
        <v>323</v>
      </c>
      <c r="C194" s="432">
        <v>126000</v>
      </c>
      <c r="D194" s="432">
        <v>-13500</v>
      </c>
      <c r="E194" s="432">
        <f t="shared" si="11"/>
        <v>112500</v>
      </c>
      <c r="F194" s="432"/>
      <c r="G194" s="432">
        <f>126000-13500</f>
        <v>112500</v>
      </c>
      <c r="H194" s="432"/>
      <c r="I194" s="433"/>
      <c r="J194" s="433" t="s">
        <v>540</v>
      </c>
      <c r="K194" s="433"/>
    </row>
    <row r="195" spans="1:11" x14ac:dyDescent="0.25">
      <c r="A195" s="417"/>
      <c r="B195" s="434" t="s">
        <v>100</v>
      </c>
      <c r="C195" s="432">
        <v>7000</v>
      </c>
      <c r="D195" s="432">
        <v>-7000</v>
      </c>
      <c r="E195" s="432">
        <f t="shared" si="11"/>
        <v>0</v>
      </c>
      <c r="F195" s="432"/>
      <c r="G195" s="432">
        <f>7000-7000</f>
        <v>0</v>
      </c>
      <c r="H195" s="432"/>
      <c r="I195" s="433"/>
      <c r="J195" s="433" t="s">
        <v>540</v>
      </c>
      <c r="K195" s="433"/>
    </row>
    <row r="196" spans="1:11" x14ac:dyDescent="0.25">
      <c r="A196" s="417"/>
      <c r="B196" s="739" t="s">
        <v>135</v>
      </c>
      <c r="C196" s="740">
        <v>205000</v>
      </c>
      <c r="D196" s="740">
        <f>SUM(D197:D199)</f>
        <v>-35000</v>
      </c>
      <c r="E196" s="740">
        <f t="shared" si="11"/>
        <v>170000</v>
      </c>
      <c r="F196" s="740">
        <f>SUM(F197:F199)</f>
        <v>0</v>
      </c>
      <c r="G196" s="740">
        <f>SUM(G197:G199)</f>
        <v>170000</v>
      </c>
      <c r="H196" s="740">
        <f>SUM(H197:H199)</f>
        <v>0</v>
      </c>
      <c r="I196" s="555" t="s">
        <v>540</v>
      </c>
      <c r="J196" s="555"/>
      <c r="K196" s="555"/>
    </row>
    <row r="197" spans="1:11" ht="31.5" x14ac:dyDescent="0.25">
      <c r="A197" s="417"/>
      <c r="B197" s="434" t="s">
        <v>560</v>
      </c>
      <c r="C197" s="432">
        <v>130000</v>
      </c>
      <c r="D197" s="432">
        <v>-28000</v>
      </c>
      <c r="E197" s="432">
        <f t="shared" si="11"/>
        <v>102000</v>
      </c>
      <c r="F197" s="432"/>
      <c r="G197" s="432">
        <f>130000-28000</f>
        <v>102000</v>
      </c>
      <c r="H197" s="432"/>
      <c r="I197" s="433" t="s">
        <v>540</v>
      </c>
      <c r="J197" s="433"/>
      <c r="K197" s="433"/>
    </row>
    <row r="198" spans="1:11" ht="30" customHeight="1" x14ac:dyDescent="0.25">
      <c r="A198" s="417"/>
      <c r="B198" s="434" t="s">
        <v>136</v>
      </c>
      <c r="C198" s="432">
        <v>40000</v>
      </c>
      <c r="D198" s="432">
        <v>-5000</v>
      </c>
      <c r="E198" s="432">
        <f t="shared" si="11"/>
        <v>35000</v>
      </c>
      <c r="F198" s="432"/>
      <c r="G198" s="432">
        <f>40000-5000</f>
        <v>35000</v>
      </c>
      <c r="H198" s="432"/>
      <c r="I198" s="433" t="s">
        <v>540</v>
      </c>
      <c r="J198" s="433"/>
      <c r="K198" s="433"/>
    </row>
    <row r="199" spans="1:11" ht="31.5" x14ac:dyDescent="0.25">
      <c r="A199" s="417"/>
      <c r="B199" s="434" t="s">
        <v>51</v>
      </c>
      <c r="C199" s="432">
        <v>35000</v>
      </c>
      <c r="D199" s="432">
        <v>-2000</v>
      </c>
      <c r="E199" s="432">
        <f t="shared" si="11"/>
        <v>33000</v>
      </c>
      <c r="F199" s="432"/>
      <c r="G199" s="432">
        <f>35000-2000</f>
        <v>33000</v>
      </c>
      <c r="H199" s="432"/>
      <c r="I199" s="433" t="s">
        <v>540</v>
      </c>
      <c r="J199" s="433"/>
      <c r="K199" s="433"/>
    </row>
    <row r="200" spans="1:11" x14ac:dyDescent="0.25">
      <c r="A200" s="417"/>
      <c r="B200" s="739" t="s">
        <v>240</v>
      </c>
      <c r="C200" s="740">
        <v>217050</v>
      </c>
      <c r="D200" s="740">
        <f>3900+2000+38000-58000-24300</f>
        <v>-38400</v>
      </c>
      <c r="E200" s="740">
        <f t="shared" si="11"/>
        <v>178650</v>
      </c>
      <c r="F200" s="740">
        <v>0</v>
      </c>
      <c r="G200" s="740">
        <f>243150-1000-20000-500-4600+3900+2000+38000-58000-24300</f>
        <v>178650</v>
      </c>
      <c r="H200" s="740"/>
      <c r="I200" s="555"/>
      <c r="J200" s="555" t="s">
        <v>540</v>
      </c>
      <c r="K200" s="555"/>
    </row>
    <row r="201" spans="1:11" s="369" customFormat="1" ht="31.5" x14ac:dyDescent="0.25">
      <c r="A201" s="440"/>
      <c r="B201" s="441" t="s">
        <v>632</v>
      </c>
      <c r="C201" s="442">
        <v>2500</v>
      </c>
      <c r="D201" s="430">
        <v>-2500</v>
      </c>
      <c r="E201" s="426">
        <f t="shared" si="11"/>
        <v>0</v>
      </c>
      <c r="F201" s="442"/>
      <c r="G201" s="430">
        <f>2500-2500</f>
        <v>0</v>
      </c>
      <c r="H201" s="430"/>
      <c r="I201" s="429"/>
      <c r="J201" s="429" t="s">
        <v>540</v>
      </c>
      <c r="K201" s="443"/>
    </row>
    <row r="202" spans="1:11" s="369" customFormat="1" x14ac:dyDescent="0.25">
      <c r="A202" s="440"/>
      <c r="B202" s="441" t="s">
        <v>324</v>
      </c>
      <c r="C202" s="442">
        <v>500</v>
      </c>
      <c r="D202" s="430">
        <v>0</v>
      </c>
      <c r="E202" s="426">
        <f t="shared" si="11"/>
        <v>500</v>
      </c>
      <c r="F202" s="442"/>
      <c r="G202" s="430">
        <f>500</f>
        <v>500</v>
      </c>
      <c r="H202" s="430"/>
      <c r="I202" s="429"/>
      <c r="J202" s="429" t="s">
        <v>540</v>
      </c>
      <c r="K202" s="443"/>
    </row>
    <row r="203" spans="1:11" s="369" customFormat="1" x14ac:dyDescent="0.25">
      <c r="A203" s="440"/>
      <c r="B203" s="441" t="s">
        <v>325</v>
      </c>
      <c r="C203" s="442">
        <v>12000</v>
      </c>
      <c r="D203" s="430">
        <v>-12000</v>
      </c>
      <c r="E203" s="426">
        <f t="shared" si="11"/>
        <v>0</v>
      </c>
      <c r="F203" s="442"/>
      <c r="G203" s="430">
        <f>12000-12000</f>
        <v>0</v>
      </c>
      <c r="H203" s="430"/>
      <c r="I203" s="429"/>
      <c r="J203" s="429" t="s">
        <v>540</v>
      </c>
      <c r="K203" s="443"/>
    </row>
    <row r="204" spans="1:11" s="369" customFormat="1" ht="31.5" x14ac:dyDescent="0.25">
      <c r="A204" s="440"/>
      <c r="B204" s="441" t="s">
        <v>561</v>
      </c>
      <c r="C204" s="442">
        <v>41000</v>
      </c>
      <c r="D204" s="430">
        <v>-26000</v>
      </c>
      <c r="E204" s="426">
        <f t="shared" si="11"/>
        <v>15000</v>
      </c>
      <c r="F204" s="442"/>
      <c r="G204" s="430">
        <f>41000-26000</f>
        <v>15000</v>
      </c>
      <c r="H204" s="430"/>
      <c r="I204" s="429"/>
      <c r="J204" s="429" t="s">
        <v>540</v>
      </c>
      <c r="K204" s="443"/>
    </row>
    <row r="205" spans="1:11" s="369" customFormat="1" ht="31.5" x14ac:dyDescent="0.25">
      <c r="A205" s="440"/>
      <c r="B205" s="441" t="s">
        <v>562</v>
      </c>
      <c r="C205" s="442">
        <v>4000</v>
      </c>
      <c r="D205" s="430">
        <v>-4000</v>
      </c>
      <c r="E205" s="426">
        <f t="shared" si="11"/>
        <v>0</v>
      </c>
      <c r="F205" s="442"/>
      <c r="G205" s="430">
        <f>4000-4000</f>
        <v>0</v>
      </c>
      <c r="H205" s="430"/>
      <c r="I205" s="429"/>
      <c r="J205" s="429" t="s">
        <v>540</v>
      </c>
      <c r="K205" s="443"/>
    </row>
    <row r="206" spans="1:11" s="369" customFormat="1" ht="31.5" x14ac:dyDescent="0.25">
      <c r="A206" s="440"/>
      <c r="B206" s="441" t="s">
        <v>326</v>
      </c>
      <c r="C206" s="442">
        <v>0</v>
      </c>
      <c r="D206" s="430"/>
      <c r="E206" s="426">
        <f t="shared" si="11"/>
        <v>0</v>
      </c>
      <c r="F206" s="442"/>
      <c r="G206" s="430">
        <f>1000-1000</f>
        <v>0</v>
      </c>
      <c r="H206" s="430"/>
      <c r="I206" s="429"/>
      <c r="J206" s="429" t="s">
        <v>540</v>
      </c>
      <c r="K206" s="443"/>
    </row>
    <row r="207" spans="1:11" s="369" customFormat="1" x14ac:dyDescent="0.25">
      <c r="A207" s="440"/>
      <c r="B207" s="441" t="s">
        <v>563</v>
      </c>
      <c r="C207" s="442">
        <v>1500</v>
      </c>
      <c r="D207" s="430">
        <v>-1000</v>
      </c>
      <c r="E207" s="426">
        <f t="shared" si="11"/>
        <v>500</v>
      </c>
      <c r="F207" s="442"/>
      <c r="G207" s="430">
        <f>1500-1000</f>
        <v>500</v>
      </c>
      <c r="H207" s="430"/>
      <c r="I207" s="429"/>
      <c r="J207" s="429" t="s">
        <v>540</v>
      </c>
      <c r="K207" s="443"/>
    </row>
    <row r="208" spans="1:11" s="369" customFormat="1" x14ac:dyDescent="0.25">
      <c r="A208" s="440"/>
      <c r="B208" s="441" t="s">
        <v>564</v>
      </c>
      <c r="C208" s="442">
        <v>17500</v>
      </c>
      <c r="D208" s="430"/>
      <c r="E208" s="426">
        <f t="shared" si="11"/>
        <v>17500</v>
      </c>
      <c r="F208" s="442"/>
      <c r="G208" s="430">
        <v>17500</v>
      </c>
      <c r="H208" s="430"/>
      <c r="I208" s="429"/>
      <c r="J208" s="429" t="s">
        <v>540</v>
      </c>
      <c r="K208" s="443"/>
    </row>
    <row r="209" spans="1:11" s="369" customFormat="1" x14ac:dyDescent="0.25">
      <c r="A209" s="440"/>
      <c r="B209" s="441" t="s">
        <v>476</v>
      </c>
      <c r="C209" s="442">
        <v>25000</v>
      </c>
      <c r="D209" s="430">
        <v>-5000</v>
      </c>
      <c r="E209" s="426">
        <f t="shared" si="11"/>
        <v>20000</v>
      </c>
      <c r="F209" s="442"/>
      <c r="G209" s="430">
        <f>25000-5000</f>
        <v>20000</v>
      </c>
      <c r="H209" s="430"/>
      <c r="I209" s="429"/>
      <c r="J209" s="429" t="s">
        <v>540</v>
      </c>
      <c r="K209" s="443"/>
    </row>
    <row r="210" spans="1:11" s="369" customFormat="1" x14ac:dyDescent="0.25">
      <c r="A210" s="440" t="s">
        <v>676</v>
      </c>
      <c r="B210" s="441" t="s">
        <v>477</v>
      </c>
      <c r="C210" s="442">
        <v>1000</v>
      </c>
      <c r="D210" s="430">
        <v>-500</v>
      </c>
      <c r="E210" s="426">
        <f t="shared" ref="E210:E215" si="12">SUM(C210:D210)</f>
        <v>500</v>
      </c>
      <c r="F210" s="442"/>
      <c r="G210" s="430">
        <f>1000-500</f>
        <v>500</v>
      </c>
      <c r="H210" s="430"/>
      <c r="I210" s="429"/>
      <c r="J210" s="429" t="s">
        <v>540</v>
      </c>
      <c r="K210" s="443"/>
    </row>
    <row r="211" spans="1:11" s="369" customFormat="1" x14ac:dyDescent="0.25">
      <c r="A211" s="440"/>
      <c r="B211" s="441" t="s">
        <v>722</v>
      </c>
      <c r="C211" s="442">
        <v>1000</v>
      </c>
      <c r="D211" s="430">
        <v>-500</v>
      </c>
      <c r="E211" s="426">
        <f t="shared" si="12"/>
        <v>500</v>
      </c>
      <c r="F211" s="442"/>
      <c r="G211" s="430">
        <f>1000-500</f>
        <v>500</v>
      </c>
      <c r="H211" s="430"/>
      <c r="I211" s="429"/>
      <c r="J211" s="429" t="s">
        <v>540</v>
      </c>
      <c r="K211" s="443"/>
    </row>
    <row r="212" spans="1:11" s="369" customFormat="1" x14ac:dyDescent="0.25">
      <c r="A212" s="440"/>
      <c r="B212" s="441" t="s">
        <v>633</v>
      </c>
      <c r="C212" s="442">
        <v>15000</v>
      </c>
      <c r="D212" s="430">
        <v>-5000</v>
      </c>
      <c r="E212" s="426">
        <f t="shared" si="12"/>
        <v>10000</v>
      </c>
      <c r="F212" s="442"/>
      <c r="G212" s="430">
        <f>15000-5000</f>
        <v>10000</v>
      </c>
      <c r="H212" s="430"/>
      <c r="I212" s="429"/>
      <c r="J212" s="429" t="s">
        <v>540</v>
      </c>
      <c r="K212" s="443"/>
    </row>
    <row r="213" spans="1:11" s="369" customFormat="1" x14ac:dyDescent="0.25">
      <c r="A213" s="440"/>
      <c r="B213" s="441" t="s">
        <v>634</v>
      </c>
      <c r="C213" s="442">
        <v>22750</v>
      </c>
      <c r="D213" s="430">
        <f>3900+38000+2000</f>
        <v>43900</v>
      </c>
      <c r="E213" s="426">
        <f t="shared" si="12"/>
        <v>66650</v>
      </c>
      <c r="F213" s="442"/>
      <c r="G213" s="430">
        <f>42750-20000+3900+38000+2000</f>
        <v>66650</v>
      </c>
      <c r="H213" s="430"/>
      <c r="I213" s="429"/>
      <c r="J213" s="429" t="s">
        <v>540</v>
      </c>
      <c r="K213" s="443"/>
    </row>
    <row r="214" spans="1:11" s="369" customFormat="1" x14ac:dyDescent="0.25">
      <c r="A214" s="440"/>
      <c r="B214" s="441" t="s">
        <v>635</v>
      </c>
      <c r="C214" s="442">
        <v>1000</v>
      </c>
      <c r="D214" s="430">
        <v>-500</v>
      </c>
      <c r="E214" s="426">
        <f t="shared" si="12"/>
        <v>500</v>
      </c>
      <c r="F214" s="442"/>
      <c r="G214" s="430">
        <f>1000-500</f>
        <v>500</v>
      </c>
      <c r="H214" s="430"/>
      <c r="I214" s="429"/>
      <c r="J214" s="429" t="s">
        <v>540</v>
      </c>
      <c r="K214" s="443"/>
    </row>
    <row r="215" spans="1:11" s="369" customFormat="1" ht="31.5" x14ac:dyDescent="0.25">
      <c r="A215" s="440"/>
      <c r="B215" s="441" t="s">
        <v>636</v>
      </c>
      <c r="C215" s="442">
        <v>45000</v>
      </c>
      <c r="D215" s="430"/>
      <c r="E215" s="426">
        <f t="shared" si="12"/>
        <v>45000</v>
      </c>
      <c r="F215" s="442"/>
      <c r="G215" s="430">
        <v>45000</v>
      </c>
      <c r="H215" s="430"/>
      <c r="I215" s="429"/>
      <c r="J215" s="429" t="s">
        <v>540</v>
      </c>
      <c r="K215" s="443"/>
    </row>
    <row r="216" spans="1:11" s="369" customFormat="1" x14ac:dyDescent="0.25">
      <c r="A216" s="440"/>
      <c r="B216" s="441" t="s">
        <v>723</v>
      </c>
      <c r="C216" s="442">
        <v>600</v>
      </c>
      <c r="D216" s="430"/>
      <c r="E216" s="426">
        <f t="shared" ref="E216:E218" si="13">SUM(C216:D216)</f>
        <v>600</v>
      </c>
      <c r="F216" s="442"/>
      <c r="G216" s="430">
        <f>1100-500</f>
        <v>600</v>
      </c>
      <c r="H216" s="430"/>
      <c r="I216" s="429"/>
      <c r="J216" s="429" t="s">
        <v>540</v>
      </c>
      <c r="K216" s="443"/>
    </row>
    <row r="217" spans="1:11" s="369" customFormat="1" ht="31.5" x14ac:dyDescent="0.25">
      <c r="A217" s="440"/>
      <c r="B217" s="441" t="s">
        <v>800</v>
      </c>
      <c r="C217" s="442">
        <v>24300</v>
      </c>
      <c r="D217" s="430">
        <v>-24300</v>
      </c>
      <c r="E217" s="426">
        <f t="shared" si="13"/>
        <v>0</v>
      </c>
      <c r="F217" s="442"/>
      <c r="G217" s="430">
        <f>24300-24300</f>
        <v>0</v>
      </c>
      <c r="H217" s="430"/>
      <c r="I217" s="429"/>
      <c r="J217" s="429" t="s">
        <v>540</v>
      </c>
      <c r="K217" s="443"/>
    </row>
    <row r="218" spans="1:11" s="369" customFormat="1" x14ac:dyDescent="0.25">
      <c r="A218" s="440"/>
      <c r="B218" s="441" t="s">
        <v>724</v>
      </c>
      <c r="C218" s="442">
        <v>400</v>
      </c>
      <c r="D218" s="430"/>
      <c r="E218" s="426">
        <f t="shared" si="13"/>
        <v>400</v>
      </c>
      <c r="F218" s="442"/>
      <c r="G218" s="430">
        <f>5000-4600</f>
        <v>400</v>
      </c>
      <c r="H218" s="430"/>
      <c r="I218" s="429"/>
      <c r="J218" s="429" t="s">
        <v>540</v>
      </c>
      <c r="K218" s="443"/>
    </row>
    <row r="219" spans="1:11" s="369" customFormat="1" ht="31.5" x14ac:dyDescent="0.25">
      <c r="A219" s="440"/>
      <c r="B219" s="441" t="s">
        <v>725</v>
      </c>
      <c r="C219" s="442">
        <v>2000</v>
      </c>
      <c r="D219" s="430">
        <v>-1000</v>
      </c>
      <c r="E219" s="426">
        <f t="shared" si="11"/>
        <v>1000</v>
      </c>
      <c r="F219" s="442"/>
      <c r="G219" s="430">
        <f>2000-1000</f>
        <v>1000</v>
      </c>
      <c r="H219" s="430"/>
      <c r="I219" s="429"/>
      <c r="J219" s="429" t="s">
        <v>540</v>
      </c>
      <c r="K219" s="443"/>
    </row>
    <row r="220" spans="1:11" x14ac:dyDescent="0.25">
      <c r="A220" s="417" t="s">
        <v>96</v>
      </c>
      <c r="B220" s="421" t="s">
        <v>68</v>
      </c>
      <c r="C220" s="419">
        <v>3500</v>
      </c>
      <c r="D220" s="419">
        <f>6*42</f>
        <v>252</v>
      </c>
      <c r="E220" s="419">
        <f t="shared" si="11"/>
        <v>3752</v>
      </c>
      <c r="F220" s="419"/>
      <c r="G220" s="419">
        <f>3500+252</f>
        <v>3752</v>
      </c>
      <c r="H220" s="419"/>
      <c r="I220" s="420" t="s">
        <v>540</v>
      </c>
      <c r="J220" s="420"/>
      <c r="K220" s="420"/>
    </row>
    <row r="221" spans="1:11" x14ac:dyDescent="0.25">
      <c r="A221" s="417" t="s">
        <v>97</v>
      </c>
      <c r="B221" s="421" t="s">
        <v>478</v>
      </c>
      <c r="C221" s="419">
        <f>SUM(C222:C226,C227,C228,C229,C230)</f>
        <v>272713</v>
      </c>
      <c r="D221" s="419">
        <f>SUM(D222:D226,D227,D228,D229,D230)</f>
        <v>-105175</v>
      </c>
      <c r="E221" s="419">
        <f t="shared" si="11"/>
        <v>167538</v>
      </c>
      <c r="F221" s="419">
        <f>SUM(F222:F226,F227,F228,F229,F230)</f>
        <v>11780</v>
      </c>
      <c r="G221" s="419">
        <f>SUM(G222:G226,G227,G228,G229,G230)</f>
        <v>156358</v>
      </c>
      <c r="H221" s="419">
        <f>SUM(H222:H226,H227,H228,H229,H230)</f>
        <v>-600</v>
      </c>
      <c r="I221" s="420" t="s">
        <v>540</v>
      </c>
      <c r="J221" s="420" t="s">
        <v>540</v>
      </c>
      <c r="K221" s="420"/>
    </row>
    <row r="222" spans="1:11" x14ac:dyDescent="0.25">
      <c r="A222" s="417"/>
      <c r="B222" s="421" t="s">
        <v>637</v>
      </c>
      <c r="C222" s="419">
        <v>5350</v>
      </c>
      <c r="D222" s="419">
        <v>-5000</v>
      </c>
      <c r="E222" s="419">
        <f t="shared" si="11"/>
        <v>350</v>
      </c>
      <c r="F222" s="419">
        <v>350</v>
      </c>
      <c r="G222" s="419">
        <f>5000-5000</f>
        <v>0</v>
      </c>
      <c r="H222" s="419"/>
      <c r="I222" s="420"/>
      <c r="J222" s="420" t="s">
        <v>540</v>
      </c>
      <c r="K222" s="420"/>
    </row>
    <row r="223" spans="1:11" x14ac:dyDescent="0.25">
      <c r="A223" s="417"/>
      <c r="B223" s="421" t="s">
        <v>638</v>
      </c>
      <c r="C223" s="419">
        <v>11850</v>
      </c>
      <c r="D223" s="419">
        <v>0</v>
      </c>
      <c r="E223" s="419">
        <f t="shared" si="11"/>
        <v>11850</v>
      </c>
      <c r="F223" s="419">
        <v>750</v>
      </c>
      <c r="G223" s="419">
        <f>11100</f>
        <v>11100</v>
      </c>
      <c r="H223" s="419"/>
      <c r="I223" s="420"/>
      <c r="J223" s="420" t="s">
        <v>540</v>
      </c>
      <c r="K223" s="420"/>
    </row>
    <row r="224" spans="1:11" x14ac:dyDescent="0.25">
      <c r="A224" s="417"/>
      <c r="B224" s="421" t="s">
        <v>639</v>
      </c>
      <c r="C224" s="419">
        <v>65121</v>
      </c>
      <c r="D224" s="419">
        <f>-3900-2000-38000</f>
        <v>-43900</v>
      </c>
      <c r="E224" s="419">
        <f t="shared" si="11"/>
        <v>21221</v>
      </c>
      <c r="F224" s="419">
        <v>10121</v>
      </c>
      <c r="G224" s="419">
        <f>55000-3900-2000-38000</f>
        <v>11100</v>
      </c>
      <c r="H224" s="419"/>
      <c r="I224" s="420" t="s">
        <v>540</v>
      </c>
      <c r="J224" s="420" t="s">
        <v>540</v>
      </c>
      <c r="K224" s="420"/>
    </row>
    <row r="225" spans="1:11" x14ac:dyDescent="0.25">
      <c r="A225" s="417"/>
      <c r="B225" s="421" t="s">
        <v>640</v>
      </c>
      <c r="C225" s="419">
        <v>1500</v>
      </c>
      <c r="D225" s="419">
        <v>-1500</v>
      </c>
      <c r="E225" s="419">
        <f t="shared" si="11"/>
        <v>0</v>
      </c>
      <c r="F225" s="419"/>
      <c r="G225" s="419">
        <f>1500-1500</f>
        <v>0</v>
      </c>
      <c r="H225" s="419"/>
      <c r="I225" s="420"/>
      <c r="J225" s="420" t="s">
        <v>540</v>
      </c>
      <c r="K225" s="420"/>
    </row>
    <row r="226" spans="1:11" x14ac:dyDescent="0.25">
      <c r="A226" s="417"/>
      <c r="B226" s="421" t="s">
        <v>641</v>
      </c>
      <c r="C226" s="419">
        <v>8750</v>
      </c>
      <c r="D226" s="419">
        <v>-8750</v>
      </c>
      <c r="E226" s="419">
        <f t="shared" si="11"/>
        <v>0</v>
      </c>
      <c r="F226" s="419"/>
      <c r="G226" s="419">
        <f>8750-8750</f>
        <v>0</v>
      </c>
      <c r="H226" s="419"/>
      <c r="I226" s="420" t="s">
        <v>540</v>
      </c>
      <c r="J226" s="420" t="s">
        <v>540</v>
      </c>
      <c r="K226" s="420"/>
    </row>
    <row r="227" spans="1:11" x14ac:dyDescent="0.25">
      <c r="A227" s="417"/>
      <c r="B227" s="421" t="s">
        <v>113</v>
      </c>
      <c r="C227" s="419">
        <v>85628</v>
      </c>
      <c r="D227" s="419">
        <v>-25400</v>
      </c>
      <c r="E227" s="419">
        <f t="shared" si="11"/>
        <v>60228</v>
      </c>
      <c r="F227" s="419">
        <v>5</v>
      </c>
      <c r="G227" s="419">
        <f>85623-25400</f>
        <v>60223</v>
      </c>
      <c r="H227" s="419"/>
      <c r="I227" s="420" t="s">
        <v>540</v>
      </c>
      <c r="J227" s="420"/>
      <c r="K227" s="420"/>
    </row>
    <row r="228" spans="1:11" x14ac:dyDescent="0.25">
      <c r="A228" s="417"/>
      <c r="B228" s="421" t="s">
        <v>98</v>
      </c>
      <c r="C228" s="419">
        <v>26479</v>
      </c>
      <c r="D228" s="419">
        <f>-5000-250</f>
        <v>-5250</v>
      </c>
      <c r="E228" s="419">
        <f t="shared" si="11"/>
        <v>21229</v>
      </c>
      <c r="F228" s="419">
        <v>554</v>
      </c>
      <c r="G228" s="419">
        <f>30925-5000-5000</f>
        <v>20925</v>
      </c>
      <c r="H228" s="419">
        <v>-250</v>
      </c>
      <c r="I228" s="420"/>
      <c r="J228" s="420" t="s">
        <v>540</v>
      </c>
      <c r="K228" s="420"/>
    </row>
    <row r="229" spans="1:11" x14ac:dyDescent="0.25">
      <c r="A229" s="417"/>
      <c r="B229" s="421" t="s">
        <v>99</v>
      </c>
      <c r="C229" s="419">
        <v>43035</v>
      </c>
      <c r="D229" s="419">
        <f>-25-350</f>
        <v>-375</v>
      </c>
      <c r="E229" s="419">
        <f t="shared" si="11"/>
        <v>42660</v>
      </c>
      <c r="F229" s="419"/>
      <c r="G229" s="419">
        <f>43035-25</f>
        <v>43010</v>
      </c>
      <c r="H229" s="419">
        <v>-350</v>
      </c>
      <c r="I229" s="420"/>
      <c r="J229" s="420" t="s">
        <v>540</v>
      </c>
      <c r="K229" s="420"/>
    </row>
    <row r="230" spans="1:11" ht="16.5" thickBot="1" x14ac:dyDescent="0.3">
      <c r="A230" s="417"/>
      <c r="B230" s="421" t="s">
        <v>69</v>
      </c>
      <c r="C230" s="419">
        <v>25000</v>
      </c>
      <c r="D230" s="419">
        <v>-15000</v>
      </c>
      <c r="E230" s="419">
        <f t="shared" si="11"/>
        <v>10000</v>
      </c>
      <c r="F230" s="419"/>
      <c r="G230" s="419">
        <f>25000-15000</f>
        <v>10000</v>
      </c>
      <c r="H230" s="419"/>
      <c r="I230" s="420" t="s">
        <v>540</v>
      </c>
      <c r="J230" s="420"/>
      <c r="K230" s="420"/>
    </row>
    <row r="231" spans="1:11" ht="16.5" thickBot="1" x14ac:dyDescent="0.3">
      <c r="A231" s="446"/>
      <c r="B231" s="447" t="s">
        <v>75</v>
      </c>
      <c r="C231" s="448">
        <f>SUM(C4,C77,C82,C87,C92,C102,C220,C221)</f>
        <v>50731005</v>
      </c>
      <c r="D231" s="448">
        <f>SUM(D4,D77,D82,D87,D92,D102,D220,D221)</f>
        <v>-3809790</v>
      </c>
      <c r="E231" s="448">
        <f t="shared" si="11"/>
        <v>46921215</v>
      </c>
      <c r="F231" s="448">
        <f>SUM(F4,F77,F82,F87,F92,F102,F220,F221)</f>
        <v>545366</v>
      </c>
      <c r="G231" s="448">
        <f>SUM(G4,G77,G82,G87,G92,G102,G220,G221)</f>
        <v>46853169</v>
      </c>
      <c r="H231" s="448">
        <f>SUM(H4,H77,H82,H87,H92,H102,H220,H221)</f>
        <v>-477320</v>
      </c>
      <c r="I231" s="449" t="s">
        <v>134</v>
      </c>
      <c r="J231" s="449" t="s">
        <v>134</v>
      </c>
      <c r="K231" s="449" t="s">
        <v>134</v>
      </c>
    </row>
    <row r="232" spans="1:11" x14ac:dyDescent="0.25">
      <c r="A232" s="446"/>
      <c r="B232" s="743" t="s">
        <v>74</v>
      </c>
      <c r="C232" s="744">
        <v>400000</v>
      </c>
      <c r="D232" s="744">
        <f>6145-1000-6375-2450-252+25400+800+25+164570-20000-50-420000-51302-45000-485+1+1+400-4-784-12-11-39056-3000+264898</f>
        <v>-127541</v>
      </c>
      <c r="E232" s="744">
        <f t="shared" si="11"/>
        <v>272459</v>
      </c>
      <c r="F232" s="744">
        <v>0</v>
      </c>
      <c r="G232" s="744">
        <f>400000+6145-1000-6375-2450-252+25400+800+25+164570-20000-50-420000-51302-45000-485+1+1+400-4-784-12-11-39056-3000+264898</f>
        <v>272459</v>
      </c>
      <c r="H232" s="744"/>
      <c r="I232" s="556"/>
      <c r="J232" s="556" t="s">
        <v>540</v>
      </c>
      <c r="K232" s="556"/>
    </row>
    <row r="233" spans="1:11" x14ac:dyDescent="0.25">
      <c r="A233" s="446"/>
      <c r="B233" s="745" t="s">
        <v>70</v>
      </c>
      <c r="C233" s="740">
        <v>736816</v>
      </c>
      <c r="D233" s="740">
        <f>1751834+900+5603+86334+419837+100000+66046+5000+29311+23655+500+77390+135000+500+42040+72931+117000+35000+58000+41150+483+99851-25400+525000+200000+1500000+100000+200000+500000+500000+120000-6000000+587500+14062+2210+10000+4000-300000+100000-10900-3088-12490-76847-16751+135000+48591-135000-48591-12451-1749-2789-3000-18587-1128-10668-30000+51242+31034+141586+300000+114754+23000-18000-6400+47396+20000-264898+605287+24300</f>
        <v>2074590</v>
      </c>
      <c r="E233" s="740">
        <f t="shared" si="11"/>
        <v>2811406</v>
      </c>
      <c r="F233" s="740">
        <f>SUM(F234:F247)</f>
        <v>0</v>
      </c>
      <c r="G233" s="740">
        <f>SUM(G234:G247)</f>
        <v>2429215</v>
      </c>
      <c r="H233" s="740">
        <f>SUM(H234:H247)</f>
        <v>382191</v>
      </c>
      <c r="I233" s="555" t="s">
        <v>540</v>
      </c>
      <c r="J233" s="555" t="s">
        <v>540</v>
      </c>
      <c r="K233" s="555"/>
    </row>
    <row r="234" spans="1:11" x14ac:dyDescent="0.25">
      <c r="A234" s="450"/>
      <c r="B234" s="434" t="s">
        <v>124</v>
      </c>
      <c r="C234" s="451">
        <v>4000</v>
      </c>
      <c r="D234" s="451"/>
      <c r="E234" s="451">
        <f t="shared" si="11"/>
        <v>4000</v>
      </c>
      <c r="F234" s="451"/>
      <c r="G234" s="451">
        <v>4000</v>
      </c>
      <c r="H234" s="451"/>
      <c r="I234" s="452" t="s">
        <v>540</v>
      </c>
      <c r="J234" s="452"/>
      <c r="K234" s="452"/>
    </row>
    <row r="235" spans="1:11" ht="31.5" x14ac:dyDescent="0.25">
      <c r="A235" s="450"/>
      <c r="B235" s="434" t="s">
        <v>642</v>
      </c>
      <c r="C235" s="451">
        <v>100000</v>
      </c>
      <c r="D235" s="451">
        <v>-16751</v>
      </c>
      <c r="E235" s="451">
        <f t="shared" si="11"/>
        <v>83249</v>
      </c>
      <c r="F235" s="451"/>
      <c r="G235" s="451">
        <v>100000</v>
      </c>
      <c r="H235" s="451">
        <v>-16751</v>
      </c>
      <c r="I235" s="452" t="s">
        <v>540</v>
      </c>
      <c r="J235" s="452"/>
      <c r="K235" s="452"/>
    </row>
    <row r="236" spans="1:11" x14ac:dyDescent="0.25">
      <c r="A236" s="450"/>
      <c r="B236" s="434" t="s">
        <v>643</v>
      </c>
      <c r="C236" s="451">
        <v>243000</v>
      </c>
      <c r="D236" s="451">
        <f>-121500-76847</f>
        <v>-198347</v>
      </c>
      <c r="E236" s="451">
        <f t="shared" ref="E236:E248" si="14">SUM(C236:D236)</f>
        <v>44653</v>
      </c>
      <c r="F236" s="451"/>
      <c r="G236" s="451">
        <f>243000-121500</f>
        <v>121500</v>
      </c>
      <c r="H236" s="451">
        <v>-76847</v>
      </c>
      <c r="I236" s="452"/>
      <c r="J236" s="452" t="s">
        <v>540</v>
      </c>
      <c r="K236" s="452"/>
    </row>
    <row r="237" spans="1:11" ht="47.25" x14ac:dyDescent="0.25">
      <c r="A237" s="450"/>
      <c r="B237" s="434" t="s">
        <v>644</v>
      </c>
      <c r="C237" s="451">
        <v>262178</v>
      </c>
      <c r="D237" s="451">
        <f>-988-2100-1749-2789-3000-18587-1128-10668-30000-6400</f>
        <v>-77409</v>
      </c>
      <c r="E237" s="451">
        <f t="shared" si="14"/>
        <v>184769</v>
      </c>
      <c r="F237" s="451"/>
      <c r="G237" s="451">
        <f>262178-988</f>
        <v>261190</v>
      </c>
      <c r="H237" s="451">
        <f>-2100-1749-2789-3000-18587-1128-10668-30000-6400</f>
        <v>-76421</v>
      </c>
      <c r="I237" s="452" t="s">
        <v>540</v>
      </c>
      <c r="J237" s="452"/>
      <c r="K237" s="452"/>
    </row>
    <row r="238" spans="1:11" ht="31.5" x14ac:dyDescent="0.25">
      <c r="A238" s="450"/>
      <c r="B238" s="434" t="s">
        <v>801</v>
      </c>
      <c r="C238" s="451">
        <v>73052</v>
      </c>
      <c r="D238" s="451">
        <v>-12490</v>
      </c>
      <c r="E238" s="451">
        <f t="shared" si="14"/>
        <v>60562</v>
      </c>
      <c r="F238" s="451"/>
      <c r="G238" s="451">
        <v>73052</v>
      </c>
      <c r="H238" s="451">
        <v>-12490</v>
      </c>
      <c r="I238" s="452" t="s">
        <v>540</v>
      </c>
      <c r="J238" s="452"/>
      <c r="K238" s="452"/>
    </row>
    <row r="239" spans="1:11" ht="31.5" x14ac:dyDescent="0.25">
      <c r="A239" s="450"/>
      <c r="B239" s="434" t="s">
        <v>587</v>
      </c>
      <c r="C239" s="451">
        <v>586</v>
      </c>
      <c r="D239" s="451"/>
      <c r="E239" s="451">
        <f t="shared" si="14"/>
        <v>586</v>
      </c>
      <c r="F239" s="451"/>
      <c r="G239" s="451">
        <v>586</v>
      </c>
      <c r="H239" s="451"/>
      <c r="I239" s="452" t="s">
        <v>540</v>
      </c>
      <c r="J239" s="452"/>
      <c r="K239" s="452"/>
    </row>
    <row r="240" spans="1:11" x14ac:dyDescent="0.25">
      <c r="A240" s="450"/>
      <c r="B240" s="434" t="s">
        <v>645</v>
      </c>
      <c r="C240" s="451">
        <v>0</v>
      </c>
      <c r="D240" s="451"/>
      <c r="E240" s="451">
        <f t="shared" si="14"/>
        <v>0</v>
      </c>
      <c r="F240" s="451"/>
      <c r="G240" s="451">
        <v>0</v>
      </c>
      <c r="H240" s="451"/>
      <c r="I240" s="452" t="s">
        <v>540</v>
      </c>
      <c r="J240" s="452"/>
      <c r="K240" s="452"/>
    </row>
    <row r="241" spans="1:11" x14ac:dyDescent="0.25">
      <c r="A241" s="450" t="s">
        <v>646</v>
      </c>
      <c r="B241" s="434" t="s">
        <v>647</v>
      </c>
      <c r="C241" s="451">
        <v>4000</v>
      </c>
      <c r="D241" s="451"/>
      <c r="E241" s="451">
        <f t="shared" si="14"/>
        <v>4000</v>
      </c>
      <c r="F241" s="451"/>
      <c r="G241" s="451">
        <v>4000</v>
      </c>
      <c r="H241" s="451"/>
      <c r="I241" s="452" t="s">
        <v>540</v>
      </c>
      <c r="J241" s="452"/>
      <c r="K241" s="452"/>
    </row>
    <row r="242" spans="1:11" x14ac:dyDescent="0.25">
      <c r="A242" s="450"/>
      <c r="B242" s="434" t="s">
        <v>648</v>
      </c>
      <c r="C242" s="451">
        <v>50000</v>
      </c>
      <c r="D242" s="451">
        <v>-50000</v>
      </c>
      <c r="E242" s="451">
        <f t="shared" si="14"/>
        <v>0</v>
      </c>
      <c r="F242" s="451"/>
      <c r="G242" s="451">
        <f>50000-50000</f>
        <v>0</v>
      </c>
      <c r="H242" s="451"/>
      <c r="I242" s="452" t="s">
        <v>540</v>
      </c>
      <c r="J242" s="452"/>
      <c r="K242" s="452"/>
    </row>
    <row r="243" spans="1:11" x14ac:dyDescent="0.25">
      <c r="A243" s="450"/>
      <c r="B243" s="434" t="s">
        <v>691</v>
      </c>
      <c r="C243" s="451"/>
      <c r="D243" s="451">
        <f>80076-80076</f>
        <v>0</v>
      </c>
      <c r="E243" s="451">
        <f t="shared" si="14"/>
        <v>0</v>
      </c>
      <c r="F243" s="451"/>
      <c r="G243" s="451">
        <v>80076</v>
      </c>
      <c r="H243" s="451">
        <v>-80076</v>
      </c>
      <c r="I243" s="452" t="s">
        <v>540</v>
      </c>
      <c r="J243" s="452"/>
      <c r="K243" s="452"/>
    </row>
    <row r="244" spans="1:11" ht="31.5" x14ac:dyDescent="0.25">
      <c r="A244" s="450"/>
      <c r="B244" s="434" t="s">
        <v>692</v>
      </c>
      <c r="C244" s="451"/>
      <c r="D244" s="451">
        <f>3542-3542</f>
        <v>0</v>
      </c>
      <c r="E244" s="451">
        <f t="shared" si="14"/>
        <v>0</v>
      </c>
      <c r="F244" s="451"/>
      <c r="G244" s="451">
        <v>3542</v>
      </c>
      <c r="H244" s="451">
        <v>-3542</v>
      </c>
      <c r="I244" s="452" t="s">
        <v>540</v>
      </c>
      <c r="J244" s="452"/>
      <c r="K244" s="452"/>
    </row>
    <row r="245" spans="1:11" x14ac:dyDescent="0.25">
      <c r="A245" s="450"/>
      <c r="B245" s="434" t="s">
        <v>693</v>
      </c>
      <c r="C245" s="451"/>
      <c r="D245" s="451">
        <f>33576-33576</f>
        <v>0</v>
      </c>
      <c r="E245" s="451">
        <f t="shared" si="14"/>
        <v>0</v>
      </c>
      <c r="F245" s="451"/>
      <c r="G245" s="451">
        <v>33576</v>
      </c>
      <c r="H245" s="451">
        <v>-33576</v>
      </c>
      <c r="I245" s="452" t="s">
        <v>540</v>
      </c>
      <c r="J245" s="452" t="s">
        <v>540</v>
      </c>
      <c r="K245" s="452"/>
    </row>
    <row r="246" spans="1:11" x14ac:dyDescent="0.25">
      <c r="A246" s="450"/>
      <c r="B246" s="434" t="s">
        <v>694</v>
      </c>
      <c r="C246" s="451"/>
      <c r="D246" s="451">
        <f>3680-3680</f>
        <v>0</v>
      </c>
      <c r="E246" s="451">
        <f t="shared" si="14"/>
        <v>0</v>
      </c>
      <c r="F246" s="451"/>
      <c r="G246" s="451">
        <v>3680</v>
      </c>
      <c r="H246" s="451">
        <v>-3680</v>
      </c>
      <c r="I246" s="452" t="s">
        <v>540</v>
      </c>
      <c r="J246" s="452" t="s">
        <v>540</v>
      </c>
      <c r="K246" s="452"/>
    </row>
    <row r="247" spans="1:11" ht="32.25" thickBot="1" x14ac:dyDescent="0.3">
      <c r="A247" s="450"/>
      <c r="B247" s="434" t="s">
        <v>1301</v>
      </c>
      <c r="C247" s="451">
        <v>0</v>
      </c>
      <c r="D247" s="451">
        <f>1751834+900+5603+86334+419837+100000+66046+5000+29311+23655+500+77390+135000+500+42040+72931+117000+35000+58000+41150+483+99851-25400+525000+200000+1500000+100000+200000+500000+500000+120000-6000000+587500+14062+2210+10000+4000+50000-300000+100000-10900+121500+135000+48591-135000-48591-12451+51242+31034+141586+300000+114754+23000-18000+47396+20000-264898+605287+24300</f>
        <v>2429587</v>
      </c>
      <c r="E247" s="451">
        <f t="shared" si="14"/>
        <v>2429587</v>
      </c>
      <c r="F247" s="451"/>
      <c r="G247" s="451">
        <f>2500000-1500000+1751834+900+5603+86334+419837+100000+66046+5000+29311+23655+500+77390+135000+500+42040+72931+117000+35000+58000+41150+483+99851-25400+525000+200000+1500000+100000+200000-6000000+587500+14062+2210+10000+4000+50000-300000-10900+121500+135000+48591-18000+47396+20000-264898+605287+24300</f>
        <v>1744013</v>
      </c>
      <c r="H247" s="451">
        <f>-500000-500000+600000+500000+120000-135000-48591-12451+51242+31034+141586+300000+114754+23000</f>
        <v>685574</v>
      </c>
      <c r="I247" s="452" t="s">
        <v>540</v>
      </c>
      <c r="J247" s="452"/>
      <c r="K247" s="452"/>
    </row>
    <row r="248" spans="1:11" ht="16.5" thickBot="1" x14ac:dyDescent="0.3">
      <c r="A248" s="453"/>
      <c r="B248" s="447" t="s">
        <v>71</v>
      </c>
      <c r="C248" s="454">
        <f>SUM(C231:C233)</f>
        <v>51867821</v>
      </c>
      <c r="D248" s="454">
        <f>SUM(D231:D233)</f>
        <v>-1862741</v>
      </c>
      <c r="E248" s="454">
        <f t="shared" si="14"/>
        <v>50005080</v>
      </c>
      <c r="F248" s="454">
        <f>SUM(F231:F233)</f>
        <v>545366</v>
      </c>
      <c r="G248" s="454">
        <f>SUM(G231:G233)</f>
        <v>49554843</v>
      </c>
      <c r="H248" s="454">
        <f>SUM(H231:H233)</f>
        <v>-95129</v>
      </c>
      <c r="I248" s="455" t="s">
        <v>134</v>
      </c>
      <c r="J248" s="455" t="s">
        <v>134</v>
      </c>
      <c r="K248" s="455" t="s">
        <v>134</v>
      </c>
    </row>
    <row r="249" spans="1:11" x14ac:dyDescent="0.25">
      <c r="D249" s="746"/>
      <c r="H249" s="746"/>
    </row>
    <row r="251" spans="1:11" x14ac:dyDescent="0.25">
      <c r="E251" s="746"/>
      <c r="I251" s="557"/>
      <c r="J251" s="557"/>
      <c r="K251" s="557"/>
    </row>
    <row r="252" spans="1:11" x14ac:dyDescent="0.25">
      <c r="H252" s="746"/>
      <c r="I252" s="558"/>
    </row>
    <row r="255" spans="1:11" x14ac:dyDescent="0.25">
      <c r="D255" s="746"/>
      <c r="E255" s="746"/>
      <c r="G255" s="746"/>
      <c r="H255" s="746"/>
      <c r="I255" s="557"/>
      <c r="J255" s="557"/>
      <c r="K255" s="557"/>
    </row>
  </sheetData>
  <mergeCells count="1">
    <mergeCell ref="A1:K1"/>
  </mergeCells>
  <printOptions horizontalCentered="1"/>
  <pageMargins left="0.19685039370078741" right="0.27559055118110237" top="0.9055118110236221" bottom="0.62992125984251968" header="0.15748031496062992" footer="0.15748031496062992"/>
  <pageSetup paperSize="9" scale="50" orientation="portrait" r:id="rId1"/>
  <headerFooter alignWithMargins="0">
    <oddHeader>&amp;R&amp;"Times New Roman CE,Félkövér" 11.melléklet a 24/2020.(VI.3.) önkormányzati rendelethez
&amp;"Times New Roman CE,Dőlt" 11. melléklet
  az 5/2020.(II.17.) önkormányzati rendelethez</oddHeader>
  </headerFooter>
  <rowBreaks count="1" manualBreakCount="1">
    <brk id="72" max="10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D93"/>
  <sheetViews>
    <sheetView topLeftCell="A73" zoomScale="90" zoomScaleNormal="90" workbookViewId="0">
      <selection activeCell="F5" sqref="F5"/>
    </sheetView>
  </sheetViews>
  <sheetFormatPr defaultRowHeight="15.75" x14ac:dyDescent="0.25"/>
  <cols>
    <col min="1" max="1" width="72.875" style="372" customWidth="1"/>
    <col min="2" max="4" width="21" style="377" customWidth="1"/>
    <col min="5" max="248" width="9" style="372"/>
    <col min="249" max="249" width="56" style="372" bestFit="1" customWidth="1"/>
    <col min="250" max="250" width="25.5" style="372" customWidth="1"/>
    <col min="251" max="251" width="13.25" style="372" customWidth="1"/>
    <col min="252" max="252" width="49.75" style="372" customWidth="1"/>
    <col min="253" max="504" width="9" style="372"/>
    <col min="505" max="505" width="56" style="372" bestFit="1" customWidth="1"/>
    <col min="506" max="506" width="25.5" style="372" customWidth="1"/>
    <col min="507" max="507" width="13.25" style="372" customWidth="1"/>
    <col min="508" max="508" width="49.75" style="372" customWidth="1"/>
    <col min="509" max="760" width="9" style="372"/>
    <col min="761" max="761" width="56" style="372" bestFit="1" customWidth="1"/>
    <col min="762" max="762" width="25.5" style="372" customWidth="1"/>
    <col min="763" max="763" width="13.25" style="372" customWidth="1"/>
    <col min="764" max="764" width="49.75" style="372" customWidth="1"/>
    <col min="765" max="1016" width="9" style="372"/>
    <col min="1017" max="1017" width="56" style="372" bestFit="1" customWidth="1"/>
    <col min="1018" max="1018" width="25.5" style="372" customWidth="1"/>
    <col min="1019" max="1019" width="13.25" style="372" customWidth="1"/>
    <col min="1020" max="1020" width="49.75" style="372" customWidth="1"/>
    <col min="1021" max="1272" width="9" style="372"/>
    <col min="1273" max="1273" width="56" style="372" bestFit="1" customWidth="1"/>
    <col min="1274" max="1274" width="25.5" style="372" customWidth="1"/>
    <col min="1275" max="1275" width="13.25" style="372" customWidth="1"/>
    <col min="1276" max="1276" width="49.75" style="372" customWidth="1"/>
    <col min="1277" max="1528" width="9" style="372"/>
    <col min="1529" max="1529" width="56" style="372" bestFit="1" customWidth="1"/>
    <col min="1530" max="1530" width="25.5" style="372" customWidth="1"/>
    <col min="1531" max="1531" width="13.25" style="372" customWidth="1"/>
    <col min="1532" max="1532" width="49.75" style="372" customWidth="1"/>
    <col min="1533" max="1784" width="9" style="372"/>
    <col min="1785" max="1785" width="56" style="372" bestFit="1" customWidth="1"/>
    <col min="1786" max="1786" width="25.5" style="372" customWidth="1"/>
    <col min="1787" max="1787" width="13.25" style="372" customWidth="1"/>
    <col min="1788" max="1788" width="49.75" style="372" customWidth="1"/>
    <col min="1789" max="2040" width="9" style="372"/>
    <col min="2041" max="2041" width="56" style="372" bestFit="1" customWidth="1"/>
    <col min="2042" max="2042" width="25.5" style="372" customWidth="1"/>
    <col min="2043" max="2043" width="13.25" style="372" customWidth="1"/>
    <col min="2044" max="2044" width="49.75" style="372" customWidth="1"/>
    <col min="2045" max="2296" width="9" style="372"/>
    <col min="2297" max="2297" width="56" style="372" bestFit="1" customWidth="1"/>
    <col min="2298" max="2298" width="25.5" style="372" customWidth="1"/>
    <col min="2299" max="2299" width="13.25" style="372" customWidth="1"/>
    <col min="2300" max="2300" width="49.75" style="372" customWidth="1"/>
    <col min="2301" max="2552" width="9" style="372"/>
    <col min="2553" max="2553" width="56" style="372" bestFit="1" customWidth="1"/>
    <col min="2554" max="2554" width="25.5" style="372" customWidth="1"/>
    <col min="2555" max="2555" width="13.25" style="372" customWidth="1"/>
    <col min="2556" max="2556" width="49.75" style="372" customWidth="1"/>
    <col min="2557" max="2808" width="9" style="372"/>
    <col min="2809" max="2809" width="56" style="372" bestFit="1" customWidth="1"/>
    <col min="2810" max="2810" width="25.5" style="372" customWidth="1"/>
    <col min="2811" max="2811" width="13.25" style="372" customWidth="1"/>
    <col min="2812" max="2812" width="49.75" style="372" customWidth="1"/>
    <col min="2813" max="3064" width="9" style="372"/>
    <col min="3065" max="3065" width="56" style="372" bestFit="1" customWidth="1"/>
    <col min="3066" max="3066" width="25.5" style="372" customWidth="1"/>
    <col min="3067" max="3067" width="13.25" style="372" customWidth="1"/>
    <col min="3068" max="3068" width="49.75" style="372" customWidth="1"/>
    <col min="3069" max="3320" width="9" style="372"/>
    <col min="3321" max="3321" width="56" style="372" bestFit="1" customWidth="1"/>
    <col min="3322" max="3322" width="25.5" style="372" customWidth="1"/>
    <col min="3323" max="3323" width="13.25" style="372" customWidth="1"/>
    <col min="3324" max="3324" width="49.75" style="372" customWidth="1"/>
    <col min="3325" max="3576" width="9" style="372"/>
    <col min="3577" max="3577" width="56" style="372" bestFit="1" customWidth="1"/>
    <col min="3578" max="3578" width="25.5" style="372" customWidth="1"/>
    <col min="3579" max="3579" width="13.25" style="372" customWidth="1"/>
    <col min="3580" max="3580" width="49.75" style="372" customWidth="1"/>
    <col min="3581" max="3832" width="9" style="372"/>
    <col min="3833" max="3833" width="56" style="372" bestFit="1" customWidth="1"/>
    <col min="3834" max="3834" width="25.5" style="372" customWidth="1"/>
    <col min="3835" max="3835" width="13.25" style="372" customWidth="1"/>
    <col min="3836" max="3836" width="49.75" style="372" customWidth="1"/>
    <col min="3837" max="4088" width="9" style="372"/>
    <col min="4089" max="4089" width="56" style="372" bestFit="1" customWidth="1"/>
    <col min="4090" max="4090" width="25.5" style="372" customWidth="1"/>
    <col min="4091" max="4091" width="13.25" style="372" customWidth="1"/>
    <col min="4092" max="4092" width="49.75" style="372" customWidth="1"/>
    <col min="4093" max="4344" width="9" style="372"/>
    <col min="4345" max="4345" width="56" style="372" bestFit="1" customWidth="1"/>
    <col min="4346" max="4346" width="25.5" style="372" customWidth="1"/>
    <col min="4347" max="4347" width="13.25" style="372" customWidth="1"/>
    <col min="4348" max="4348" width="49.75" style="372" customWidth="1"/>
    <col min="4349" max="4600" width="9" style="372"/>
    <col min="4601" max="4601" width="56" style="372" bestFit="1" customWidth="1"/>
    <col min="4602" max="4602" width="25.5" style="372" customWidth="1"/>
    <col min="4603" max="4603" width="13.25" style="372" customWidth="1"/>
    <col min="4604" max="4604" width="49.75" style="372" customWidth="1"/>
    <col min="4605" max="4856" width="9" style="372"/>
    <col min="4857" max="4857" width="56" style="372" bestFit="1" customWidth="1"/>
    <col min="4858" max="4858" width="25.5" style="372" customWidth="1"/>
    <col min="4859" max="4859" width="13.25" style="372" customWidth="1"/>
    <col min="4860" max="4860" width="49.75" style="372" customWidth="1"/>
    <col min="4861" max="5112" width="9" style="372"/>
    <col min="5113" max="5113" width="56" style="372" bestFit="1" customWidth="1"/>
    <col min="5114" max="5114" width="25.5" style="372" customWidth="1"/>
    <col min="5115" max="5115" width="13.25" style="372" customWidth="1"/>
    <col min="5116" max="5116" width="49.75" style="372" customWidth="1"/>
    <col min="5117" max="5368" width="9" style="372"/>
    <col min="5369" max="5369" width="56" style="372" bestFit="1" customWidth="1"/>
    <col min="5370" max="5370" width="25.5" style="372" customWidth="1"/>
    <col min="5371" max="5371" width="13.25" style="372" customWidth="1"/>
    <col min="5372" max="5372" width="49.75" style="372" customWidth="1"/>
    <col min="5373" max="5624" width="9" style="372"/>
    <col min="5625" max="5625" width="56" style="372" bestFit="1" customWidth="1"/>
    <col min="5626" max="5626" width="25.5" style="372" customWidth="1"/>
    <col min="5627" max="5627" width="13.25" style="372" customWidth="1"/>
    <col min="5628" max="5628" width="49.75" style="372" customWidth="1"/>
    <col min="5629" max="5880" width="9" style="372"/>
    <col min="5881" max="5881" width="56" style="372" bestFit="1" customWidth="1"/>
    <col min="5882" max="5882" width="25.5" style="372" customWidth="1"/>
    <col min="5883" max="5883" width="13.25" style="372" customWidth="1"/>
    <col min="5884" max="5884" width="49.75" style="372" customWidth="1"/>
    <col min="5885" max="6136" width="9" style="372"/>
    <col min="6137" max="6137" width="56" style="372" bestFit="1" customWidth="1"/>
    <col min="6138" max="6138" width="25.5" style="372" customWidth="1"/>
    <col min="6139" max="6139" width="13.25" style="372" customWidth="1"/>
    <col min="6140" max="6140" width="49.75" style="372" customWidth="1"/>
    <col min="6141" max="6392" width="9" style="372"/>
    <col min="6393" max="6393" width="56" style="372" bestFit="1" customWidth="1"/>
    <col min="6394" max="6394" width="25.5" style="372" customWidth="1"/>
    <col min="6395" max="6395" width="13.25" style="372" customWidth="1"/>
    <col min="6396" max="6396" width="49.75" style="372" customWidth="1"/>
    <col min="6397" max="6648" width="9" style="372"/>
    <col min="6649" max="6649" width="56" style="372" bestFit="1" customWidth="1"/>
    <col min="6650" max="6650" width="25.5" style="372" customWidth="1"/>
    <col min="6651" max="6651" width="13.25" style="372" customWidth="1"/>
    <col min="6652" max="6652" width="49.75" style="372" customWidth="1"/>
    <col min="6653" max="6904" width="9" style="372"/>
    <col min="6905" max="6905" width="56" style="372" bestFit="1" customWidth="1"/>
    <col min="6906" max="6906" width="25.5" style="372" customWidth="1"/>
    <col min="6907" max="6907" width="13.25" style="372" customWidth="1"/>
    <col min="6908" max="6908" width="49.75" style="372" customWidth="1"/>
    <col min="6909" max="7160" width="9" style="372"/>
    <col min="7161" max="7161" width="56" style="372" bestFit="1" customWidth="1"/>
    <col min="7162" max="7162" width="25.5" style="372" customWidth="1"/>
    <col min="7163" max="7163" width="13.25" style="372" customWidth="1"/>
    <col min="7164" max="7164" width="49.75" style="372" customWidth="1"/>
    <col min="7165" max="7416" width="9" style="372"/>
    <col min="7417" max="7417" width="56" style="372" bestFit="1" customWidth="1"/>
    <col min="7418" max="7418" width="25.5" style="372" customWidth="1"/>
    <col min="7419" max="7419" width="13.25" style="372" customWidth="1"/>
    <col min="7420" max="7420" width="49.75" style="372" customWidth="1"/>
    <col min="7421" max="7672" width="9" style="372"/>
    <col min="7673" max="7673" width="56" style="372" bestFit="1" customWidth="1"/>
    <col min="7674" max="7674" width="25.5" style="372" customWidth="1"/>
    <col min="7675" max="7675" width="13.25" style="372" customWidth="1"/>
    <col min="7676" max="7676" width="49.75" style="372" customWidth="1"/>
    <col min="7677" max="7928" width="9" style="372"/>
    <col min="7929" max="7929" width="56" style="372" bestFit="1" customWidth="1"/>
    <col min="7930" max="7930" width="25.5" style="372" customWidth="1"/>
    <col min="7931" max="7931" width="13.25" style="372" customWidth="1"/>
    <col min="7932" max="7932" width="49.75" style="372" customWidth="1"/>
    <col min="7933" max="8184" width="9" style="372"/>
    <col min="8185" max="8185" width="56" style="372" bestFit="1" customWidth="1"/>
    <col min="8186" max="8186" width="25.5" style="372" customWidth="1"/>
    <col min="8187" max="8187" width="13.25" style="372" customWidth="1"/>
    <col min="8188" max="8188" width="49.75" style="372" customWidth="1"/>
    <col min="8189" max="8440" width="9" style="372"/>
    <col min="8441" max="8441" width="56" style="372" bestFit="1" customWidth="1"/>
    <col min="8442" max="8442" width="25.5" style="372" customWidth="1"/>
    <col min="8443" max="8443" width="13.25" style="372" customWidth="1"/>
    <col min="8444" max="8444" width="49.75" style="372" customWidth="1"/>
    <col min="8445" max="8696" width="9" style="372"/>
    <col min="8697" max="8697" width="56" style="372" bestFit="1" customWidth="1"/>
    <col min="8698" max="8698" width="25.5" style="372" customWidth="1"/>
    <col min="8699" max="8699" width="13.25" style="372" customWidth="1"/>
    <col min="8700" max="8700" width="49.75" style="372" customWidth="1"/>
    <col min="8701" max="8952" width="9" style="372"/>
    <col min="8953" max="8953" width="56" style="372" bestFit="1" customWidth="1"/>
    <col min="8954" max="8954" width="25.5" style="372" customWidth="1"/>
    <col min="8955" max="8955" width="13.25" style="372" customWidth="1"/>
    <col min="8956" max="8956" width="49.75" style="372" customWidth="1"/>
    <col min="8957" max="9208" width="9" style="372"/>
    <col min="9209" max="9209" width="56" style="372" bestFit="1" customWidth="1"/>
    <col min="9210" max="9210" width="25.5" style="372" customWidth="1"/>
    <col min="9211" max="9211" width="13.25" style="372" customWidth="1"/>
    <col min="9212" max="9212" width="49.75" style="372" customWidth="1"/>
    <col min="9213" max="9464" width="9" style="372"/>
    <col min="9465" max="9465" width="56" style="372" bestFit="1" customWidth="1"/>
    <col min="9466" max="9466" width="25.5" style="372" customWidth="1"/>
    <col min="9467" max="9467" width="13.25" style="372" customWidth="1"/>
    <col min="9468" max="9468" width="49.75" style="372" customWidth="1"/>
    <col min="9469" max="9720" width="9" style="372"/>
    <col min="9721" max="9721" width="56" style="372" bestFit="1" customWidth="1"/>
    <col min="9722" max="9722" width="25.5" style="372" customWidth="1"/>
    <col min="9723" max="9723" width="13.25" style="372" customWidth="1"/>
    <col min="9724" max="9724" width="49.75" style="372" customWidth="1"/>
    <col min="9725" max="9976" width="9" style="372"/>
    <col min="9977" max="9977" width="56" style="372" bestFit="1" customWidth="1"/>
    <col min="9978" max="9978" width="25.5" style="372" customWidth="1"/>
    <col min="9979" max="9979" width="13.25" style="372" customWidth="1"/>
    <col min="9980" max="9980" width="49.75" style="372" customWidth="1"/>
    <col min="9981" max="10232" width="9" style="372"/>
    <col min="10233" max="10233" width="56" style="372" bestFit="1" customWidth="1"/>
    <col min="10234" max="10234" width="25.5" style="372" customWidth="1"/>
    <col min="10235" max="10235" width="13.25" style="372" customWidth="1"/>
    <col min="10236" max="10236" width="49.75" style="372" customWidth="1"/>
    <col min="10237" max="10488" width="9" style="372"/>
    <col min="10489" max="10489" width="56" style="372" bestFit="1" customWidth="1"/>
    <col min="10490" max="10490" width="25.5" style="372" customWidth="1"/>
    <col min="10491" max="10491" width="13.25" style="372" customWidth="1"/>
    <col min="10492" max="10492" width="49.75" style="372" customWidth="1"/>
    <col min="10493" max="10744" width="9" style="372"/>
    <col min="10745" max="10745" width="56" style="372" bestFit="1" customWidth="1"/>
    <col min="10746" max="10746" width="25.5" style="372" customWidth="1"/>
    <col min="10747" max="10747" width="13.25" style="372" customWidth="1"/>
    <col min="10748" max="10748" width="49.75" style="372" customWidth="1"/>
    <col min="10749" max="11000" width="9" style="372"/>
    <col min="11001" max="11001" width="56" style="372" bestFit="1" customWidth="1"/>
    <col min="11002" max="11002" width="25.5" style="372" customWidth="1"/>
    <col min="11003" max="11003" width="13.25" style="372" customWidth="1"/>
    <col min="11004" max="11004" width="49.75" style="372" customWidth="1"/>
    <col min="11005" max="11256" width="9" style="372"/>
    <col min="11257" max="11257" width="56" style="372" bestFit="1" customWidth="1"/>
    <col min="11258" max="11258" width="25.5" style="372" customWidth="1"/>
    <col min="11259" max="11259" width="13.25" style="372" customWidth="1"/>
    <col min="11260" max="11260" width="49.75" style="372" customWidth="1"/>
    <col min="11261" max="11512" width="9" style="372"/>
    <col min="11513" max="11513" width="56" style="372" bestFit="1" customWidth="1"/>
    <col min="11514" max="11514" width="25.5" style="372" customWidth="1"/>
    <col min="11515" max="11515" width="13.25" style="372" customWidth="1"/>
    <col min="11516" max="11516" width="49.75" style="372" customWidth="1"/>
    <col min="11517" max="11768" width="9" style="372"/>
    <col min="11769" max="11769" width="56" style="372" bestFit="1" customWidth="1"/>
    <col min="11770" max="11770" width="25.5" style="372" customWidth="1"/>
    <col min="11771" max="11771" width="13.25" style="372" customWidth="1"/>
    <col min="11772" max="11772" width="49.75" style="372" customWidth="1"/>
    <col min="11773" max="12024" width="9" style="372"/>
    <col min="12025" max="12025" width="56" style="372" bestFit="1" customWidth="1"/>
    <col min="12026" max="12026" width="25.5" style="372" customWidth="1"/>
    <col min="12027" max="12027" width="13.25" style="372" customWidth="1"/>
    <col min="12028" max="12028" width="49.75" style="372" customWidth="1"/>
    <col min="12029" max="12280" width="9" style="372"/>
    <col min="12281" max="12281" width="56" style="372" bestFit="1" customWidth="1"/>
    <col min="12282" max="12282" width="25.5" style="372" customWidth="1"/>
    <col min="12283" max="12283" width="13.25" style="372" customWidth="1"/>
    <col min="12284" max="12284" width="49.75" style="372" customWidth="1"/>
    <col min="12285" max="12536" width="9" style="372"/>
    <col min="12537" max="12537" width="56" style="372" bestFit="1" customWidth="1"/>
    <col min="12538" max="12538" width="25.5" style="372" customWidth="1"/>
    <col min="12539" max="12539" width="13.25" style="372" customWidth="1"/>
    <col min="12540" max="12540" width="49.75" style="372" customWidth="1"/>
    <col min="12541" max="12792" width="9" style="372"/>
    <col min="12793" max="12793" width="56" style="372" bestFit="1" customWidth="1"/>
    <col min="12794" max="12794" width="25.5" style="372" customWidth="1"/>
    <col min="12795" max="12795" width="13.25" style="372" customWidth="1"/>
    <col min="12796" max="12796" width="49.75" style="372" customWidth="1"/>
    <col min="12797" max="13048" width="9" style="372"/>
    <col min="13049" max="13049" width="56" style="372" bestFit="1" customWidth="1"/>
    <col min="13050" max="13050" width="25.5" style="372" customWidth="1"/>
    <col min="13051" max="13051" width="13.25" style="372" customWidth="1"/>
    <col min="13052" max="13052" width="49.75" style="372" customWidth="1"/>
    <col min="13053" max="13304" width="9" style="372"/>
    <col min="13305" max="13305" width="56" style="372" bestFit="1" customWidth="1"/>
    <col min="13306" max="13306" width="25.5" style="372" customWidth="1"/>
    <col min="13307" max="13307" width="13.25" style="372" customWidth="1"/>
    <col min="13308" max="13308" width="49.75" style="372" customWidth="1"/>
    <col min="13309" max="13560" width="9" style="372"/>
    <col min="13561" max="13561" width="56" style="372" bestFit="1" customWidth="1"/>
    <col min="13562" max="13562" width="25.5" style="372" customWidth="1"/>
    <col min="13563" max="13563" width="13.25" style="372" customWidth="1"/>
    <col min="13564" max="13564" width="49.75" style="372" customWidth="1"/>
    <col min="13565" max="13816" width="9" style="372"/>
    <col min="13817" max="13817" width="56" style="372" bestFit="1" customWidth="1"/>
    <col min="13818" max="13818" width="25.5" style="372" customWidth="1"/>
    <col min="13819" max="13819" width="13.25" style="372" customWidth="1"/>
    <col min="13820" max="13820" width="49.75" style="372" customWidth="1"/>
    <col min="13821" max="14072" width="9" style="372"/>
    <col min="14073" max="14073" width="56" style="372" bestFit="1" customWidth="1"/>
    <col min="14074" max="14074" width="25.5" style="372" customWidth="1"/>
    <col min="14075" max="14075" width="13.25" style="372" customWidth="1"/>
    <col min="14076" max="14076" width="49.75" style="372" customWidth="1"/>
    <col min="14077" max="14328" width="9" style="372"/>
    <col min="14329" max="14329" width="56" style="372" bestFit="1" customWidth="1"/>
    <col min="14330" max="14330" width="25.5" style="372" customWidth="1"/>
    <col min="14331" max="14331" width="13.25" style="372" customWidth="1"/>
    <col min="14332" max="14332" width="49.75" style="372" customWidth="1"/>
    <col min="14333" max="14584" width="9" style="372"/>
    <col min="14585" max="14585" width="56" style="372" bestFit="1" customWidth="1"/>
    <col min="14586" max="14586" width="25.5" style="372" customWidth="1"/>
    <col min="14587" max="14587" width="13.25" style="372" customWidth="1"/>
    <col min="14588" max="14588" width="49.75" style="372" customWidth="1"/>
    <col min="14589" max="14840" width="9" style="372"/>
    <col min="14841" max="14841" width="56" style="372" bestFit="1" customWidth="1"/>
    <col min="14842" max="14842" width="25.5" style="372" customWidth="1"/>
    <col min="14843" max="14843" width="13.25" style="372" customWidth="1"/>
    <col min="14844" max="14844" width="49.75" style="372" customWidth="1"/>
    <col min="14845" max="15096" width="9" style="372"/>
    <col min="15097" max="15097" width="56" style="372" bestFit="1" customWidth="1"/>
    <col min="15098" max="15098" width="25.5" style="372" customWidth="1"/>
    <col min="15099" max="15099" width="13.25" style="372" customWidth="1"/>
    <col min="15100" max="15100" width="49.75" style="372" customWidth="1"/>
    <col min="15101" max="15352" width="9" style="372"/>
    <col min="15353" max="15353" width="56" style="372" bestFit="1" customWidth="1"/>
    <col min="15354" max="15354" width="25.5" style="372" customWidth="1"/>
    <col min="15355" max="15355" width="13.25" style="372" customWidth="1"/>
    <col min="15356" max="15356" width="49.75" style="372" customWidth="1"/>
    <col min="15357" max="15608" width="9" style="372"/>
    <col min="15609" max="15609" width="56" style="372" bestFit="1" customWidth="1"/>
    <col min="15610" max="15610" width="25.5" style="372" customWidth="1"/>
    <col min="15611" max="15611" width="13.25" style="372" customWidth="1"/>
    <col min="15612" max="15612" width="49.75" style="372" customWidth="1"/>
    <col min="15613" max="15864" width="9" style="372"/>
    <col min="15865" max="15865" width="56" style="372" bestFit="1" customWidth="1"/>
    <col min="15866" max="15866" width="25.5" style="372" customWidth="1"/>
    <col min="15867" max="15867" width="13.25" style="372" customWidth="1"/>
    <col min="15868" max="15868" width="49.75" style="372" customWidth="1"/>
    <col min="15869" max="16120" width="9" style="372"/>
    <col min="16121" max="16121" width="56" style="372" bestFit="1" customWidth="1"/>
    <col min="16122" max="16122" width="25.5" style="372" customWidth="1"/>
    <col min="16123" max="16123" width="13.25" style="372" customWidth="1"/>
    <col min="16124" max="16124" width="49.75" style="372" customWidth="1"/>
    <col min="16125" max="16384" width="9" style="372"/>
  </cols>
  <sheetData>
    <row r="1" spans="1:4" ht="33" customHeight="1" x14ac:dyDescent="0.25">
      <c r="A1" s="918" t="s">
        <v>726</v>
      </c>
      <c r="B1" s="918"/>
      <c r="C1" s="919"/>
      <c r="D1" s="919"/>
    </row>
    <row r="2" spans="1:4" ht="16.5" thickBot="1" x14ac:dyDescent="0.3"/>
    <row r="3" spans="1:4" s="388" customFormat="1" ht="62.25" customHeight="1" thickTop="1" thickBot="1" x14ac:dyDescent="0.3">
      <c r="A3" s="386" t="s">
        <v>329</v>
      </c>
      <c r="B3" s="747" t="s">
        <v>349</v>
      </c>
      <c r="C3" s="387" t="s">
        <v>350</v>
      </c>
      <c r="D3" s="550" t="s">
        <v>864</v>
      </c>
    </row>
    <row r="4" spans="1:4" s="369" customFormat="1" x14ac:dyDescent="0.25">
      <c r="A4" s="748" t="s">
        <v>727</v>
      </c>
      <c r="B4" s="389">
        <f>380205-50000-20000-79680-30000</f>
        <v>200525</v>
      </c>
      <c r="C4" s="389">
        <f>4+784</f>
        <v>788</v>
      </c>
      <c r="D4" s="389">
        <f>C4+B4</f>
        <v>201313</v>
      </c>
    </row>
    <row r="5" spans="1:4" s="369" customFormat="1" x14ac:dyDescent="0.25">
      <c r="A5" s="390"/>
      <c r="B5" s="391"/>
      <c r="C5" s="391"/>
      <c r="D5" s="389"/>
    </row>
    <row r="6" spans="1:4" x14ac:dyDescent="0.25">
      <c r="A6" s="370" t="s">
        <v>728</v>
      </c>
      <c r="B6" s="365">
        <f>907203-100000-140000-80000</f>
        <v>587203</v>
      </c>
      <c r="C6" s="365"/>
      <c r="D6" s="389">
        <f t="shared" ref="D6:D68" si="0">C6+B6</f>
        <v>587203</v>
      </c>
    </row>
    <row r="7" spans="1:4" x14ac:dyDescent="0.25">
      <c r="A7" s="392"/>
      <c r="B7" s="393"/>
      <c r="C7" s="393"/>
      <c r="D7" s="389"/>
    </row>
    <row r="8" spans="1:4" x14ac:dyDescent="0.25">
      <c r="A8" s="370" t="s">
        <v>729</v>
      </c>
      <c r="B8" s="365">
        <f>82013-18990-20011</f>
        <v>43012</v>
      </c>
      <c r="C8" s="365"/>
      <c r="D8" s="389">
        <f t="shared" si="0"/>
        <v>43012</v>
      </c>
    </row>
    <row r="9" spans="1:4" x14ac:dyDescent="0.25">
      <c r="A9" s="373"/>
      <c r="B9" s="366"/>
      <c r="C9" s="366"/>
      <c r="D9" s="389"/>
    </row>
    <row r="10" spans="1:4" x14ac:dyDescent="0.25">
      <c r="A10" s="370" t="s">
        <v>730</v>
      </c>
      <c r="B10" s="365">
        <f>327302-35560-4445-4445-17500</f>
        <v>265352</v>
      </c>
      <c r="C10" s="365">
        <f>-47450-100000</f>
        <v>-147450</v>
      </c>
      <c r="D10" s="389">
        <f t="shared" si="0"/>
        <v>117902</v>
      </c>
    </row>
    <row r="11" spans="1:4" x14ac:dyDescent="0.25">
      <c r="A11" s="370"/>
      <c r="B11" s="365"/>
      <c r="C11" s="365"/>
      <c r="D11" s="389"/>
    </row>
    <row r="12" spans="1:4" x14ac:dyDescent="0.25">
      <c r="A12" s="370" t="s">
        <v>731</v>
      </c>
      <c r="B12" s="365">
        <f>SUM(B13:B18)</f>
        <v>376626</v>
      </c>
      <c r="C12" s="365">
        <f>SUM(C13:C18)</f>
        <v>0</v>
      </c>
      <c r="D12" s="389">
        <f t="shared" si="0"/>
        <v>376626</v>
      </c>
    </row>
    <row r="13" spans="1:4" x14ac:dyDescent="0.25">
      <c r="A13" s="373" t="s">
        <v>176</v>
      </c>
      <c r="B13" s="393">
        <v>32152</v>
      </c>
      <c r="C13" s="393"/>
      <c r="D13" s="394">
        <f t="shared" si="0"/>
        <v>32152</v>
      </c>
    </row>
    <row r="14" spans="1:4" x14ac:dyDescent="0.25">
      <c r="A14" s="373" t="s">
        <v>177</v>
      </c>
      <c r="B14" s="393">
        <v>38535</v>
      </c>
      <c r="C14" s="393"/>
      <c r="D14" s="394">
        <f t="shared" si="0"/>
        <v>38535</v>
      </c>
    </row>
    <row r="15" spans="1:4" x14ac:dyDescent="0.25">
      <c r="A15" s="373" t="s">
        <v>566</v>
      </c>
      <c r="B15" s="393">
        <v>63851</v>
      </c>
      <c r="C15" s="393"/>
      <c r="D15" s="394">
        <f t="shared" si="0"/>
        <v>63851</v>
      </c>
    </row>
    <row r="16" spans="1:4" x14ac:dyDescent="0.25">
      <c r="A16" s="373" t="s">
        <v>226</v>
      </c>
      <c r="B16" s="393">
        <v>36633</v>
      </c>
      <c r="C16" s="393"/>
      <c r="D16" s="394">
        <f t="shared" si="0"/>
        <v>36633</v>
      </c>
    </row>
    <row r="17" spans="1:4" x14ac:dyDescent="0.25">
      <c r="A17" s="373" t="s">
        <v>732</v>
      </c>
      <c r="B17" s="393">
        <v>150238</v>
      </c>
      <c r="C17" s="393"/>
      <c r="D17" s="394">
        <f t="shared" si="0"/>
        <v>150238</v>
      </c>
    </row>
    <row r="18" spans="1:4" x14ac:dyDescent="0.25">
      <c r="A18" s="373" t="s">
        <v>678</v>
      </c>
      <c r="B18" s="393">
        <f>148017-92800</f>
        <v>55217</v>
      </c>
      <c r="C18" s="393"/>
      <c r="D18" s="394">
        <f t="shared" si="0"/>
        <v>55217</v>
      </c>
    </row>
    <row r="19" spans="1:4" x14ac:dyDescent="0.25">
      <c r="A19" s="373"/>
      <c r="B19" s="366"/>
      <c r="C19" s="366"/>
      <c r="D19" s="389"/>
    </row>
    <row r="20" spans="1:4" x14ac:dyDescent="0.25">
      <c r="A20" s="370" t="s">
        <v>733</v>
      </c>
      <c r="B20" s="365">
        <f>+B21+B22</f>
        <v>25364</v>
      </c>
      <c r="C20" s="365">
        <f>+C21+C22</f>
        <v>-13157</v>
      </c>
      <c r="D20" s="389">
        <f t="shared" si="0"/>
        <v>12207</v>
      </c>
    </row>
    <row r="21" spans="1:4" x14ac:dyDescent="0.25">
      <c r="A21" s="373" t="s">
        <v>334</v>
      </c>
      <c r="B21" s="366">
        <v>5364</v>
      </c>
      <c r="C21" s="366"/>
      <c r="D21" s="394">
        <f t="shared" si="0"/>
        <v>5364</v>
      </c>
    </row>
    <row r="22" spans="1:4" ht="31.5" x14ac:dyDescent="0.25">
      <c r="A22" s="373" t="s">
        <v>838</v>
      </c>
      <c r="B22" s="366">
        <v>20000</v>
      </c>
      <c r="C22" s="366">
        <v>-13157</v>
      </c>
      <c r="D22" s="394">
        <f t="shared" si="0"/>
        <v>6843</v>
      </c>
    </row>
    <row r="23" spans="1:4" x14ac:dyDescent="0.25">
      <c r="A23" s="370"/>
      <c r="B23" s="391"/>
      <c r="C23" s="391"/>
      <c r="D23" s="389">
        <f t="shared" si="0"/>
        <v>0</v>
      </c>
    </row>
    <row r="24" spans="1:4" x14ac:dyDescent="0.25">
      <c r="A24" s="370" t="s">
        <v>734</v>
      </c>
      <c r="B24" s="391">
        <f t="shared" ref="B24:C24" si="1">SUM(B25:B32)</f>
        <v>125652</v>
      </c>
      <c r="C24" s="391">
        <f t="shared" si="1"/>
        <v>0</v>
      </c>
      <c r="D24" s="389">
        <f t="shared" si="0"/>
        <v>125652</v>
      </c>
    </row>
    <row r="25" spans="1:4" x14ac:dyDescent="0.25">
      <c r="A25" s="395" t="s">
        <v>735</v>
      </c>
      <c r="B25" s="391"/>
      <c r="C25" s="391"/>
      <c r="D25" s="389"/>
    </row>
    <row r="26" spans="1:4" x14ac:dyDescent="0.25">
      <c r="A26" s="373" t="s">
        <v>565</v>
      </c>
      <c r="B26" s="393">
        <v>22225</v>
      </c>
      <c r="C26" s="393"/>
      <c r="D26" s="394">
        <f t="shared" si="0"/>
        <v>22225</v>
      </c>
    </row>
    <row r="27" spans="1:4" x14ac:dyDescent="0.25">
      <c r="A27" s="373" t="s">
        <v>568</v>
      </c>
      <c r="B27" s="393">
        <v>20857</v>
      </c>
      <c r="C27" s="393"/>
      <c r="D27" s="394">
        <f t="shared" si="0"/>
        <v>20857</v>
      </c>
    </row>
    <row r="28" spans="1:4" x14ac:dyDescent="0.25">
      <c r="A28" s="373" t="s">
        <v>736</v>
      </c>
      <c r="B28" s="393">
        <v>186</v>
      </c>
      <c r="C28" s="393"/>
      <c r="D28" s="394">
        <f t="shared" si="0"/>
        <v>186</v>
      </c>
    </row>
    <row r="29" spans="1:4" x14ac:dyDescent="0.25">
      <c r="A29" s="395" t="s">
        <v>737</v>
      </c>
      <c r="B29" s="393"/>
      <c r="C29" s="393"/>
      <c r="D29" s="394"/>
    </row>
    <row r="30" spans="1:4" x14ac:dyDescent="0.25">
      <c r="A30" s="373" t="s">
        <v>175</v>
      </c>
      <c r="B30" s="393">
        <v>3315</v>
      </c>
      <c r="C30" s="393"/>
      <c r="D30" s="394">
        <f t="shared" si="0"/>
        <v>3315</v>
      </c>
    </row>
    <row r="31" spans="1:4" ht="31.5" x14ac:dyDescent="0.25">
      <c r="A31" s="373" t="s">
        <v>738</v>
      </c>
      <c r="B31" s="393">
        <v>4500</v>
      </c>
      <c r="C31" s="393"/>
      <c r="D31" s="394">
        <f t="shared" si="0"/>
        <v>4500</v>
      </c>
    </row>
    <row r="32" spans="1:4" x14ac:dyDescent="0.25">
      <c r="A32" s="373" t="s">
        <v>330</v>
      </c>
      <c r="B32" s="393">
        <v>74569</v>
      </c>
      <c r="C32" s="393"/>
      <c r="D32" s="394">
        <f t="shared" si="0"/>
        <v>74569</v>
      </c>
    </row>
    <row r="33" spans="1:4" x14ac:dyDescent="0.25">
      <c r="A33" s="370"/>
      <c r="B33" s="393"/>
      <c r="C33" s="393"/>
      <c r="D33" s="389"/>
    </row>
    <row r="34" spans="1:4" x14ac:dyDescent="0.25">
      <c r="A34" s="370" t="s">
        <v>739</v>
      </c>
      <c r="B34" s="391">
        <f>SUM(B35:B56)</f>
        <v>1284487</v>
      </c>
      <c r="C34" s="391">
        <f>SUM(C35:C56)</f>
        <v>-657930</v>
      </c>
      <c r="D34" s="389">
        <f t="shared" si="0"/>
        <v>626557</v>
      </c>
    </row>
    <row r="35" spans="1:4" x14ac:dyDescent="0.25">
      <c r="A35" s="373" t="s">
        <v>740</v>
      </c>
      <c r="B35" s="393">
        <v>20725</v>
      </c>
      <c r="C35" s="393">
        <v>-20725</v>
      </c>
      <c r="D35" s="394">
        <f t="shared" si="0"/>
        <v>0</v>
      </c>
    </row>
    <row r="36" spans="1:4" x14ac:dyDescent="0.25">
      <c r="A36" s="373" t="s">
        <v>741</v>
      </c>
      <c r="B36" s="393">
        <v>2540</v>
      </c>
      <c r="C36" s="393"/>
      <c r="D36" s="394">
        <f t="shared" si="0"/>
        <v>2540</v>
      </c>
    </row>
    <row r="37" spans="1:4" x14ac:dyDescent="0.25">
      <c r="A37" s="373" t="s">
        <v>742</v>
      </c>
      <c r="B37" s="393">
        <v>699</v>
      </c>
      <c r="C37" s="393"/>
      <c r="D37" s="394">
        <f t="shared" si="0"/>
        <v>699</v>
      </c>
    </row>
    <row r="38" spans="1:4" ht="31.5" x14ac:dyDescent="0.25">
      <c r="A38" s="373" t="s">
        <v>743</v>
      </c>
      <c r="B38" s="393">
        <v>1029</v>
      </c>
      <c r="C38" s="393"/>
      <c r="D38" s="394">
        <f t="shared" si="0"/>
        <v>1029</v>
      </c>
    </row>
    <row r="39" spans="1:4" ht="31.5" x14ac:dyDescent="0.25">
      <c r="A39" s="373" t="s">
        <v>744</v>
      </c>
      <c r="B39" s="393">
        <v>12700</v>
      </c>
      <c r="C39" s="393"/>
      <c r="D39" s="394">
        <f t="shared" si="0"/>
        <v>12700</v>
      </c>
    </row>
    <row r="40" spans="1:4" x14ac:dyDescent="0.25">
      <c r="A40" s="373" t="s">
        <v>333</v>
      </c>
      <c r="B40" s="393">
        <v>65</v>
      </c>
      <c r="C40" s="393"/>
      <c r="D40" s="394">
        <f t="shared" si="0"/>
        <v>65</v>
      </c>
    </row>
    <row r="41" spans="1:4" x14ac:dyDescent="0.25">
      <c r="A41" s="373" t="s">
        <v>331</v>
      </c>
      <c r="B41" s="393">
        <v>20619</v>
      </c>
      <c r="C41" s="393"/>
      <c r="D41" s="394">
        <f t="shared" si="0"/>
        <v>20619</v>
      </c>
    </row>
    <row r="42" spans="1:4" x14ac:dyDescent="0.25">
      <c r="A42" s="373" t="s">
        <v>178</v>
      </c>
      <c r="B42" s="393">
        <v>35000</v>
      </c>
      <c r="C42" s="393"/>
      <c r="D42" s="394">
        <f t="shared" si="0"/>
        <v>35000</v>
      </c>
    </row>
    <row r="43" spans="1:4" x14ac:dyDescent="0.25">
      <c r="A43" s="373" t="s">
        <v>332</v>
      </c>
      <c r="B43" s="393">
        <v>10000</v>
      </c>
      <c r="C43" s="393"/>
      <c r="D43" s="394">
        <f t="shared" si="0"/>
        <v>10000</v>
      </c>
    </row>
    <row r="44" spans="1:4" ht="31.5" x14ac:dyDescent="0.25">
      <c r="A44" s="373" t="s">
        <v>862</v>
      </c>
      <c r="B44" s="393">
        <v>979317</v>
      </c>
      <c r="C44" s="393">
        <v>-605287</v>
      </c>
      <c r="D44" s="394">
        <f t="shared" si="0"/>
        <v>374030</v>
      </c>
    </row>
    <row r="45" spans="1:4" x14ac:dyDescent="0.25">
      <c r="A45" s="373" t="s">
        <v>491</v>
      </c>
      <c r="B45" s="393">
        <v>40000</v>
      </c>
      <c r="C45" s="393"/>
      <c r="D45" s="394">
        <f t="shared" si="0"/>
        <v>40000</v>
      </c>
    </row>
    <row r="46" spans="1:4" x14ac:dyDescent="0.25">
      <c r="A46" s="373" t="s">
        <v>569</v>
      </c>
      <c r="B46" s="393">
        <v>5398</v>
      </c>
      <c r="C46" s="393">
        <v>-5398</v>
      </c>
      <c r="D46" s="394">
        <f t="shared" si="0"/>
        <v>0</v>
      </c>
    </row>
    <row r="47" spans="1:4" ht="31.5" x14ac:dyDescent="0.25">
      <c r="A47" s="373" t="s">
        <v>585</v>
      </c>
      <c r="B47" s="393">
        <v>20000</v>
      </c>
      <c r="C47" s="393">
        <v>0</v>
      </c>
      <c r="D47" s="394">
        <f t="shared" si="0"/>
        <v>20000</v>
      </c>
    </row>
    <row r="48" spans="1:4" x14ac:dyDescent="0.25">
      <c r="A48" s="373" t="s">
        <v>651</v>
      </c>
      <c r="B48" s="393">
        <v>793</v>
      </c>
      <c r="C48" s="393"/>
      <c r="D48" s="394">
        <f t="shared" si="0"/>
        <v>793</v>
      </c>
    </row>
    <row r="49" spans="1:4" x14ac:dyDescent="0.25">
      <c r="A49" s="373" t="s">
        <v>745</v>
      </c>
      <c r="B49" s="393">
        <f>15000-15000</f>
        <v>0</v>
      </c>
      <c r="C49" s="393"/>
      <c r="D49" s="394">
        <f t="shared" si="0"/>
        <v>0</v>
      </c>
    </row>
    <row r="50" spans="1:4" ht="31.5" x14ac:dyDescent="0.25">
      <c r="A50" s="373" t="s">
        <v>746</v>
      </c>
      <c r="B50" s="393">
        <v>1120</v>
      </c>
      <c r="C50" s="393"/>
      <c r="D50" s="394">
        <f t="shared" si="0"/>
        <v>1120</v>
      </c>
    </row>
    <row r="51" spans="1:4" x14ac:dyDescent="0.25">
      <c r="A51" s="373" t="s">
        <v>747</v>
      </c>
      <c r="B51" s="393">
        <v>15374</v>
      </c>
      <c r="C51" s="393"/>
      <c r="D51" s="394">
        <f t="shared" si="0"/>
        <v>15374</v>
      </c>
    </row>
    <row r="52" spans="1:4" x14ac:dyDescent="0.25">
      <c r="A52" s="373" t="s">
        <v>748</v>
      </c>
      <c r="B52" s="393">
        <v>23961</v>
      </c>
      <c r="C52" s="393"/>
      <c r="D52" s="394">
        <f t="shared" si="0"/>
        <v>23961</v>
      </c>
    </row>
    <row r="53" spans="1:4" ht="31.5" x14ac:dyDescent="0.25">
      <c r="A53" s="392" t="s">
        <v>749</v>
      </c>
      <c r="B53" s="393">
        <v>57277</v>
      </c>
      <c r="C53" s="393"/>
      <c r="D53" s="394">
        <f t="shared" si="0"/>
        <v>57277</v>
      </c>
    </row>
    <row r="54" spans="1:4" x14ac:dyDescent="0.25">
      <c r="A54" s="373" t="s">
        <v>750</v>
      </c>
      <c r="B54" s="393">
        <v>30940</v>
      </c>
      <c r="C54" s="393">
        <v>-26520</v>
      </c>
      <c r="D54" s="394">
        <f t="shared" si="0"/>
        <v>4420</v>
      </c>
    </row>
    <row r="55" spans="1:4" x14ac:dyDescent="0.25">
      <c r="A55" s="373" t="s">
        <v>751</v>
      </c>
      <c r="B55" s="393">
        <v>6295</v>
      </c>
      <c r="C55" s="393"/>
      <c r="D55" s="394">
        <f t="shared" si="0"/>
        <v>6295</v>
      </c>
    </row>
    <row r="56" spans="1:4" x14ac:dyDescent="0.25">
      <c r="A56" s="373" t="s">
        <v>479</v>
      </c>
      <c r="B56" s="393">
        <v>635</v>
      </c>
      <c r="C56" s="393"/>
      <c r="D56" s="394">
        <f t="shared" si="0"/>
        <v>635</v>
      </c>
    </row>
    <row r="57" spans="1:4" ht="16.5" thickBot="1" x14ac:dyDescent="0.3">
      <c r="A57" s="396"/>
      <c r="B57" s="397"/>
      <c r="C57" s="397"/>
      <c r="D57" s="389"/>
    </row>
    <row r="58" spans="1:4" ht="16.5" thickBot="1" x14ac:dyDescent="0.3">
      <c r="A58" s="398" t="s">
        <v>653</v>
      </c>
      <c r="B58" s="399">
        <f>+B4+B6+B8+B12+B20+B24+B34+B10</f>
        <v>2908221</v>
      </c>
      <c r="C58" s="399">
        <f>+C4+C6+C8+C12+C20+C24+C34+C10</f>
        <v>-817749</v>
      </c>
      <c r="D58" s="399">
        <f t="shared" si="0"/>
        <v>2090472</v>
      </c>
    </row>
    <row r="59" spans="1:4" x14ac:dyDescent="0.25">
      <c r="A59" s="381"/>
      <c r="B59" s="400"/>
      <c r="C59" s="400"/>
      <c r="D59" s="389"/>
    </row>
    <row r="60" spans="1:4" x14ac:dyDescent="0.25">
      <c r="A60" s="390" t="s">
        <v>654</v>
      </c>
      <c r="B60" s="401"/>
      <c r="C60" s="401"/>
      <c r="D60" s="389"/>
    </row>
    <row r="61" spans="1:4" ht="31.5" x14ac:dyDescent="0.25">
      <c r="A61" s="373" t="s">
        <v>567</v>
      </c>
      <c r="B61" s="401">
        <v>84820</v>
      </c>
      <c r="C61" s="401"/>
      <c r="D61" s="394">
        <f t="shared" si="0"/>
        <v>84820</v>
      </c>
    </row>
    <row r="62" spans="1:4" ht="47.25" x14ac:dyDescent="0.25">
      <c r="A62" s="373" t="s">
        <v>752</v>
      </c>
      <c r="B62" s="401">
        <v>1174224</v>
      </c>
      <c r="C62" s="401"/>
      <c r="D62" s="394">
        <f t="shared" si="0"/>
        <v>1174224</v>
      </c>
    </row>
    <row r="63" spans="1:4" x14ac:dyDescent="0.25">
      <c r="A63" s="373" t="s">
        <v>753</v>
      </c>
      <c r="B63" s="401">
        <v>124103</v>
      </c>
      <c r="C63" s="401"/>
      <c r="D63" s="394">
        <f t="shared" si="0"/>
        <v>124103</v>
      </c>
    </row>
    <row r="64" spans="1:4" ht="31.5" x14ac:dyDescent="0.25">
      <c r="A64" s="402" t="s">
        <v>754</v>
      </c>
      <c r="B64" s="401">
        <v>143245</v>
      </c>
      <c r="C64" s="401"/>
      <c r="D64" s="394">
        <f t="shared" si="0"/>
        <v>143245</v>
      </c>
    </row>
    <row r="65" spans="1:4" x14ac:dyDescent="0.25">
      <c r="A65" s="402" t="s">
        <v>755</v>
      </c>
      <c r="B65" s="401">
        <v>187680</v>
      </c>
      <c r="C65" s="401">
        <v>-168587</v>
      </c>
      <c r="D65" s="394">
        <f t="shared" si="0"/>
        <v>19093</v>
      </c>
    </row>
    <row r="66" spans="1:4" ht="47.25" x14ac:dyDescent="0.25">
      <c r="A66" s="402" t="s">
        <v>756</v>
      </c>
      <c r="B66" s="401">
        <v>2380251</v>
      </c>
      <c r="C66" s="401">
        <v>6375</v>
      </c>
      <c r="D66" s="394">
        <f t="shared" si="0"/>
        <v>2386626</v>
      </c>
    </row>
    <row r="67" spans="1:4" ht="31.5" x14ac:dyDescent="0.25">
      <c r="A67" s="373" t="s">
        <v>757</v>
      </c>
      <c r="B67" s="401">
        <v>2575142</v>
      </c>
      <c r="C67" s="401"/>
      <c r="D67" s="394">
        <f t="shared" si="0"/>
        <v>2575142</v>
      </c>
    </row>
    <row r="68" spans="1:4" x14ac:dyDescent="0.25">
      <c r="A68" s="373" t="s">
        <v>758</v>
      </c>
      <c r="B68" s="401">
        <v>9493952</v>
      </c>
      <c r="C68" s="401"/>
      <c r="D68" s="394">
        <f t="shared" si="0"/>
        <v>9493952</v>
      </c>
    </row>
    <row r="69" spans="1:4" ht="31.5" x14ac:dyDescent="0.25">
      <c r="A69" s="373" t="s">
        <v>570</v>
      </c>
      <c r="B69" s="401">
        <v>24757</v>
      </c>
      <c r="C69" s="401"/>
      <c r="D69" s="394">
        <f t="shared" ref="D69:D92" si="2">C69+B69</f>
        <v>24757</v>
      </c>
    </row>
    <row r="70" spans="1:4" ht="31.5" x14ac:dyDescent="0.25">
      <c r="A70" s="373" t="s">
        <v>571</v>
      </c>
      <c r="B70" s="401">
        <v>211595</v>
      </c>
      <c r="C70" s="401"/>
      <c r="D70" s="394">
        <f t="shared" si="2"/>
        <v>211595</v>
      </c>
    </row>
    <row r="71" spans="1:4" x14ac:dyDescent="0.25">
      <c r="A71" s="373" t="s">
        <v>572</v>
      </c>
      <c r="B71" s="401">
        <v>790629</v>
      </c>
      <c r="C71" s="401"/>
      <c r="D71" s="394">
        <f t="shared" si="2"/>
        <v>790629</v>
      </c>
    </row>
    <row r="72" spans="1:4" x14ac:dyDescent="0.25">
      <c r="A72" s="373" t="s">
        <v>573</v>
      </c>
      <c r="B72" s="401">
        <v>396443</v>
      </c>
      <c r="C72" s="401"/>
      <c r="D72" s="394">
        <f t="shared" si="2"/>
        <v>396443</v>
      </c>
    </row>
    <row r="73" spans="1:4" x14ac:dyDescent="0.25">
      <c r="A73" s="370" t="s">
        <v>655</v>
      </c>
      <c r="B73" s="403">
        <f>SUM(B61:B72)</f>
        <v>17586841</v>
      </c>
      <c r="C73" s="403">
        <f>SUM(C61:C72)</f>
        <v>-162212</v>
      </c>
      <c r="D73" s="389">
        <f t="shared" si="2"/>
        <v>17424629</v>
      </c>
    </row>
    <row r="74" spans="1:4" x14ac:dyDescent="0.25">
      <c r="A74" s="370"/>
      <c r="B74" s="403"/>
      <c r="C74" s="403"/>
      <c r="D74" s="389"/>
    </row>
    <row r="75" spans="1:4" x14ac:dyDescent="0.25">
      <c r="A75" s="370" t="s">
        <v>574</v>
      </c>
      <c r="B75" s="403"/>
      <c r="C75" s="403"/>
      <c r="D75" s="389"/>
    </row>
    <row r="76" spans="1:4" x14ac:dyDescent="0.25">
      <c r="A76" s="373" t="s">
        <v>759</v>
      </c>
      <c r="B76" s="401">
        <v>20478</v>
      </c>
      <c r="C76" s="401"/>
      <c r="D76" s="394">
        <f t="shared" si="2"/>
        <v>20478</v>
      </c>
    </row>
    <row r="77" spans="1:4" x14ac:dyDescent="0.25">
      <c r="A77" s="373" t="s">
        <v>760</v>
      </c>
      <c r="B77" s="401">
        <v>2375883</v>
      </c>
      <c r="C77" s="401"/>
      <c r="D77" s="394">
        <f t="shared" si="2"/>
        <v>2375883</v>
      </c>
    </row>
    <row r="78" spans="1:4" x14ac:dyDescent="0.25">
      <c r="A78" s="373" t="s">
        <v>761</v>
      </c>
      <c r="B78" s="401">
        <v>225083</v>
      </c>
      <c r="C78" s="401"/>
      <c r="D78" s="394">
        <f t="shared" si="2"/>
        <v>225083</v>
      </c>
    </row>
    <row r="79" spans="1:4" x14ac:dyDescent="0.25">
      <c r="A79" s="373" t="s">
        <v>762</v>
      </c>
      <c r="B79" s="401">
        <v>199696</v>
      </c>
      <c r="C79" s="401"/>
      <c r="D79" s="394">
        <f t="shared" si="2"/>
        <v>199696</v>
      </c>
    </row>
    <row r="80" spans="1:4" x14ac:dyDescent="0.25">
      <c r="A80" s="373" t="s">
        <v>481</v>
      </c>
      <c r="B80" s="401">
        <v>1243432</v>
      </c>
      <c r="C80" s="401"/>
      <c r="D80" s="394">
        <f t="shared" si="2"/>
        <v>1243432</v>
      </c>
    </row>
    <row r="81" spans="1:4" x14ac:dyDescent="0.25">
      <c r="A81" s="373" t="s">
        <v>763</v>
      </c>
      <c r="B81" s="401">
        <v>2991</v>
      </c>
      <c r="C81" s="401"/>
      <c r="D81" s="394">
        <f t="shared" si="2"/>
        <v>2991</v>
      </c>
    </row>
    <row r="82" spans="1:4" x14ac:dyDescent="0.25">
      <c r="A82" s="373" t="s">
        <v>764</v>
      </c>
      <c r="B82" s="401">
        <v>7685</v>
      </c>
      <c r="C82" s="401"/>
      <c r="D82" s="394">
        <f t="shared" si="2"/>
        <v>7685</v>
      </c>
    </row>
    <row r="83" spans="1:4" x14ac:dyDescent="0.25">
      <c r="A83" s="373" t="s">
        <v>480</v>
      </c>
      <c r="B83" s="401">
        <v>1204213</v>
      </c>
      <c r="C83" s="401"/>
      <c r="D83" s="394">
        <f t="shared" si="2"/>
        <v>1204213</v>
      </c>
    </row>
    <row r="84" spans="1:4" x14ac:dyDescent="0.25">
      <c r="A84" s="373" t="s">
        <v>575</v>
      </c>
      <c r="B84" s="401">
        <v>183974</v>
      </c>
      <c r="C84" s="401"/>
      <c r="D84" s="394">
        <f t="shared" si="2"/>
        <v>183974</v>
      </c>
    </row>
    <row r="85" spans="1:4" x14ac:dyDescent="0.25">
      <c r="A85" s="373" t="s">
        <v>765</v>
      </c>
      <c r="B85" s="401">
        <v>1827363</v>
      </c>
      <c r="C85" s="401"/>
      <c r="D85" s="394">
        <f t="shared" si="2"/>
        <v>1827363</v>
      </c>
    </row>
    <row r="86" spans="1:4" x14ac:dyDescent="0.25">
      <c r="A86" s="373" t="s">
        <v>766</v>
      </c>
      <c r="B86" s="401">
        <v>253279</v>
      </c>
      <c r="C86" s="401"/>
      <c r="D86" s="394">
        <f t="shared" si="2"/>
        <v>253279</v>
      </c>
    </row>
    <row r="87" spans="1:4" x14ac:dyDescent="0.25">
      <c r="A87" s="373" t="s">
        <v>576</v>
      </c>
      <c r="B87" s="401">
        <v>523800</v>
      </c>
      <c r="C87" s="401"/>
      <c r="D87" s="394">
        <f t="shared" si="2"/>
        <v>523800</v>
      </c>
    </row>
    <row r="88" spans="1:4" x14ac:dyDescent="0.25">
      <c r="A88" s="370" t="s">
        <v>574</v>
      </c>
      <c r="B88" s="403">
        <f>SUM(B76:B87)</f>
        <v>8067877</v>
      </c>
      <c r="C88" s="403">
        <f>SUM(C76:C87)</f>
        <v>0</v>
      </c>
      <c r="D88" s="389">
        <f t="shared" si="2"/>
        <v>8067877</v>
      </c>
    </row>
    <row r="89" spans="1:4" ht="16.5" thickBot="1" x14ac:dyDescent="0.3">
      <c r="A89" s="404"/>
      <c r="B89" s="405"/>
      <c r="C89" s="405"/>
      <c r="D89" s="389">
        <f t="shared" si="2"/>
        <v>0</v>
      </c>
    </row>
    <row r="90" spans="1:4" ht="16.5" thickBot="1" x14ac:dyDescent="0.3">
      <c r="A90" s="398" t="s">
        <v>656</v>
      </c>
      <c r="B90" s="406">
        <f>SUM(B73,B88)</f>
        <v>25654718</v>
      </c>
      <c r="C90" s="406">
        <f>SUM(C73,C88)</f>
        <v>-162212</v>
      </c>
      <c r="D90" s="406">
        <f t="shared" si="2"/>
        <v>25492506</v>
      </c>
    </row>
    <row r="91" spans="1:4" ht="16.5" thickBot="1" x14ac:dyDescent="0.3">
      <c r="A91" s="407"/>
      <c r="B91" s="408"/>
      <c r="C91" s="408"/>
      <c r="D91" s="406"/>
    </row>
    <row r="92" spans="1:4" ht="16.5" thickBot="1" x14ac:dyDescent="0.3">
      <c r="A92" s="398" t="s">
        <v>490</v>
      </c>
      <c r="B92" s="406">
        <f>+B90+B58</f>
        <v>28562939</v>
      </c>
      <c r="C92" s="406">
        <f>+C90+C58</f>
        <v>-979961</v>
      </c>
      <c r="D92" s="406">
        <f t="shared" si="2"/>
        <v>27582978</v>
      </c>
    </row>
    <row r="93" spans="1:4" x14ac:dyDescent="0.25">
      <c r="B93" s="372"/>
      <c r="C93" s="372"/>
      <c r="D93" s="372"/>
    </row>
  </sheetData>
  <mergeCells count="1">
    <mergeCell ref="A1:D1"/>
  </mergeCells>
  <pageMargins left="0.70866141732283472" right="0.70866141732283472" top="0.74803149606299213" bottom="0.78740157480314965" header="0.31496062992125984" footer="0.15748031496062992"/>
  <pageSetup paperSize="9" scale="60" fitToHeight="0" orientation="portrait" r:id="rId1"/>
  <headerFooter>
    <oddHeader>&amp;R&amp;"Times New Roman CE,Félkövér"12.melléklet a 24/2020.(VI.3.) önkormányzati rendelethez 
 &amp;"Times New Roman CE,Dőlt"&amp;10 12. melléklet az 5/2020.(II.17.) önkormányzati rendelehet</oddHeader>
  </headerFooter>
  <rowBreaks count="1" manualBreakCount="1">
    <brk id="5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6"/>
  <sheetViews>
    <sheetView topLeftCell="A81" zoomScale="80" zoomScaleNormal="80" workbookViewId="0">
      <selection activeCell="D50" sqref="D50"/>
    </sheetView>
  </sheetViews>
  <sheetFormatPr defaultRowHeight="15.75" x14ac:dyDescent="0.25"/>
  <cols>
    <col min="1" max="1" width="36" style="750" customWidth="1"/>
    <col min="2" max="2" width="54.125" style="749" customWidth="1"/>
    <col min="3" max="5" width="19.5" style="751" customWidth="1"/>
    <col min="6" max="248" width="9" style="749"/>
    <col min="249" max="249" width="43.5" style="749" customWidth="1"/>
    <col min="250" max="250" width="19.5" style="749" customWidth="1"/>
    <col min="251" max="251" width="17.375" style="749" customWidth="1"/>
    <col min="252" max="252" width="50.375" style="749" customWidth="1"/>
    <col min="253" max="504" width="9" style="749"/>
    <col min="505" max="505" width="43.5" style="749" customWidth="1"/>
    <col min="506" max="506" width="19.5" style="749" customWidth="1"/>
    <col min="507" max="507" width="17.375" style="749" customWidth="1"/>
    <col min="508" max="508" width="50.375" style="749" customWidth="1"/>
    <col min="509" max="760" width="9" style="749"/>
    <col min="761" max="761" width="43.5" style="749" customWidth="1"/>
    <col min="762" max="762" width="19.5" style="749" customWidth="1"/>
    <col min="763" max="763" width="17.375" style="749" customWidth="1"/>
    <col min="764" max="764" width="50.375" style="749" customWidth="1"/>
    <col min="765" max="1016" width="9" style="749"/>
    <col min="1017" max="1017" width="43.5" style="749" customWidth="1"/>
    <col min="1018" max="1018" width="19.5" style="749" customWidth="1"/>
    <col min="1019" max="1019" width="17.375" style="749" customWidth="1"/>
    <col min="1020" max="1020" width="50.375" style="749" customWidth="1"/>
    <col min="1021" max="1272" width="9" style="749"/>
    <col min="1273" max="1273" width="43.5" style="749" customWidth="1"/>
    <col min="1274" max="1274" width="19.5" style="749" customWidth="1"/>
    <col min="1275" max="1275" width="17.375" style="749" customWidth="1"/>
    <col min="1276" max="1276" width="50.375" style="749" customWidth="1"/>
    <col min="1277" max="1528" width="9" style="749"/>
    <col min="1529" max="1529" width="43.5" style="749" customWidth="1"/>
    <col min="1530" max="1530" width="19.5" style="749" customWidth="1"/>
    <col min="1531" max="1531" width="17.375" style="749" customWidth="1"/>
    <col min="1532" max="1532" width="50.375" style="749" customWidth="1"/>
    <col min="1533" max="1784" width="9" style="749"/>
    <col min="1785" max="1785" width="43.5" style="749" customWidth="1"/>
    <col min="1786" max="1786" width="19.5" style="749" customWidth="1"/>
    <col min="1787" max="1787" width="17.375" style="749" customWidth="1"/>
    <col min="1788" max="1788" width="50.375" style="749" customWidth="1"/>
    <col min="1789" max="2040" width="9" style="749"/>
    <col min="2041" max="2041" width="43.5" style="749" customWidth="1"/>
    <col min="2042" max="2042" width="19.5" style="749" customWidth="1"/>
    <col min="2043" max="2043" width="17.375" style="749" customWidth="1"/>
    <col min="2044" max="2044" width="50.375" style="749" customWidth="1"/>
    <col min="2045" max="2296" width="9" style="749"/>
    <col min="2297" max="2297" width="43.5" style="749" customWidth="1"/>
    <col min="2298" max="2298" width="19.5" style="749" customWidth="1"/>
    <col min="2299" max="2299" width="17.375" style="749" customWidth="1"/>
    <col min="2300" max="2300" width="50.375" style="749" customWidth="1"/>
    <col min="2301" max="2552" width="9" style="749"/>
    <col min="2553" max="2553" width="43.5" style="749" customWidth="1"/>
    <col min="2554" max="2554" width="19.5" style="749" customWidth="1"/>
    <col min="2555" max="2555" width="17.375" style="749" customWidth="1"/>
    <col min="2556" max="2556" width="50.375" style="749" customWidth="1"/>
    <col min="2557" max="2808" width="9" style="749"/>
    <col min="2809" max="2809" width="43.5" style="749" customWidth="1"/>
    <col min="2810" max="2810" width="19.5" style="749" customWidth="1"/>
    <col min="2811" max="2811" width="17.375" style="749" customWidth="1"/>
    <col min="2812" max="2812" width="50.375" style="749" customWidth="1"/>
    <col min="2813" max="3064" width="9" style="749"/>
    <col min="3065" max="3065" width="43.5" style="749" customWidth="1"/>
    <col min="3066" max="3066" width="19.5" style="749" customWidth="1"/>
    <col min="3067" max="3067" width="17.375" style="749" customWidth="1"/>
    <col min="3068" max="3068" width="50.375" style="749" customWidth="1"/>
    <col min="3069" max="3320" width="9" style="749"/>
    <col min="3321" max="3321" width="43.5" style="749" customWidth="1"/>
    <col min="3322" max="3322" width="19.5" style="749" customWidth="1"/>
    <col min="3323" max="3323" width="17.375" style="749" customWidth="1"/>
    <col min="3324" max="3324" width="50.375" style="749" customWidth="1"/>
    <col min="3325" max="3576" width="9" style="749"/>
    <col min="3577" max="3577" width="43.5" style="749" customWidth="1"/>
    <col min="3578" max="3578" width="19.5" style="749" customWidth="1"/>
    <col min="3579" max="3579" width="17.375" style="749" customWidth="1"/>
    <col min="3580" max="3580" width="50.375" style="749" customWidth="1"/>
    <col min="3581" max="3832" width="9" style="749"/>
    <col min="3833" max="3833" width="43.5" style="749" customWidth="1"/>
    <col min="3834" max="3834" width="19.5" style="749" customWidth="1"/>
    <col min="3835" max="3835" width="17.375" style="749" customWidth="1"/>
    <col min="3836" max="3836" width="50.375" style="749" customWidth="1"/>
    <col min="3837" max="4088" width="9" style="749"/>
    <col min="4089" max="4089" width="43.5" style="749" customWidth="1"/>
    <col min="4090" max="4090" width="19.5" style="749" customWidth="1"/>
    <col min="4091" max="4091" width="17.375" style="749" customWidth="1"/>
    <col min="4092" max="4092" width="50.375" style="749" customWidth="1"/>
    <col min="4093" max="4344" width="9" style="749"/>
    <col min="4345" max="4345" width="43.5" style="749" customWidth="1"/>
    <col min="4346" max="4346" width="19.5" style="749" customWidth="1"/>
    <col min="4347" max="4347" width="17.375" style="749" customWidth="1"/>
    <col min="4348" max="4348" width="50.375" style="749" customWidth="1"/>
    <col min="4349" max="4600" width="9" style="749"/>
    <col min="4601" max="4601" width="43.5" style="749" customWidth="1"/>
    <col min="4602" max="4602" width="19.5" style="749" customWidth="1"/>
    <col min="4603" max="4603" width="17.375" style="749" customWidth="1"/>
    <col min="4604" max="4604" width="50.375" style="749" customWidth="1"/>
    <col min="4605" max="4856" width="9" style="749"/>
    <col min="4857" max="4857" width="43.5" style="749" customWidth="1"/>
    <col min="4858" max="4858" width="19.5" style="749" customWidth="1"/>
    <col min="4859" max="4859" width="17.375" style="749" customWidth="1"/>
    <col min="4860" max="4860" width="50.375" style="749" customWidth="1"/>
    <col min="4861" max="5112" width="9" style="749"/>
    <col min="5113" max="5113" width="43.5" style="749" customWidth="1"/>
    <col min="5114" max="5114" width="19.5" style="749" customWidth="1"/>
    <col min="5115" max="5115" width="17.375" style="749" customWidth="1"/>
    <col min="5116" max="5116" width="50.375" style="749" customWidth="1"/>
    <col min="5117" max="5368" width="9" style="749"/>
    <col min="5369" max="5369" width="43.5" style="749" customWidth="1"/>
    <col min="5370" max="5370" width="19.5" style="749" customWidth="1"/>
    <col min="5371" max="5371" width="17.375" style="749" customWidth="1"/>
    <col min="5372" max="5372" width="50.375" style="749" customWidth="1"/>
    <col min="5373" max="5624" width="9" style="749"/>
    <col min="5625" max="5625" width="43.5" style="749" customWidth="1"/>
    <col min="5626" max="5626" width="19.5" style="749" customWidth="1"/>
    <col min="5627" max="5627" width="17.375" style="749" customWidth="1"/>
    <col min="5628" max="5628" width="50.375" style="749" customWidth="1"/>
    <col min="5629" max="5880" width="9" style="749"/>
    <col min="5881" max="5881" width="43.5" style="749" customWidth="1"/>
    <col min="5882" max="5882" width="19.5" style="749" customWidth="1"/>
    <col min="5883" max="5883" width="17.375" style="749" customWidth="1"/>
    <col min="5884" max="5884" width="50.375" style="749" customWidth="1"/>
    <col min="5885" max="6136" width="9" style="749"/>
    <col min="6137" max="6137" width="43.5" style="749" customWidth="1"/>
    <col min="6138" max="6138" width="19.5" style="749" customWidth="1"/>
    <col min="6139" max="6139" width="17.375" style="749" customWidth="1"/>
    <col min="6140" max="6140" width="50.375" style="749" customWidth="1"/>
    <col min="6141" max="6392" width="9" style="749"/>
    <col min="6393" max="6393" width="43.5" style="749" customWidth="1"/>
    <col min="6394" max="6394" width="19.5" style="749" customWidth="1"/>
    <col min="6395" max="6395" width="17.375" style="749" customWidth="1"/>
    <col min="6396" max="6396" width="50.375" style="749" customWidth="1"/>
    <col min="6397" max="6648" width="9" style="749"/>
    <col min="6649" max="6649" width="43.5" style="749" customWidth="1"/>
    <col min="6650" max="6650" width="19.5" style="749" customWidth="1"/>
    <col min="6651" max="6651" width="17.375" style="749" customWidth="1"/>
    <col min="6652" max="6652" width="50.375" style="749" customWidth="1"/>
    <col min="6653" max="6904" width="9" style="749"/>
    <col min="6905" max="6905" width="43.5" style="749" customWidth="1"/>
    <col min="6906" max="6906" width="19.5" style="749" customWidth="1"/>
    <col min="6907" max="6907" width="17.375" style="749" customWidth="1"/>
    <col min="6908" max="6908" width="50.375" style="749" customWidth="1"/>
    <col min="6909" max="7160" width="9" style="749"/>
    <col min="7161" max="7161" width="43.5" style="749" customWidth="1"/>
    <col min="7162" max="7162" width="19.5" style="749" customWidth="1"/>
    <col min="7163" max="7163" width="17.375" style="749" customWidth="1"/>
    <col min="7164" max="7164" width="50.375" style="749" customWidth="1"/>
    <col min="7165" max="7416" width="9" style="749"/>
    <col min="7417" max="7417" width="43.5" style="749" customWidth="1"/>
    <col min="7418" max="7418" width="19.5" style="749" customWidth="1"/>
    <col min="7419" max="7419" width="17.375" style="749" customWidth="1"/>
    <col min="7420" max="7420" width="50.375" style="749" customWidth="1"/>
    <col min="7421" max="7672" width="9" style="749"/>
    <col min="7673" max="7673" width="43.5" style="749" customWidth="1"/>
    <col min="7674" max="7674" width="19.5" style="749" customWidth="1"/>
    <col min="7675" max="7675" width="17.375" style="749" customWidth="1"/>
    <col min="7676" max="7676" width="50.375" style="749" customWidth="1"/>
    <col min="7677" max="7928" width="9" style="749"/>
    <col min="7929" max="7929" width="43.5" style="749" customWidth="1"/>
    <col min="7930" max="7930" width="19.5" style="749" customWidth="1"/>
    <col min="7931" max="7931" width="17.375" style="749" customWidth="1"/>
    <col min="7932" max="7932" width="50.375" style="749" customWidth="1"/>
    <col min="7933" max="8184" width="9" style="749"/>
    <col min="8185" max="8185" width="43.5" style="749" customWidth="1"/>
    <col min="8186" max="8186" width="19.5" style="749" customWidth="1"/>
    <col min="8187" max="8187" width="17.375" style="749" customWidth="1"/>
    <col min="8188" max="8188" width="50.375" style="749" customWidth="1"/>
    <col min="8189" max="8440" width="9" style="749"/>
    <col min="8441" max="8441" width="43.5" style="749" customWidth="1"/>
    <col min="8442" max="8442" width="19.5" style="749" customWidth="1"/>
    <col min="8443" max="8443" width="17.375" style="749" customWidth="1"/>
    <col min="8444" max="8444" width="50.375" style="749" customWidth="1"/>
    <col min="8445" max="8696" width="9" style="749"/>
    <col min="8697" max="8697" width="43.5" style="749" customWidth="1"/>
    <col min="8698" max="8698" width="19.5" style="749" customWidth="1"/>
    <col min="8699" max="8699" width="17.375" style="749" customWidth="1"/>
    <col min="8700" max="8700" width="50.375" style="749" customWidth="1"/>
    <col min="8701" max="8952" width="9" style="749"/>
    <col min="8953" max="8953" width="43.5" style="749" customWidth="1"/>
    <col min="8954" max="8954" width="19.5" style="749" customWidth="1"/>
    <col min="8955" max="8955" width="17.375" style="749" customWidth="1"/>
    <col min="8956" max="8956" width="50.375" style="749" customWidth="1"/>
    <col min="8957" max="9208" width="9" style="749"/>
    <col min="9209" max="9209" width="43.5" style="749" customWidth="1"/>
    <col min="9210" max="9210" width="19.5" style="749" customWidth="1"/>
    <col min="9211" max="9211" width="17.375" style="749" customWidth="1"/>
    <col min="9212" max="9212" width="50.375" style="749" customWidth="1"/>
    <col min="9213" max="9464" width="9" style="749"/>
    <col min="9465" max="9465" width="43.5" style="749" customWidth="1"/>
    <col min="9466" max="9466" width="19.5" style="749" customWidth="1"/>
    <col min="9467" max="9467" width="17.375" style="749" customWidth="1"/>
    <col min="9468" max="9468" width="50.375" style="749" customWidth="1"/>
    <col min="9469" max="9720" width="9" style="749"/>
    <col min="9721" max="9721" width="43.5" style="749" customWidth="1"/>
    <col min="9722" max="9722" width="19.5" style="749" customWidth="1"/>
    <col min="9723" max="9723" width="17.375" style="749" customWidth="1"/>
    <col min="9724" max="9724" width="50.375" style="749" customWidth="1"/>
    <col min="9725" max="9976" width="9" style="749"/>
    <col min="9977" max="9977" width="43.5" style="749" customWidth="1"/>
    <col min="9978" max="9978" width="19.5" style="749" customWidth="1"/>
    <col min="9979" max="9979" width="17.375" style="749" customWidth="1"/>
    <col min="9980" max="9980" width="50.375" style="749" customWidth="1"/>
    <col min="9981" max="10232" width="9" style="749"/>
    <col min="10233" max="10233" width="43.5" style="749" customWidth="1"/>
    <col min="10234" max="10234" width="19.5" style="749" customWidth="1"/>
    <col min="10235" max="10235" width="17.375" style="749" customWidth="1"/>
    <col min="10236" max="10236" width="50.375" style="749" customWidth="1"/>
    <col min="10237" max="10488" width="9" style="749"/>
    <col min="10489" max="10489" width="43.5" style="749" customWidth="1"/>
    <col min="10490" max="10490" width="19.5" style="749" customWidth="1"/>
    <col min="10491" max="10491" width="17.375" style="749" customWidth="1"/>
    <col min="10492" max="10492" width="50.375" style="749" customWidth="1"/>
    <col min="10493" max="10744" width="9" style="749"/>
    <col min="10745" max="10745" width="43.5" style="749" customWidth="1"/>
    <col min="10746" max="10746" width="19.5" style="749" customWidth="1"/>
    <col min="10747" max="10747" width="17.375" style="749" customWidth="1"/>
    <col min="10748" max="10748" width="50.375" style="749" customWidth="1"/>
    <col min="10749" max="11000" width="9" style="749"/>
    <col min="11001" max="11001" width="43.5" style="749" customWidth="1"/>
    <col min="11002" max="11002" width="19.5" style="749" customWidth="1"/>
    <col min="11003" max="11003" width="17.375" style="749" customWidth="1"/>
    <col min="11004" max="11004" width="50.375" style="749" customWidth="1"/>
    <col min="11005" max="11256" width="9" style="749"/>
    <col min="11257" max="11257" width="43.5" style="749" customWidth="1"/>
    <col min="11258" max="11258" width="19.5" style="749" customWidth="1"/>
    <col min="11259" max="11259" width="17.375" style="749" customWidth="1"/>
    <col min="11260" max="11260" width="50.375" style="749" customWidth="1"/>
    <col min="11261" max="11512" width="9" style="749"/>
    <col min="11513" max="11513" width="43.5" style="749" customWidth="1"/>
    <col min="11514" max="11514" width="19.5" style="749" customWidth="1"/>
    <col min="11515" max="11515" width="17.375" style="749" customWidth="1"/>
    <col min="11516" max="11516" width="50.375" style="749" customWidth="1"/>
    <col min="11517" max="11768" width="9" style="749"/>
    <col min="11769" max="11769" width="43.5" style="749" customWidth="1"/>
    <col min="11770" max="11770" width="19.5" style="749" customWidth="1"/>
    <col min="11771" max="11771" width="17.375" style="749" customWidth="1"/>
    <col min="11772" max="11772" width="50.375" style="749" customWidth="1"/>
    <col min="11773" max="12024" width="9" style="749"/>
    <col min="12025" max="12025" width="43.5" style="749" customWidth="1"/>
    <col min="12026" max="12026" width="19.5" style="749" customWidth="1"/>
    <col min="12027" max="12027" width="17.375" style="749" customWidth="1"/>
    <col min="12028" max="12028" width="50.375" style="749" customWidth="1"/>
    <col min="12029" max="12280" width="9" style="749"/>
    <col min="12281" max="12281" width="43.5" style="749" customWidth="1"/>
    <col min="12282" max="12282" width="19.5" style="749" customWidth="1"/>
    <col min="12283" max="12283" width="17.375" style="749" customWidth="1"/>
    <col min="12284" max="12284" width="50.375" style="749" customWidth="1"/>
    <col min="12285" max="12536" width="9" style="749"/>
    <col min="12537" max="12537" width="43.5" style="749" customWidth="1"/>
    <col min="12538" max="12538" width="19.5" style="749" customWidth="1"/>
    <col min="12539" max="12539" width="17.375" style="749" customWidth="1"/>
    <col min="12540" max="12540" width="50.375" style="749" customWidth="1"/>
    <col min="12541" max="12792" width="9" style="749"/>
    <col min="12793" max="12793" width="43.5" style="749" customWidth="1"/>
    <col min="12794" max="12794" width="19.5" style="749" customWidth="1"/>
    <col min="12795" max="12795" width="17.375" style="749" customWidth="1"/>
    <col min="12796" max="12796" width="50.375" style="749" customWidth="1"/>
    <col min="12797" max="13048" width="9" style="749"/>
    <col min="13049" max="13049" width="43.5" style="749" customWidth="1"/>
    <col min="13050" max="13050" width="19.5" style="749" customWidth="1"/>
    <col min="13051" max="13051" width="17.375" style="749" customWidth="1"/>
    <col min="13052" max="13052" width="50.375" style="749" customWidth="1"/>
    <col min="13053" max="13304" width="9" style="749"/>
    <col min="13305" max="13305" width="43.5" style="749" customWidth="1"/>
    <col min="13306" max="13306" width="19.5" style="749" customWidth="1"/>
    <col min="13307" max="13307" width="17.375" style="749" customWidth="1"/>
    <col min="13308" max="13308" width="50.375" style="749" customWidth="1"/>
    <col min="13309" max="13560" width="9" style="749"/>
    <col min="13561" max="13561" width="43.5" style="749" customWidth="1"/>
    <col min="13562" max="13562" width="19.5" style="749" customWidth="1"/>
    <col min="13563" max="13563" width="17.375" style="749" customWidth="1"/>
    <col min="13564" max="13564" width="50.375" style="749" customWidth="1"/>
    <col min="13565" max="13816" width="9" style="749"/>
    <col min="13817" max="13817" width="43.5" style="749" customWidth="1"/>
    <col min="13818" max="13818" width="19.5" style="749" customWidth="1"/>
    <col min="13819" max="13819" width="17.375" style="749" customWidth="1"/>
    <col min="13820" max="13820" width="50.375" style="749" customWidth="1"/>
    <col min="13821" max="14072" width="9" style="749"/>
    <col min="14073" max="14073" width="43.5" style="749" customWidth="1"/>
    <col min="14074" max="14074" width="19.5" style="749" customWidth="1"/>
    <col min="14075" max="14075" width="17.375" style="749" customWidth="1"/>
    <col min="14076" max="14076" width="50.375" style="749" customWidth="1"/>
    <col min="14077" max="14328" width="9" style="749"/>
    <col min="14329" max="14329" width="43.5" style="749" customWidth="1"/>
    <col min="14330" max="14330" width="19.5" style="749" customWidth="1"/>
    <col min="14331" max="14331" width="17.375" style="749" customWidth="1"/>
    <col min="14332" max="14332" width="50.375" style="749" customWidth="1"/>
    <col min="14333" max="14584" width="9" style="749"/>
    <col min="14585" max="14585" width="43.5" style="749" customWidth="1"/>
    <col min="14586" max="14586" width="19.5" style="749" customWidth="1"/>
    <col min="14587" max="14587" width="17.375" style="749" customWidth="1"/>
    <col min="14588" max="14588" width="50.375" style="749" customWidth="1"/>
    <col min="14589" max="14840" width="9" style="749"/>
    <col min="14841" max="14841" width="43.5" style="749" customWidth="1"/>
    <col min="14842" max="14842" width="19.5" style="749" customWidth="1"/>
    <col min="14843" max="14843" width="17.375" style="749" customWidth="1"/>
    <col min="14844" max="14844" width="50.375" style="749" customWidth="1"/>
    <col min="14845" max="15096" width="9" style="749"/>
    <col min="15097" max="15097" width="43.5" style="749" customWidth="1"/>
    <col min="15098" max="15098" width="19.5" style="749" customWidth="1"/>
    <col min="15099" max="15099" width="17.375" style="749" customWidth="1"/>
    <col min="15100" max="15100" width="50.375" style="749" customWidth="1"/>
    <col min="15101" max="15352" width="9" style="749"/>
    <col min="15353" max="15353" width="43.5" style="749" customWidth="1"/>
    <col min="15354" max="15354" width="19.5" style="749" customWidth="1"/>
    <col min="15355" max="15355" width="17.375" style="749" customWidth="1"/>
    <col min="15356" max="15356" width="50.375" style="749" customWidth="1"/>
    <col min="15357" max="15608" width="9" style="749"/>
    <col min="15609" max="15609" width="43.5" style="749" customWidth="1"/>
    <col min="15610" max="15610" width="19.5" style="749" customWidth="1"/>
    <col min="15611" max="15611" width="17.375" style="749" customWidth="1"/>
    <col min="15612" max="15612" width="50.375" style="749" customWidth="1"/>
    <col min="15613" max="15864" width="9" style="749"/>
    <col min="15865" max="15865" width="43.5" style="749" customWidth="1"/>
    <col min="15866" max="15866" width="19.5" style="749" customWidth="1"/>
    <col min="15867" max="15867" width="17.375" style="749" customWidth="1"/>
    <col min="15868" max="15868" width="50.375" style="749" customWidth="1"/>
    <col min="15869" max="16120" width="9" style="749"/>
    <col min="16121" max="16121" width="43.5" style="749" customWidth="1"/>
    <col min="16122" max="16122" width="19.5" style="749" customWidth="1"/>
    <col min="16123" max="16123" width="17.375" style="749" customWidth="1"/>
    <col min="16124" max="16124" width="50.375" style="749" customWidth="1"/>
    <col min="16125" max="16384" width="9" style="749"/>
  </cols>
  <sheetData>
    <row r="1" spans="1:6" ht="31.5" customHeight="1" x14ac:dyDescent="0.25">
      <c r="A1" s="925" t="s">
        <v>767</v>
      </c>
      <c r="B1" s="925"/>
      <c r="C1" s="925"/>
      <c r="D1" s="919"/>
      <c r="E1" s="919"/>
    </row>
    <row r="2" spans="1:6" ht="16.5" thickBot="1" x14ac:dyDescent="0.3"/>
    <row r="3" spans="1:6" s="388" customFormat="1" ht="62.25" customHeight="1" thickTop="1" thickBot="1" x14ac:dyDescent="0.3">
      <c r="A3" s="386" t="s">
        <v>137</v>
      </c>
      <c r="B3" s="752" t="s">
        <v>370</v>
      </c>
      <c r="C3" s="747" t="s">
        <v>349</v>
      </c>
      <c r="D3" s="367" t="s">
        <v>350</v>
      </c>
      <c r="E3" s="747" t="s">
        <v>864</v>
      </c>
    </row>
    <row r="4" spans="1:6" s="369" customFormat="1" ht="21" customHeight="1" x14ac:dyDescent="0.25">
      <c r="A4" s="920" t="s">
        <v>768</v>
      </c>
      <c r="B4" s="921"/>
      <c r="C4" s="368"/>
      <c r="D4" s="368"/>
      <c r="E4" s="368"/>
    </row>
    <row r="5" spans="1:6" s="372" customFormat="1" ht="47.25" x14ac:dyDescent="0.25">
      <c r="A5" s="370" t="s">
        <v>769</v>
      </c>
      <c r="B5" s="371" t="s">
        <v>770</v>
      </c>
      <c r="C5" s="140">
        <v>3000</v>
      </c>
      <c r="D5" s="140"/>
      <c r="E5" s="140">
        <f>D5+C5</f>
        <v>3000</v>
      </c>
    </row>
    <row r="6" spans="1:6" s="372" customFormat="1" ht="47.25" x14ac:dyDescent="0.25">
      <c r="A6" s="373"/>
      <c r="B6" s="371" t="s">
        <v>771</v>
      </c>
      <c r="C6" s="140">
        <v>13000</v>
      </c>
      <c r="D6" s="140"/>
      <c r="E6" s="140">
        <f t="shared" ref="E6:E51" si="0">D6+C6</f>
        <v>13000</v>
      </c>
    </row>
    <row r="7" spans="1:6" s="372" customFormat="1" ht="47.25" x14ac:dyDescent="0.25">
      <c r="A7" s="373"/>
      <c r="B7" s="371" t="s">
        <v>772</v>
      </c>
      <c r="C7" s="140">
        <v>3827</v>
      </c>
      <c r="D7" s="140"/>
      <c r="E7" s="140">
        <f t="shared" si="0"/>
        <v>3827</v>
      </c>
    </row>
    <row r="8" spans="1:6" s="372" customFormat="1" ht="94.5" x14ac:dyDescent="0.25">
      <c r="A8" s="373"/>
      <c r="B8" s="371" t="s">
        <v>773</v>
      </c>
      <c r="C8" s="140">
        <v>216679</v>
      </c>
      <c r="D8" s="140"/>
      <c r="E8" s="140">
        <f t="shared" si="0"/>
        <v>216679</v>
      </c>
    </row>
    <row r="9" spans="1:6" s="372" customFormat="1" ht="76.5" customHeight="1" x14ac:dyDescent="0.25">
      <c r="A9" s="373"/>
      <c r="B9" s="371" t="s">
        <v>774</v>
      </c>
      <c r="C9" s="140">
        <v>25997</v>
      </c>
      <c r="D9" s="140"/>
      <c r="E9" s="140">
        <f t="shared" si="0"/>
        <v>25997</v>
      </c>
    </row>
    <row r="10" spans="1:6" s="372" customFormat="1" ht="33" customHeight="1" x14ac:dyDescent="0.25">
      <c r="A10" s="373"/>
      <c r="B10" s="371" t="s">
        <v>775</v>
      </c>
      <c r="C10" s="140">
        <v>65000</v>
      </c>
      <c r="D10" s="140"/>
      <c r="E10" s="140">
        <f t="shared" si="0"/>
        <v>65000</v>
      </c>
    </row>
    <row r="11" spans="1:6" s="372" customFormat="1" ht="30.75" customHeight="1" x14ac:dyDescent="0.25">
      <c r="A11" s="373"/>
      <c r="B11" s="371" t="s">
        <v>776</v>
      </c>
      <c r="C11" s="140">
        <v>500</v>
      </c>
      <c r="D11" s="140"/>
      <c r="E11" s="140">
        <f t="shared" si="0"/>
        <v>500</v>
      </c>
    </row>
    <row r="12" spans="1:6" s="372" customFormat="1" x14ac:dyDescent="0.25">
      <c r="A12" s="373"/>
      <c r="B12" s="371"/>
      <c r="C12" s="140"/>
      <c r="D12" s="140"/>
      <c r="E12" s="140">
        <f t="shared" si="0"/>
        <v>0</v>
      </c>
    </row>
    <row r="13" spans="1:6" s="376" customFormat="1" x14ac:dyDescent="0.25">
      <c r="A13" s="370"/>
      <c r="B13" s="374" t="s">
        <v>371</v>
      </c>
      <c r="C13" s="375">
        <f>SUM(C5:C12)</f>
        <v>328003</v>
      </c>
      <c r="D13" s="375">
        <f>SUM(D5:D12)</f>
        <v>0</v>
      </c>
      <c r="E13" s="141">
        <f t="shared" si="0"/>
        <v>328003</v>
      </c>
    </row>
    <row r="14" spans="1:6" s="372" customFormat="1" x14ac:dyDescent="0.25">
      <c r="A14" s="373"/>
      <c r="B14" s="371"/>
      <c r="C14" s="140"/>
      <c r="D14" s="140"/>
      <c r="E14" s="140"/>
    </row>
    <row r="15" spans="1:6" s="372" customFormat="1" ht="31.5" x14ac:dyDescent="0.25">
      <c r="A15" s="370" t="s">
        <v>411</v>
      </c>
      <c r="B15" s="371" t="s">
        <v>657</v>
      </c>
      <c r="C15" s="140">
        <v>1334</v>
      </c>
      <c r="D15" s="140">
        <v>-1334</v>
      </c>
      <c r="E15" s="140">
        <f t="shared" si="0"/>
        <v>0</v>
      </c>
      <c r="F15" s="377"/>
    </row>
    <row r="16" spans="1:6" s="372" customFormat="1" x14ac:dyDescent="0.25">
      <c r="A16" s="373"/>
      <c r="B16" s="374" t="s">
        <v>371</v>
      </c>
      <c r="C16" s="375">
        <f t="shared" ref="C16:D16" si="1">SUM(C15)</f>
        <v>1334</v>
      </c>
      <c r="D16" s="375">
        <f t="shared" si="1"/>
        <v>-1334</v>
      </c>
      <c r="E16" s="141">
        <f t="shared" si="0"/>
        <v>0</v>
      </c>
    </row>
    <row r="17" spans="1:5" s="372" customFormat="1" x14ac:dyDescent="0.25">
      <c r="A17" s="373"/>
      <c r="B17" s="374"/>
      <c r="C17" s="375"/>
      <c r="D17" s="375"/>
      <c r="E17" s="140"/>
    </row>
    <row r="18" spans="1:5" s="372" customFormat="1" ht="31.5" x14ac:dyDescent="0.25">
      <c r="A18" s="370" t="s">
        <v>777</v>
      </c>
      <c r="B18" s="371" t="s">
        <v>778</v>
      </c>
      <c r="C18" s="140">
        <v>12000</v>
      </c>
      <c r="D18" s="140"/>
      <c r="E18" s="140">
        <f t="shared" si="0"/>
        <v>12000</v>
      </c>
    </row>
    <row r="19" spans="1:5" s="372" customFormat="1" x14ac:dyDescent="0.25">
      <c r="A19" s="373"/>
      <c r="B19" s="374" t="s">
        <v>371</v>
      </c>
      <c r="C19" s="375">
        <f t="shared" ref="C19:D19" si="2">SUM(C18)</f>
        <v>12000</v>
      </c>
      <c r="D19" s="375">
        <f t="shared" si="2"/>
        <v>0</v>
      </c>
      <c r="E19" s="141">
        <f t="shared" si="0"/>
        <v>12000</v>
      </c>
    </row>
    <row r="20" spans="1:5" s="372" customFormat="1" x14ac:dyDescent="0.25">
      <c r="A20" s="373"/>
      <c r="B20" s="374"/>
      <c r="C20" s="375"/>
      <c r="D20" s="375"/>
      <c r="E20" s="140">
        <f t="shared" si="0"/>
        <v>0</v>
      </c>
    </row>
    <row r="21" spans="1:5" s="372" customFormat="1" ht="31.5" x14ac:dyDescent="0.25">
      <c r="A21" s="370" t="s">
        <v>658</v>
      </c>
      <c r="B21" s="371" t="s">
        <v>659</v>
      </c>
      <c r="C21" s="140">
        <v>6757</v>
      </c>
      <c r="D21" s="140"/>
      <c r="E21" s="140">
        <f t="shared" si="0"/>
        <v>6757</v>
      </c>
    </row>
    <row r="22" spans="1:5" s="372" customFormat="1" x14ac:dyDescent="0.25">
      <c r="A22" s="373"/>
      <c r="B22" s="374" t="s">
        <v>371</v>
      </c>
      <c r="C22" s="375">
        <f>SUM(C21:C21)</f>
        <v>6757</v>
      </c>
      <c r="D22" s="375">
        <f>SUM(D21:D21)</f>
        <v>0</v>
      </c>
      <c r="E22" s="141">
        <f t="shared" si="0"/>
        <v>6757</v>
      </c>
    </row>
    <row r="23" spans="1:5" s="372" customFormat="1" x14ac:dyDescent="0.25">
      <c r="A23" s="373"/>
      <c r="B23" s="374"/>
      <c r="C23" s="375"/>
      <c r="D23" s="375"/>
      <c r="E23" s="140"/>
    </row>
    <row r="24" spans="1:5" s="372" customFormat="1" x14ac:dyDescent="0.25">
      <c r="A24" s="370" t="s">
        <v>407</v>
      </c>
      <c r="B24" s="371" t="s">
        <v>660</v>
      </c>
      <c r="C24" s="140">
        <v>50000</v>
      </c>
      <c r="D24" s="140">
        <v>-50000</v>
      </c>
      <c r="E24" s="140">
        <f t="shared" si="0"/>
        <v>0</v>
      </c>
    </row>
    <row r="25" spans="1:5" s="372" customFormat="1" x14ac:dyDescent="0.25">
      <c r="A25" s="370"/>
      <c r="B25" s="371" t="s">
        <v>779</v>
      </c>
      <c r="C25" s="140">
        <v>5000</v>
      </c>
      <c r="D25" s="140">
        <v>-5000</v>
      </c>
      <c r="E25" s="140">
        <f t="shared" si="0"/>
        <v>0</v>
      </c>
    </row>
    <row r="26" spans="1:5" s="372" customFormat="1" x14ac:dyDescent="0.25">
      <c r="A26" s="373"/>
      <c r="B26" s="374" t="s">
        <v>371</v>
      </c>
      <c r="C26" s="375">
        <f>SUM(C24:C25)</f>
        <v>55000</v>
      </c>
      <c r="D26" s="375">
        <f>SUM(D24:D25)</f>
        <v>-55000</v>
      </c>
      <c r="E26" s="141">
        <f t="shared" si="0"/>
        <v>0</v>
      </c>
    </row>
    <row r="27" spans="1:5" s="372" customFormat="1" x14ac:dyDescent="0.25">
      <c r="A27" s="373"/>
      <c r="B27" s="374"/>
      <c r="C27" s="375"/>
      <c r="D27" s="375"/>
      <c r="E27" s="140"/>
    </row>
    <row r="28" spans="1:5" s="372" customFormat="1" ht="47.25" x14ac:dyDescent="0.25">
      <c r="A28" s="370" t="s">
        <v>1160</v>
      </c>
      <c r="B28" s="371" t="s">
        <v>1304</v>
      </c>
      <c r="C28" s="140">
        <v>0</v>
      </c>
      <c r="D28" s="140">
        <v>5000</v>
      </c>
      <c r="E28" s="140">
        <f t="shared" si="0"/>
        <v>5000</v>
      </c>
    </row>
    <row r="29" spans="1:5" s="372" customFormat="1" x14ac:dyDescent="0.25">
      <c r="A29" s="373"/>
      <c r="B29" s="374" t="s">
        <v>371</v>
      </c>
      <c r="C29" s="375">
        <f>SUM(C28:C28)</f>
        <v>0</v>
      </c>
      <c r="D29" s="375">
        <f>SUM(D28:D28)</f>
        <v>5000</v>
      </c>
      <c r="E29" s="141">
        <f t="shared" si="0"/>
        <v>5000</v>
      </c>
    </row>
    <row r="30" spans="1:5" s="372" customFormat="1" x14ac:dyDescent="0.25">
      <c r="A30" s="373"/>
      <c r="B30" s="371"/>
      <c r="C30" s="140"/>
      <c r="D30" s="140"/>
      <c r="E30" s="140"/>
    </row>
    <row r="31" spans="1:5" s="372" customFormat="1" ht="31.5" x14ac:dyDescent="0.25">
      <c r="A31" s="370" t="s">
        <v>661</v>
      </c>
      <c r="B31" s="371" t="s">
        <v>662</v>
      </c>
      <c r="C31" s="140">
        <v>3267</v>
      </c>
      <c r="D31" s="140"/>
      <c r="E31" s="140">
        <f t="shared" si="0"/>
        <v>3267</v>
      </c>
    </row>
    <row r="32" spans="1:5" s="372" customFormat="1" x14ac:dyDescent="0.25">
      <c r="A32" s="373"/>
      <c r="B32" s="374" t="s">
        <v>371</v>
      </c>
      <c r="C32" s="375">
        <f>SUM(C31:C31)</f>
        <v>3267</v>
      </c>
      <c r="D32" s="375">
        <f>SUM(D31:D31)</f>
        <v>0</v>
      </c>
      <c r="E32" s="141">
        <f t="shared" si="0"/>
        <v>3267</v>
      </c>
    </row>
    <row r="33" spans="1:5" s="372" customFormat="1" x14ac:dyDescent="0.25">
      <c r="A33" s="373"/>
      <c r="B33" s="371"/>
      <c r="C33" s="140"/>
      <c r="D33" s="140"/>
      <c r="E33" s="140"/>
    </row>
    <row r="34" spans="1:5" s="372" customFormat="1" x14ac:dyDescent="0.25">
      <c r="A34" s="370" t="s">
        <v>399</v>
      </c>
      <c r="B34" s="378" t="s">
        <v>780</v>
      </c>
      <c r="C34" s="140">
        <f>25000-20000</f>
        <v>5000</v>
      </c>
      <c r="D34" s="140"/>
      <c r="E34" s="140">
        <f t="shared" si="0"/>
        <v>5000</v>
      </c>
    </row>
    <row r="35" spans="1:5" s="372" customFormat="1" x14ac:dyDescent="0.25">
      <c r="A35" s="373"/>
      <c r="B35" s="374" t="s">
        <v>371</v>
      </c>
      <c r="C35" s="375">
        <f>SUM(C34:C34)</f>
        <v>5000</v>
      </c>
      <c r="D35" s="375">
        <f>SUM(D34:D34)</f>
        <v>0</v>
      </c>
      <c r="E35" s="141">
        <f t="shared" si="0"/>
        <v>5000</v>
      </c>
    </row>
    <row r="36" spans="1:5" s="372" customFormat="1" x14ac:dyDescent="0.25">
      <c r="A36" s="373"/>
      <c r="B36" s="371"/>
      <c r="C36" s="140"/>
      <c r="D36" s="140"/>
      <c r="E36" s="140"/>
    </row>
    <row r="37" spans="1:5" s="372" customFormat="1" x14ac:dyDescent="0.25">
      <c r="A37" s="370" t="s">
        <v>403</v>
      </c>
      <c r="B37" s="371" t="s">
        <v>781</v>
      </c>
      <c r="C37" s="140">
        <v>40000</v>
      </c>
      <c r="D37" s="140"/>
      <c r="E37" s="140">
        <f t="shared" si="0"/>
        <v>40000</v>
      </c>
    </row>
    <row r="38" spans="1:5" s="372" customFormat="1" x14ac:dyDescent="0.25">
      <c r="A38" s="373"/>
      <c r="B38" s="374" t="s">
        <v>371</v>
      </c>
      <c r="C38" s="375">
        <f>SUM(C37:C37)</f>
        <v>40000</v>
      </c>
      <c r="D38" s="375">
        <f>SUM(D37:D37)</f>
        <v>0</v>
      </c>
      <c r="E38" s="141">
        <f t="shared" si="0"/>
        <v>40000</v>
      </c>
    </row>
    <row r="39" spans="1:5" s="372" customFormat="1" x14ac:dyDescent="0.25">
      <c r="A39" s="373"/>
      <c r="B39" s="371"/>
      <c r="C39" s="140"/>
      <c r="D39" s="140"/>
      <c r="E39" s="140"/>
    </row>
    <row r="40" spans="1:5" s="372" customFormat="1" ht="31.5" x14ac:dyDescent="0.25">
      <c r="A40" s="370" t="s">
        <v>663</v>
      </c>
      <c r="B40" s="371" t="s">
        <v>664</v>
      </c>
      <c r="C40" s="140">
        <v>7365</v>
      </c>
      <c r="D40" s="140"/>
      <c r="E40" s="140">
        <f t="shared" si="0"/>
        <v>7365</v>
      </c>
    </row>
    <row r="41" spans="1:5" s="372" customFormat="1" x14ac:dyDescent="0.25">
      <c r="A41" s="370"/>
      <c r="B41" s="371" t="s">
        <v>665</v>
      </c>
      <c r="C41" s="140">
        <v>6380</v>
      </c>
      <c r="D41" s="140"/>
      <c r="E41" s="140">
        <f t="shared" si="0"/>
        <v>6380</v>
      </c>
    </row>
    <row r="42" spans="1:5" s="372" customFormat="1" x14ac:dyDescent="0.25">
      <c r="A42" s="373"/>
      <c r="B42" s="374" t="s">
        <v>371</v>
      </c>
      <c r="C42" s="375">
        <f>SUM(C40:C41)</f>
        <v>13745</v>
      </c>
      <c r="D42" s="375">
        <f>SUM(D40:D41)</f>
        <v>0</v>
      </c>
      <c r="E42" s="141">
        <f t="shared" si="0"/>
        <v>13745</v>
      </c>
    </row>
    <row r="43" spans="1:5" s="372" customFormat="1" x14ac:dyDescent="0.25">
      <c r="A43" s="373"/>
      <c r="B43" s="371"/>
      <c r="C43" s="140"/>
      <c r="D43" s="140"/>
      <c r="E43" s="140"/>
    </row>
    <row r="44" spans="1:5" s="372" customFormat="1" x14ac:dyDescent="0.25">
      <c r="A44" s="370" t="s">
        <v>666</v>
      </c>
      <c r="B44" s="371" t="s">
        <v>665</v>
      </c>
      <c r="C44" s="140">
        <v>9967</v>
      </c>
      <c r="D44" s="140"/>
      <c r="E44" s="140">
        <f t="shared" si="0"/>
        <v>9967</v>
      </c>
    </row>
    <row r="45" spans="1:5" s="372" customFormat="1" x14ac:dyDescent="0.25">
      <c r="A45" s="373"/>
      <c r="B45" s="374" t="s">
        <v>371</v>
      </c>
      <c r="C45" s="375">
        <f>SUM(C44:C44)</f>
        <v>9967</v>
      </c>
      <c r="D45" s="375">
        <f>SUM(D44:D44)</f>
        <v>0</v>
      </c>
      <c r="E45" s="141">
        <f t="shared" si="0"/>
        <v>9967</v>
      </c>
    </row>
    <row r="46" spans="1:5" s="372" customFormat="1" x14ac:dyDescent="0.25">
      <c r="A46" s="373"/>
      <c r="B46" s="374"/>
      <c r="C46" s="375"/>
      <c r="D46" s="375"/>
      <c r="E46" s="140"/>
    </row>
    <row r="47" spans="1:5" s="372" customFormat="1" ht="31.5" x14ac:dyDescent="0.25">
      <c r="A47" s="370" t="s">
        <v>482</v>
      </c>
      <c r="B47" s="371" t="s">
        <v>670</v>
      </c>
      <c r="C47" s="140">
        <v>15987</v>
      </c>
      <c r="D47" s="140"/>
      <c r="E47" s="140">
        <f t="shared" si="0"/>
        <v>15987</v>
      </c>
    </row>
    <row r="48" spans="1:5" s="372" customFormat="1" x14ac:dyDescent="0.25">
      <c r="A48" s="373"/>
      <c r="B48" s="374" t="s">
        <v>371</v>
      </c>
      <c r="C48" s="375">
        <f>SUM(C47:C47)</f>
        <v>15987</v>
      </c>
      <c r="D48" s="375">
        <f>SUM(D47:D47)</f>
        <v>0</v>
      </c>
      <c r="E48" s="141">
        <f t="shared" si="0"/>
        <v>15987</v>
      </c>
    </row>
    <row r="49" spans="1:5" s="372" customFormat="1" x14ac:dyDescent="0.25">
      <c r="A49" s="373"/>
      <c r="B49" s="374"/>
      <c r="C49" s="375"/>
      <c r="D49" s="375"/>
      <c r="E49" s="140"/>
    </row>
    <row r="50" spans="1:5" s="372" customFormat="1" ht="47.25" x14ac:dyDescent="0.25">
      <c r="A50" s="370" t="s">
        <v>782</v>
      </c>
      <c r="B50" s="371" t="s">
        <v>783</v>
      </c>
      <c r="C50" s="140">
        <v>600000</v>
      </c>
      <c r="D50" s="140"/>
      <c r="E50" s="140">
        <f t="shared" si="0"/>
        <v>600000</v>
      </c>
    </row>
    <row r="51" spans="1:5" s="372" customFormat="1" ht="31.5" x14ac:dyDescent="0.25">
      <c r="A51" s="373"/>
      <c r="B51" s="371" t="s">
        <v>784</v>
      </c>
      <c r="C51" s="140">
        <v>5000</v>
      </c>
      <c r="D51" s="140">
        <v>-5000</v>
      </c>
      <c r="E51" s="140">
        <f t="shared" si="0"/>
        <v>0</v>
      </c>
    </row>
    <row r="52" spans="1:5" s="372" customFormat="1" x14ac:dyDescent="0.25">
      <c r="A52" s="373"/>
      <c r="B52" s="374" t="s">
        <v>371</v>
      </c>
      <c r="C52" s="375">
        <f>SUM(C50:C51)</f>
        <v>605000</v>
      </c>
      <c r="D52" s="375">
        <f>SUM(D50:D51)</f>
        <v>-5000</v>
      </c>
      <c r="E52" s="141">
        <f t="shared" ref="E52:E92" si="3">D52+C52</f>
        <v>600000</v>
      </c>
    </row>
    <row r="53" spans="1:5" s="372" customFormat="1" x14ac:dyDescent="0.25">
      <c r="A53" s="373"/>
      <c r="B53" s="371"/>
      <c r="C53" s="140"/>
      <c r="D53" s="140"/>
      <c r="E53" s="140"/>
    </row>
    <row r="54" spans="1:5" s="372" customFormat="1" x14ac:dyDescent="0.25">
      <c r="A54" s="370" t="s">
        <v>667</v>
      </c>
      <c r="B54" s="371" t="s">
        <v>668</v>
      </c>
      <c r="C54" s="140">
        <v>7000</v>
      </c>
      <c r="D54" s="140"/>
      <c r="E54" s="140">
        <f t="shared" si="3"/>
        <v>7000</v>
      </c>
    </row>
    <row r="55" spans="1:5" s="372" customFormat="1" x14ac:dyDescent="0.25">
      <c r="A55" s="373"/>
      <c r="B55" s="374" t="s">
        <v>371</v>
      </c>
      <c r="C55" s="375">
        <f>SUM(C54:C54)</f>
        <v>7000</v>
      </c>
      <c r="D55" s="375">
        <f>SUM(D54:D54)</f>
        <v>0</v>
      </c>
      <c r="E55" s="141">
        <f t="shared" si="3"/>
        <v>7000</v>
      </c>
    </row>
    <row r="56" spans="1:5" s="372" customFormat="1" x14ac:dyDescent="0.25">
      <c r="A56" s="373"/>
      <c r="B56" s="371"/>
      <c r="C56" s="140"/>
      <c r="D56" s="140"/>
      <c r="E56" s="140"/>
    </row>
    <row r="57" spans="1:5" s="372" customFormat="1" x14ac:dyDescent="0.25">
      <c r="A57" s="370" t="s">
        <v>785</v>
      </c>
      <c r="B57" s="371" t="s">
        <v>372</v>
      </c>
      <c r="C57" s="140">
        <v>52661</v>
      </c>
      <c r="D57" s="140"/>
      <c r="E57" s="140">
        <f t="shared" si="3"/>
        <v>52661</v>
      </c>
    </row>
    <row r="58" spans="1:5" s="376" customFormat="1" x14ac:dyDescent="0.25">
      <c r="A58" s="370"/>
      <c r="B58" s="374" t="s">
        <v>371</v>
      </c>
      <c r="C58" s="141">
        <f>SUM(C57:C57)</f>
        <v>52661</v>
      </c>
      <c r="D58" s="141">
        <f>SUM(D57:D57)</f>
        <v>0</v>
      </c>
      <c r="E58" s="141">
        <f t="shared" si="3"/>
        <v>52661</v>
      </c>
    </row>
    <row r="59" spans="1:5" s="372" customFormat="1" x14ac:dyDescent="0.25">
      <c r="A59" s="373"/>
      <c r="B59" s="371"/>
      <c r="C59" s="140"/>
      <c r="D59" s="140"/>
      <c r="E59" s="140"/>
    </row>
    <row r="60" spans="1:5" s="372" customFormat="1" x14ac:dyDescent="0.25">
      <c r="A60" s="370" t="s">
        <v>392</v>
      </c>
      <c r="B60" s="371" t="s">
        <v>669</v>
      </c>
      <c r="C60" s="140">
        <v>37726</v>
      </c>
      <c r="D60" s="140"/>
      <c r="E60" s="140">
        <f t="shared" si="3"/>
        <v>37726</v>
      </c>
    </row>
    <row r="61" spans="1:5" s="372" customFormat="1" ht="31.5" x14ac:dyDescent="0.25">
      <c r="A61" s="370"/>
      <c r="B61" s="371" t="s">
        <v>786</v>
      </c>
      <c r="C61" s="140">
        <v>62958</v>
      </c>
      <c r="D61" s="140"/>
      <c r="E61" s="140">
        <f t="shared" si="3"/>
        <v>62958</v>
      </c>
    </row>
    <row r="62" spans="1:5" s="376" customFormat="1" x14ac:dyDescent="0.25">
      <c r="A62" s="370"/>
      <c r="B62" s="374" t="s">
        <v>371</v>
      </c>
      <c r="C62" s="141">
        <f>C60+C61</f>
        <v>100684</v>
      </c>
      <c r="D62" s="141">
        <f>D60+D61</f>
        <v>0</v>
      </c>
      <c r="E62" s="141">
        <f t="shared" si="3"/>
        <v>100684</v>
      </c>
    </row>
    <row r="63" spans="1:5" s="372" customFormat="1" x14ac:dyDescent="0.25">
      <c r="A63" s="373"/>
      <c r="B63" s="371"/>
      <c r="C63" s="140"/>
      <c r="D63" s="140"/>
      <c r="E63" s="140"/>
    </row>
    <row r="64" spans="1:5" s="372" customFormat="1" x14ac:dyDescent="0.25">
      <c r="A64" s="370" t="s">
        <v>373</v>
      </c>
      <c r="B64" s="371" t="s">
        <v>374</v>
      </c>
      <c r="C64" s="140">
        <f>14542-12300</f>
        <v>2242</v>
      </c>
      <c r="D64" s="140"/>
      <c r="E64" s="140">
        <f t="shared" si="3"/>
        <v>2242</v>
      </c>
    </row>
    <row r="65" spans="1:5" s="372" customFormat="1" x14ac:dyDescent="0.25">
      <c r="A65" s="370"/>
      <c r="B65" s="371" t="s">
        <v>787</v>
      </c>
      <c r="C65" s="140">
        <v>20000</v>
      </c>
      <c r="D65" s="140"/>
      <c r="E65" s="140">
        <f t="shared" si="3"/>
        <v>20000</v>
      </c>
    </row>
    <row r="66" spans="1:5" s="372" customFormat="1" x14ac:dyDescent="0.25">
      <c r="A66" s="373"/>
      <c r="B66" s="374" t="s">
        <v>371</v>
      </c>
      <c r="C66" s="375">
        <f>SUM(C64:C65)</f>
        <v>22242</v>
      </c>
      <c r="D66" s="375">
        <f>SUM(D64:D65)</f>
        <v>0</v>
      </c>
      <c r="E66" s="141">
        <f t="shared" si="3"/>
        <v>22242</v>
      </c>
    </row>
    <row r="67" spans="1:5" s="372" customFormat="1" x14ac:dyDescent="0.25">
      <c r="A67" s="373"/>
      <c r="B67" s="374"/>
      <c r="C67" s="375"/>
      <c r="D67" s="375"/>
      <c r="E67" s="140"/>
    </row>
    <row r="68" spans="1:5" s="372" customFormat="1" ht="31.5" customHeight="1" x14ac:dyDescent="0.25">
      <c r="A68" s="370" t="s">
        <v>391</v>
      </c>
      <c r="B68" s="379" t="s">
        <v>788</v>
      </c>
      <c r="C68" s="140">
        <v>25000</v>
      </c>
      <c r="D68" s="140">
        <v>-25000</v>
      </c>
      <c r="E68" s="140">
        <f t="shared" si="3"/>
        <v>0</v>
      </c>
    </row>
    <row r="69" spans="1:5" s="372" customFormat="1" ht="33" customHeight="1" x14ac:dyDescent="0.25">
      <c r="A69" s="380"/>
      <c r="B69" s="371" t="s">
        <v>652</v>
      </c>
      <c r="C69" s="140">
        <f>40000-30000</f>
        <v>10000</v>
      </c>
      <c r="D69" s="140"/>
      <c r="E69" s="140">
        <f t="shared" si="3"/>
        <v>10000</v>
      </c>
    </row>
    <row r="70" spans="1:5" s="372" customFormat="1" x14ac:dyDescent="0.25">
      <c r="A70" s="381"/>
      <c r="B70" s="374" t="s">
        <v>371</v>
      </c>
      <c r="C70" s="375">
        <f>C68+C69</f>
        <v>35000</v>
      </c>
      <c r="D70" s="375">
        <f>D68+D69</f>
        <v>-25000</v>
      </c>
      <c r="E70" s="141">
        <f t="shared" si="3"/>
        <v>10000</v>
      </c>
    </row>
    <row r="71" spans="1:5" s="372" customFormat="1" x14ac:dyDescent="0.25">
      <c r="A71" s="373"/>
      <c r="B71" s="374"/>
      <c r="C71" s="375"/>
      <c r="D71" s="375"/>
      <c r="E71" s="140"/>
    </row>
    <row r="72" spans="1:5" s="372" customFormat="1" ht="31.5" x14ac:dyDescent="0.25">
      <c r="A72" s="370" t="s">
        <v>789</v>
      </c>
      <c r="B72" s="371" t="s">
        <v>790</v>
      </c>
      <c r="C72" s="140">
        <v>5000</v>
      </c>
      <c r="D72" s="140">
        <v>-5000</v>
      </c>
      <c r="E72" s="140">
        <f t="shared" si="3"/>
        <v>0</v>
      </c>
    </row>
    <row r="73" spans="1:5" s="372" customFormat="1" x14ac:dyDescent="0.25">
      <c r="A73" s="373"/>
      <c r="B73" s="374" t="s">
        <v>371</v>
      </c>
      <c r="C73" s="375">
        <f>+C72</f>
        <v>5000</v>
      </c>
      <c r="D73" s="375">
        <f>+D72</f>
        <v>-5000</v>
      </c>
      <c r="E73" s="141">
        <f t="shared" si="3"/>
        <v>0</v>
      </c>
    </row>
    <row r="74" spans="1:5" s="372" customFormat="1" x14ac:dyDescent="0.25">
      <c r="A74" s="373"/>
      <c r="B74" s="374"/>
      <c r="C74" s="375"/>
      <c r="D74" s="375"/>
      <c r="E74" s="140"/>
    </row>
    <row r="75" spans="1:5" s="372" customFormat="1" x14ac:dyDescent="0.25">
      <c r="A75" s="370" t="s">
        <v>375</v>
      </c>
      <c r="B75" s="371"/>
      <c r="C75" s="141">
        <v>7376</v>
      </c>
      <c r="D75" s="141"/>
      <c r="E75" s="141">
        <f t="shared" si="3"/>
        <v>7376</v>
      </c>
    </row>
    <row r="76" spans="1:5" s="372" customFormat="1" x14ac:dyDescent="0.25">
      <c r="A76" s="370"/>
      <c r="B76" s="371"/>
      <c r="C76" s="141"/>
      <c r="D76" s="141"/>
      <c r="E76" s="141"/>
    </row>
    <row r="77" spans="1:5" s="376" customFormat="1" x14ac:dyDescent="0.25">
      <c r="A77" s="370" t="s">
        <v>376</v>
      </c>
      <c r="B77" s="371"/>
      <c r="C77" s="382">
        <f>56610-33550</f>
        <v>23060</v>
      </c>
      <c r="D77" s="382"/>
      <c r="E77" s="141">
        <f t="shared" si="3"/>
        <v>23060</v>
      </c>
    </row>
    <row r="78" spans="1:5" s="376" customFormat="1" x14ac:dyDescent="0.25">
      <c r="A78" s="370"/>
      <c r="B78" s="371"/>
      <c r="C78" s="382"/>
      <c r="D78" s="382"/>
      <c r="E78" s="140"/>
    </row>
    <row r="79" spans="1:5" s="372" customFormat="1" x14ac:dyDescent="0.25">
      <c r="A79" s="922" t="s">
        <v>483</v>
      </c>
      <c r="B79" s="923"/>
      <c r="C79" s="250"/>
      <c r="D79" s="250"/>
      <c r="E79" s="140"/>
    </row>
    <row r="80" spans="1:5" s="372" customFormat="1" ht="31.5" x14ac:dyDescent="0.25">
      <c r="A80" s="370" t="s">
        <v>409</v>
      </c>
      <c r="B80" s="373" t="s">
        <v>577</v>
      </c>
      <c r="C80" s="140">
        <v>8271</v>
      </c>
      <c r="D80" s="140"/>
      <c r="E80" s="140">
        <f t="shared" si="3"/>
        <v>8271</v>
      </c>
    </row>
    <row r="81" spans="1:5" s="376" customFormat="1" x14ac:dyDescent="0.25">
      <c r="A81" s="370"/>
      <c r="B81" s="370" t="s">
        <v>371</v>
      </c>
      <c r="C81" s="375">
        <f t="shared" ref="C81:D81" si="4">SUM(C80)</f>
        <v>8271</v>
      </c>
      <c r="D81" s="375">
        <f t="shared" si="4"/>
        <v>0</v>
      </c>
      <c r="E81" s="141">
        <f t="shared" si="3"/>
        <v>8271</v>
      </c>
    </row>
    <row r="82" spans="1:5" s="372" customFormat="1" x14ac:dyDescent="0.25">
      <c r="A82" s="373"/>
      <c r="B82" s="373"/>
      <c r="C82" s="140"/>
      <c r="D82" s="140"/>
      <c r="E82" s="140"/>
    </row>
    <row r="83" spans="1:5" s="372" customFormat="1" x14ac:dyDescent="0.25">
      <c r="A83" s="370" t="s">
        <v>791</v>
      </c>
      <c r="B83" s="373" t="s">
        <v>578</v>
      </c>
      <c r="C83" s="140">
        <v>2463</v>
      </c>
      <c r="D83" s="140"/>
      <c r="E83" s="140">
        <f t="shared" si="3"/>
        <v>2463</v>
      </c>
    </row>
    <row r="84" spans="1:5" s="376" customFormat="1" x14ac:dyDescent="0.25">
      <c r="A84" s="370"/>
      <c r="B84" s="370" t="s">
        <v>371</v>
      </c>
      <c r="C84" s="375">
        <f t="shared" ref="C84:D84" si="5">SUM(C83)</f>
        <v>2463</v>
      </c>
      <c r="D84" s="375">
        <f t="shared" si="5"/>
        <v>0</v>
      </c>
      <c r="E84" s="141">
        <f t="shared" si="3"/>
        <v>2463</v>
      </c>
    </row>
    <row r="85" spans="1:5" s="372" customFormat="1" x14ac:dyDescent="0.25">
      <c r="A85" s="373"/>
      <c r="B85" s="373"/>
      <c r="C85" s="140"/>
      <c r="D85" s="140"/>
      <c r="E85" s="140"/>
    </row>
    <row r="86" spans="1:5" s="372" customFormat="1" ht="31.5" x14ac:dyDescent="0.25">
      <c r="A86" s="370" t="s">
        <v>792</v>
      </c>
      <c r="B86" s="373" t="s">
        <v>579</v>
      </c>
      <c r="C86" s="140">
        <v>7181</v>
      </c>
      <c r="D86" s="140"/>
      <c r="E86" s="140">
        <f t="shared" si="3"/>
        <v>7181</v>
      </c>
    </row>
    <row r="87" spans="1:5" s="376" customFormat="1" x14ac:dyDescent="0.25">
      <c r="A87" s="370"/>
      <c r="B87" s="370" t="s">
        <v>371</v>
      </c>
      <c r="C87" s="375">
        <f t="shared" ref="C87:D87" si="6">SUM(C86)</f>
        <v>7181</v>
      </c>
      <c r="D87" s="375">
        <f t="shared" si="6"/>
        <v>0</v>
      </c>
      <c r="E87" s="141">
        <f t="shared" si="3"/>
        <v>7181</v>
      </c>
    </row>
    <row r="88" spans="1:5" s="372" customFormat="1" x14ac:dyDescent="0.25">
      <c r="A88" s="373"/>
      <c r="B88" s="373"/>
      <c r="C88" s="140"/>
      <c r="D88" s="140"/>
      <c r="E88" s="140"/>
    </row>
    <row r="89" spans="1:5" s="376" customFormat="1" x14ac:dyDescent="0.25">
      <c r="A89" s="370" t="s">
        <v>793</v>
      </c>
      <c r="B89" s="373" t="s">
        <v>671</v>
      </c>
      <c r="C89" s="140">
        <f>456209-113911+8132</f>
        <v>350430</v>
      </c>
      <c r="D89" s="140"/>
      <c r="E89" s="140">
        <f t="shared" si="3"/>
        <v>350430</v>
      </c>
    </row>
    <row r="90" spans="1:5" s="372" customFormat="1" x14ac:dyDescent="0.25">
      <c r="A90" s="370"/>
      <c r="B90" s="370" t="s">
        <v>371</v>
      </c>
      <c r="C90" s="375">
        <f t="shared" ref="C90:D90" si="7">SUM(C89)</f>
        <v>350430</v>
      </c>
      <c r="D90" s="375">
        <f t="shared" si="7"/>
        <v>0</v>
      </c>
      <c r="E90" s="141">
        <f t="shared" si="3"/>
        <v>350430</v>
      </c>
    </row>
    <row r="91" spans="1:5" s="372" customFormat="1" x14ac:dyDescent="0.25">
      <c r="A91" s="373"/>
      <c r="B91" s="373"/>
      <c r="C91" s="140"/>
      <c r="D91" s="140"/>
      <c r="E91" s="140"/>
    </row>
    <row r="92" spans="1:5" ht="16.5" thickBot="1" x14ac:dyDescent="0.3">
      <c r="A92" s="383" t="s">
        <v>484</v>
      </c>
      <c r="B92" s="384"/>
      <c r="C92" s="220">
        <f>+C81+C84+C87+C90</f>
        <v>368345</v>
      </c>
      <c r="D92" s="220">
        <f>+D81+D84+D87+D90</f>
        <v>0</v>
      </c>
      <c r="E92" s="140">
        <f t="shared" si="3"/>
        <v>368345</v>
      </c>
    </row>
    <row r="93" spans="1:5" ht="16.5" thickBot="1" x14ac:dyDescent="0.3">
      <c r="A93" s="924" t="s">
        <v>377</v>
      </c>
      <c r="B93" s="924"/>
      <c r="C93" s="385">
        <f>C13+C16+C19+C22+C26+C29+C32+C35+C38+C42+C45+C48+C52+C55+C58+C62+C66+C70+C73+C75+C77+C92</f>
        <v>1717428</v>
      </c>
      <c r="D93" s="385">
        <f t="shared" ref="D93:E93" si="8">D13+D16+D19+D22+D26+D29+D32+D35+D38+D42+D45+D48+D52+D55+D58+D62+D66+D70+D73+D75+D77+D92</f>
        <v>-86334</v>
      </c>
      <c r="E93" s="385">
        <f t="shared" si="8"/>
        <v>1631094</v>
      </c>
    </row>
    <row r="94" spans="1:5" x14ac:dyDescent="0.25">
      <c r="A94" s="379"/>
      <c r="B94" s="372"/>
      <c r="C94" s="377"/>
      <c r="D94" s="377"/>
      <c r="E94" s="377"/>
    </row>
    <row r="95" spans="1:5" x14ac:dyDescent="0.25">
      <c r="A95" s="299"/>
    </row>
    <row r="102" spans="1:10" x14ac:dyDescent="0.25">
      <c r="A102" s="749"/>
      <c r="C102" s="749"/>
      <c r="D102" s="749"/>
      <c r="E102" s="749"/>
    </row>
    <row r="103" spans="1:10" s="753" customFormat="1" x14ac:dyDescent="0.25">
      <c r="A103" s="749"/>
      <c r="B103" s="749"/>
      <c r="C103" s="749"/>
      <c r="D103" s="749"/>
      <c r="E103" s="749"/>
      <c r="F103" s="749"/>
      <c r="G103" s="749"/>
      <c r="H103" s="749"/>
      <c r="I103" s="749"/>
      <c r="J103" s="749"/>
    </row>
    <row r="104" spans="1:10" s="753" customFormat="1" x14ac:dyDescent="0.25">
      <c r="A104" s="749"/>
      <c r="B104" s="749"/>
      <c r="C104" s="749"/>
      <c r="D104" s="749"/>
      <c r="E104" s="749"/>
      <c r="F104" s="749"/>
      <c r="G104" s="749"/>
      <c r="H104" s="749"/>
      <c r="I104" s="749"/>
      <c r="J104" s="749"/>
    </row>
    <row r="105" spans="1:10" s="753" customFormat="1" x14ac:dyDescent="0.25">
      <c r="A105" s="749"/>
      <c r="B105" s="749"/>
      <c r="C105" s="749"/>
      <c r="D105" s="749"/>
      <c r="E105" s="749"/>
      <c r="F105" s="749"/>
      <c r="G105" s="749"/>
      <c r="H105" s="749"/>
      <c r="I105" s="749"/>
      <c r="J105" s="749"/>
    </row>
    <row r="106" spans="1:10" s="753" customFormat="1" x14ac:dyDescent="0.25">
      <c r="A106" s="749"/>
      <c r="B106" s="749"/>
      <c r="C106" s="749"/>
      <c r="D106" s="749"/>
      <c r="E106" s="749"/>
      <c r="F106" s="749"/>
      <c r="G106" s="749"/>
      <c r="H106" s="749"/>
      <c r="I106" s="749"/>
      <c r="J106" s="749"/>
    </row>
  </sheetData>
  <mergeCells count="4">
    <mergeCell ref="A4:B4"/>
    <mergeCell ref="A79:B79"/>
    <mergeCell ref="A93:B93"/>
    <mergeCell ref="A1:E1"/>
  </mergeCells>
  <pageMargins left="0.70866141732283472" right="0.70866141732283472" top="0.74803149606299213" bottom="0.74803149606299213" header="0.31496062992125984" footer="0.31496062992125984"/>
  <pageSetup paperSize="9" scale="55" fitToHeight="0" orientation="portrait" r:id="rId1"/>
  <headerFooter>
    <oddHeader>&amp;R&amp;"Times New Roman CE,Félkövér"13. melléklet a 24/2020.(VI.3.) önkormányzati rendelethez
&amp;"Times New Roman CE,Dőlt"&amp;10 14. melléklet az 5/2020.(II.17.) önkormányzati rendelethez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3"/>
  <sheetViews>
    <sheetView topLeftCell="A13" zoomScale="80" zoomScaleNormal="80" workbookViewId="0">
      <selection activeCell="F6" sqref="F6"/>
    </sheetView>
  </sheetViews>
  <sheetFormatPr defaultColWidth="8.75" defaultRowHeight="15.75" x14ac:dyDescent="0.25"/>
  <cols>
    <col min="1" max="1" width="24.75" style="754" customWidth="1"/>
    <col min="2" max="2" width="39.125" style="754" customWidth="1"/>
    <col min="3" max="5" width="17.625" style="754" customWidth="1"/>
    <col min="6" max="16384" width="8.75" style="754"/>
  </cols>
  <sheetData>
    <row r="1" spans="1:6" ht="79.5" customHeight="1" x14ac:dyDescent="0.3">
      <c r="A1" s="932" t="s">
        <v>1067</v>
      </c>
      <c r="B1" s="932"/>
      <c r="C1" s="932"/>
      <c r="D1" s="932"/>
      <c r="E1" s="932"/>
    </row>
    <row r="2" spans="1:6" ht="16.5" thickBot="1" x14ac:dyDescent="0.3"/>
    <row r="3" spans="1:6" ht="47.25" customHeight="1" x14ac:dyDescent="0.25">
      <c r="A3" s="755" t="s">
        <v>1068</v>
      </c>
      <c r="B3" s="756"/>
      <c r="C3" s="757" t="s">
        <v>1066</v>
      </c>
      <c r="D3" s="757" t="s">
        <v>350</v>
      </c>
      <c r="E3" s="757" t="s">
        <v>1082</v>
      </c>
    </row>
    <row r="4" spans="1:6" x14ac:dyDescent="0.25">
      <c r="A4" s="758" t="s">
        <v>1069</v>
      </c>
      <c r="B4" s="759"/>
      <c r="C4" s="559">
        <f>+C5+C6</f>
        <v>416000</v>
      </c>
      <c r="D4" s="559">
        <f>+D5+D6</f>
        <v>-11472</v>
      </c>
      <c r="E4" s="559">
        <f>+E5+E6</f>
        <v>404528</v>
      </c>
    </row>
    <row r="5" spans="1:6" x14ac:dyDescent="0.25">
      <c r="A5" s="760" t="s">
        <v>1070</v>
      </c>
      <c r="B5" s="761" t="s">
        <v>1071</v>
      </c>
      <c r="C5" s="560">
        <v>299000</v>
      </c>
      <c r="D5" s="560"/>
      <c r="E5" s="560">
        <v>299000</v>
      </c>
    </row>
    <row r="6" spans="1:6" x14ac:dyDescent="0.25">
      <c r="A6" s="762"/>
      <c r="B6" s="761" t="s">
        <v>1072</v>
      </c>
      <c r="C6" s="560">
        <v>117000</v>
      </c>
      <c r="D6" s="560">
        <v>-11472</v>
      </c>
      <c r="E6" s="560">
        <f>+C6+D6</f>
        <v>105528</v>
      </c>
    </row>
    <row r="7" spans="1:6" x14ac:dyDescent="0.25">
      <c r="A7" s="763" t="s">
        <v>1073</v>
      </c>
      <c r="B7" s="764"/>
      <c r="C7" s="559">
        <f>+C6*0.27</f>
        <v>31590.000000000004</v>
      </c>
      <c r="D7" s="559">
        <f>+D6*0.27</f>
        <v>-3097.44</v>
      </c>
      <c r="E7" s="559">
        <f>+E6*0.27</f>
        <v>28492.560000000001</v>
      </c>
    </row>
    <row r="8" spans="1:6" x14ac:dyDescent="0.25">
      <c r="A8" s="765" t="s">
        <v>888</v>
      </c>
      <c r="B8" s="766"/>
      <c r="C8" s="559">
        <f>C18-C4-C7</f>
        <v>150302</v>
      </c>
      <c r="D8" s="559">
        <f>D18-D4-D7</f>
        <v>0</v>
      </c>
      <c r="E8" s="559">
        <f>E18-E4-E7</f>
        <v>150302.00000000006</v>
      </c>
    </row>
    <row r="9" spans="1:6" ht="16.5" thickBot="1" x14ac:dyDescent="0.3">
      <c r="A9" s="767" t="s">
        <v>1074</v>
      </c>
      <c r="B9" s="768"/>
      <c r="C9" s="561">
        <f>+C4+C7+C8</f>
        <v>597892</v>
      </c>
      <c r="D9" s="561">
        <f>+D4+D7+D8</f>
        <v>-14569.44</v>
      </c>
      <c r="E9" s="561">
        <f>+E4+E7+E8</f>
        <v>583322.56000000006</v>
      </c>
    </row>
    <row r="10" spans="1:6" x14ac:dyDescent="0.25">
      <c r="A10" s="769"/>
      <c r="B10" s="770"/>
      <c r="C10" s="771"/>
      <c r="D10" s="771"/>
      <c r="E10" s="771"/>
    </row>
    <row r="11" spans="1:6" ht="16.5" thickBot="1" x14ac:dyDescent="0.3">
      <c r="A11" s="769"/>
      <c r="B11" s="769"/>
      <c r="C11" s="771"/>
      <c r="D11" s="771"/>
      <c r="E11" s="771"/>
    </row>
    <row r="12" spans="1:6" ht="49.5" customHeight="1" x14ac:dyDescent="0.25">
      <c r="A12" s="755" t="s">
        <v>1075</v>
      </c>
      <c r="B12" s="772"/>
      <c r="C12" s="757" t="s">
        <v>1066</v>
      </c>
      <c r="D12" s="757" t="s">
        <v>350</v>
      </c>
      <c r="E12" s="757" t="s">
        <v>1082</v>
      </c>
    </row>
    <row r="13" spans="1:6" ht="29.25" customHeight="1" x14ac:dyDescent="0.25">
      <c r="A13" s="926" t="s">
        <v>1076</v>
      </c>
      <c r="B13" s="927"/>
      <c r="C13" s="562">
        <f>SUM(C14:C15)</f>
        <v>566302</v>
      </c>
      <c r="D13" s="562">
        <f>SUM(D14:D15)</f>
        <v>-11472</v>
      </c>
      <c r="E13" s="562">
        <f>SUM(E14:E15)</f>
        <v>554830</v>
      </c>
    </row>
    <row r="14" spans="1:6" x14ac:dyDescent="0.25">
      <c r="A14" s="773"/>
      <c r="B14" s="774" t="s">
        <v>1077</v>
      </c>
      <c r="C14" s="560">
        <v>315011</v>
      </c>
      <c r="D14" s="560">
        <v>-11472</v>
      </c>
      <c r="E14" s="560">
        <f>+C14+D14</f>
        <v>303539</v>
      </c>
      <c r="F14" s="779"/>
    </row>
    <row r="15" spans="1:6" ht="31.5" customHeight="1" x14ac:dyDescent="0.25">
      <c r="A15" s="775"/>
      <c r="B15" s="776" t="s">
        <v>1078</v>
      </c>
      <c r="C15" s="560">
        <v>251291</v>
      </c>
      <c r="D15" s="560"/>
      <c r="E15" s="560">
        <f>+C15+D15</f>
        <v>251291</v>
      </c>
    </row>
    <row r="16" spans="1:6" x14ac:dyDescent="0.25">
      <c r="A16" s="773"/>
      <c r="B16" s="776" t="s">
        <v>1079</v>
      </c>
      <c r="C16" s="560">
        <v>49949</v>
      </c>
      <c r="D16" s="560"/>
      <c r="E16" s="560">
        <v>49949</v>
      </c>
    </row>
    <row r="17" spans="1:5" x14ac:dyDescent="0.25">
      <c r="A17" s="928" t="s">
        <v>1080</v>
      </c>
      <c r="B17" s="929"/>
      <c r="C17" s="559">
        <f>+C7</f>
        <v>31590.000000000004</v>
      </c>
      <c r="D17" s="559">
        <f>+D7</f>
        <v>-3097.44</v>
      </c>
      <c r="E17" s="559">
        <f>+E7</f>
        <v>28492.560000000001</v>
      </c>
    </row>
    <row r="18" spans="1:5" ht="38.25" customHeight="1" thickBot="1" x14ac:dyDescent="0.3">
      <c r="A18" s="930" t="s">
        <v>1081</v>
      </c>
      <c r="B18" s="931"/>
      <c r="C18" s="561">
        <f>+C13+C17</f>
        <v>597892</v>
      </c>
      <c r="D18" s="561">
        <f>+D13+D17</f>
        <v>-14569.44</v>
      </c>
      <c r="E18" s="561">
        <f>+E13+E17</f>
        <v>583322.56000000006</v>
      </c>
    </row>
    <row r="19" spans="1:5" x14ac:dyDescent="0.25">
      <c r="A19" s="769"/>
      <c r="B19" s="769"/>
    </row>
    <row r="20" spans="1:5" x14ac:dyDescent="0.25">
      <c r="A20" s="299"/>
    </row>
    <row r="21" spans="1:5" x14ac:dyDescent="0.25">
      <c r="A21" s="777"/>
      <c r="C21" s="771"/>
      <c r="D21" s="771"/>
      <c r="E21" s="771"/>
    </row>
    <row r="23" spans="1:5" x14ac:dyDescent="0.25">
      <c r="A23" s="778"/>
      <c r="C23" s="771"/>
      <c r="D23" s="771"/>
      <c r="E23" s="771"/>
    </row>
  </sheetData>
  <mergeCells count="4">
    <mergeCell ref="A13:B13"/>
    <mergeCell ref="A17:B17"/>
    <mergeCell ref="A18:B18"/>
    <mergeCell ref="A1:E1"/>
  </mergeCells>
  <printOptions horizontalCentered="1"/>
  <pageMargins left="0.51181102362204722" right="0.27559055118110237" top="1.0629921259842521" bottom="0.39370078740157483" header="0.43307086614173229" footer="0.19685039370078741"/>
  <pageSetup paperSize="9" scale="80" orientation="landscape" r:id="rId1"/>
  <headerFooter alignWithMargins="0">
    <oddHeader xml:space="preserve">&amp;R&amp;"Times New Roman CE,Félkövér"14.melléklet
  a 24/2020.(VI.3.) önkormányzati rendelethez
&amp;"Times New Roman CE,Dőlt"15. melléklet
az 5/2020.(II.17.) önkormányzati rendelethez&amp;"Times New Roman CE,Félkövér" 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3"/>
  <sheetViews>
    <sheetView topLeftCell="A29" zoomScale="80" zoomScaleNormal="80" workbookViewId="0">
      <selection activeCell="F33" sqref="F33:F35"/>
    </sheetView>
  </sheetViews>
  <sheetFormatPr defaultColWidth="9" defaultRowHeight="15.75" x14ac:dyDescent="0.25"/>
  <cols>
    <col min="1" max="1" width="45.625" style="53" customWidth="1"/>
    <col min="2" max="2" width="16" style="54" customWidth="1"/>
    <col min="3" max="3" width="7.5" style="35" customWidth="1"/>
    <col min="4" max="4" width="43.75" style="35" customWidth="1"/>
    <col min="5" max="5" width="16" style="35" customWidth="1"/>
    <col min="6" max="6" width="24.625" style="35" customWidth="1"/>
    <col min="7" max="7" width="10.625" style="35" bestFit="1" customWidth="1"/>
    <col min="8" max="16384" width="9" style="35"/>
  </cols>
  <sheetData>
    <row r="1" spans="1:7" ht="31.5" customHeight="1" x14ac:dyDescent="0.25">
      <c r="A1" s="935" t="s">
        <v>348</v>
      </c>
      <c r="B1" s="935"/>
      <c r="C1" s="935"/>
      <c r="D1" s="935"/>
      <c r="E1" s="935"/>
      <c r="F1" s="935"/>
    </row>
    <row r="3" spans="1:7" ht="16.5" thickBot="1" x14ac:dyDescent="0.3"/>
    <row r="4" spans="1:7" ht="33" thickTop="1" thickBot="1" x14ac:dyDescent="0.3">
      <c r="A4" s="33" t="s">
        <v>53</v>
      </c>
      <c r="B4" s="34" t="s">
        <v>349</v>
      </c>
      <c r="D4" s="33" t="s">
        <v>53</v>
      </c>
      <c r="E4" s="34" t="s">
        <v>349</v>
      </c>
    </row>
    <row r="5" spans="1:7" s="37" customFormat="1" ht="16.5" thickTop="1" x14ac:dyDescent="0.25">
      <c r="A5" s="36" t="s">
        <v>281</v>
      </c>
      <c r="B5" s="233"/>
      <c r="D5" s="38" t="s">
        <v>282</v>
      </c>
      <c r="E5" s="39"/>
    </row>
    <row r="6" spans="1:7" s="42" customFormat="1" ht="31.5" x14ac:dyDescent="0.25">
      <c r="A6" s="40" t="s">
        <v>55</v>
      </c>
      <c r="B6" s="41">
        <v>8760633</v>
      </c>
      <c r="D6" s="40" t="s">
        <v>259</v>
      </c>
      <c r="E6" s="41">
        <v>6506440</v>
      </c>
      <c r="G6" s="364"/>
    </row>
    <row r="7" spans="1:7" s="42" customFormat="1" ht="31.5" x14ac:dyDescent="0.25">
      <c r="A7" s="40" t="s">
        <v>32</v>
      </c>
      <c r="B7" s="41">
        <v>1617431</v>
      </c>
      <c r="D7" s="40" t="s">
        <v>56</v>
      </c>
      <c r="E7" s="41">
        <v>16449348</v>
      </c>
    </row>
    <row r="8" spans="1:7" s="42" customFormat="1" ht="16.5" thickBot="1" x14ac:dyDescent="0.3">
      <c r="A8" s="40" t="s">
        <v>57</v>
      </c>
      <c r="B8" s="41">
        <v>13973252</v>
      </c>
      <c r="D8" s="48" t="s">
        <v>54</v>
      </c>
      <c r="E8" s="49">
        <v>3132765</v>
      </c>
    </row>
    <row r="9" spans="1:7" s="42" customFormat="1" ht="16.5" thickTop="1" x14ac:dyDescent="0.25">
      <c r="A9" s="44" t="s">
        <v>440</v>
      </c>
      <c r="B9" s="41">
        <v>220370</v>
      </c>
      <c r="D9" s="48" t="s">
        <v>261</v>
      </c>
      <c r="E9" s="49">
        <v>125735</v>
      </c>
      <c r="F9" s="936" t="s">
        <v>286</v>
      </c>
    </row>
    <row r="10" spans="1:7" s="42" customFormat="1" ht="15.75" customHeight="1" x14ac:dyDescent="0.25">
      <c r="A10" s="40" t="s">
        <v>266</v>
      </c>
      <c r="B10" s="234">
        <v>11719550</v>
      </c>
      <c r="D10" s="48"/>
      <c r="E10" s="49"/>
      <c r="F10" s="937"/>
    </row>
    <row r="11" spans="1:7" s="42" customFormat="1" ht="16.5" customHeight="1" thickBot="1" x14ac:dyDescent="0.3">
      <c r="A11" s="44" t="s">
        <v>58</v>
      </c>
      <c r="B11" s="234">
        <v>3083865</v>
      </c>
      <c r="D11" s="45"/>
      <c r="E11" s="46"/>
      <c r="F11" s="938"/>
    </row>
    <row r="12" spans="1:7" s="52" customFormat="1" ht="17.25" thickTop="1" thickBot="1" x14ac:dyDescent="0.3">
      <c r="A12" s="50" t="s">
        <v>279</v>
      </c>
      <c r="B12" s="51">
        <f>SUM(B5:B11)</f>
        <v>39375101</v>
      </c>
      <c r="D12" s="50" t="s">
        <v>280</v>
      </c>
      <c r="E12" s="51">
        <f>SUM(E6:E10)</f>
        <v>26214288</v>
      </c>
      <c r="F12" s="51">
        <f>+E12-B12</f>
        <v>-13160813</v>
      </c>
    </row>
    <row r="13" spans="1:7" s="52" customFormat="1" ht="17.25" thickTop="1" thickBot="1" x14ac:dyDescent="0.3">
      <c r="A13" s="92"/>
      <c r="B13" s="93"/>
      <c r="D13" s="92"/>
      <c r="E13" s="93"/>
      <c r="F13" s="93"/>
    </row>
    <row r="14" spans="1:7" s="37" customFormat="1" ht="17.25" thickTop="1" thickBot="1" x14ac:dyDescent="0.3">
      <c r="A14" s="38" t="s">
        <v>290</v>
      </c>
      <c r="B14" s="55"/>
      <c r="D14" s="38" t="s">
        <v>291</v>
      </c>
      <c r="E14" s="39"/>
    </row>
    <row r="15" spans="1:7" s="42" customFormat="1" ht="16.5" customHeight="1" thickTop="1" x14ac:dyDescent="0.25">
      <c r="A15" s="47" t="s">
        <v>308</v>
      </c>
      <c r="B15" s="41">
        <f>11621659-B33</f>
        <v>11366953</v>
      </c>
      <c r="D15" s="48" t="s">
        <v>309</v>
      </c>
      <c r="E15" s="43">
        <f>+B15</f>
        <v>11366953</v>
      </c>
      <c r="F15" s="939" t="s">
        <v>292</v>
      </c>
    </row>
    <row r="16" spans="1:7" s="42" customFormat="1" ht="31.5" x14ac:dyDescent="0.25">
      <c r="A16" s="47"/>
      <c r="B16" s="41"/>
      <c r="D16" s="125" t="s">
        <v>344</v>
      </c>
      <c r="E16" s="43">
        <v>11622671</v>
      </c>
      <c r="F16" s="940"/>
    </row>
    <row r="17" spans="1:6" s="42" customFormat="1" ht="31.5" x14ac:dyDescent="0.25">
      <c r="A17" s="219" t="s">
        <v>485</v>
      </c>
      <c r="B17" s="234">
        <v>163966</v>
      </c>
      <c r="D17" s="125"/>
      <c r="E17" s="43"/>
      <c r="F17" s="940"/>
    </row>
    <row r="18" spans="1:6" s="42" customFormat="1" ht="16.5" thickBot="1" x14ac:dyDescent="0.3">
      <c r="A18" s="95"/>
      <c r="B18" s="235"/>
      <c r="D18" s="124"/>
      <c r="E18" s="221"/>
      <c r="F18" s="941"/>
    </row>
    <row r="19" spans="1:6" s="52" customFormat="1" ht="17.25" thickTop="1" thickBot="1" x14ac:dyDescent="0.3">
      <c r="A19" s="50" t="s">
        <v>293</v>
      </c>
      <c r="B19" s="51">
        <f>SUM(B15:B18)</f>
        <v>11530919</v>
      </c>
      <c r="D19" s="50" t="s">
        <v>294</v>
      </c>
      <c r="E19" s="51">
        <f>SUM(E15:E18)</f>
        <v>22989624</v>
      </c>
      <c r="F19" s="51">
        <f>+E19-B19</f>
        <v>11458705</v>
      </c>
    </row>
    <row r="20" spans="1:6" s="52" customFormat="1" ht="17.25" thickTop="1" thickBot="1" x14ac:dyDescent="0.3">
      <c r="A20" s="92"/>
      <c r="B20" s="93"/>
      <c r="D20" s="92"/>
      <c r="E20" s="93"/>
      <c r="F20" s="93"/>
    </row>
    <row r="21" spans="1:6" s="52" customFormat="1" ht="17.25" thickTop="1" thickBot="1" x14ac:dyDescent="0.3">
      <c r="A21" s="92"/>
      <c r="B21" s="92"/>
      <c r="C21" s="92"/>
      <c r="D21" s="933" t="s">
        <v>295</v>
      </c>
      <c r="E21" s="933"/>
      <c r="F21" s="60">
        <f>SUM(F12+F19)</f>
        <v>-1702108</v>
      </c>
    </row>
    <row r="22" spans="1:6" s="52" customFormat="1" ht="16.5" thickTop="1" x14ac:dyDescent="0.25">
      <c r="A22" s="92"/>
      <c r="B22" s="93"/>
      <c r="D22" s="92"/>
      <c r="E22" s="93"/>
      <c r="F22" s="93"/>
    </row>
    <row r="23" spans="1:6" s="52" customFormat="1" ht="16.5" thickBot="1" x14ac:dyDescent="0.3">
      <c r="A23" s="92"/>
      <c r="B23" s="93"/>
      <c r="D23" s="92"/>
      <c r="E23" s="93"/>
      <c r="F23" s="93"/>
    </row>
    <row r="24" spans="1:6" ht="33" thickTop="1" thickBot="1" x14ac:dyDescent="0.3">
      <c r="A24" s="33" t="s">
        <v>53</v>
      </c>
      <c r="B24" s="34" t="s">
        <v>349</v>
      </c>
      <c r="D24" s="33" t="s">
        <v>53</v>
      </c>
      <c r="E24" s="34" t="s">
        <v>349</v>
      </c>
    </row>
    <row r="25" spans="1:6" ht="16.5" thickTop="1" x14ac:dyDescent="0.25">
      <c r="A25" s="38" t="s">
        <v>283</v>
      </c>
      <c r="B25" s="55"/>
      <c r="D25" s="38" t="s">
        <v>284</v>
      </c>
      <c r="E25" s="55"/>
    </row>
    <row r="26" spans="1:6" ht="32.25" customHeight="1" thickBot="1" x14ac:dyDescent="0.3">
      <c r="A26" s="40" t="s">
        <v>52</v>
      </c>
      <c r="B26" s="41">
        <v>23981902</v>
      </c>
      <c r="D26" s="40" t="s">
        <v>278</v>
      </c>
      <c r="E26" s="41">
        <v>10604836</v>
      </c>
      <c r="F26" s="128"/>
    </row>
    <row r="27" spans="1:6" ht="16.5" thickTop="1" x14ac:dyDescent="0.25">
      <c r="A27" s="40" t="s">
        <v>60</v>
      </c>
      <c r="B27" s="41">
        <v>356098</v>
      </c>
      <c r="D27" s="40" t="s">
        <v>285</v>
      </c>
      <c r="E27" s="41">
        <v>205000</v>
      </c>
      <c r="F27" s="939" t="s">
        <v>287</v>
      </c>
    </row>
    <row r="28" spans="1:6" x14ac:dyDescent="0.25">
      <c r="A28" s="40" t="s">
        <v>256</v>
      </c>
      <c r="B28" s="41">
        <v>1439724</v>
      </c>
      <c r="D28" s="40" t="s">
        <v>262</v>
      </c>
      <c r="E28" s="41">
        <v>26411</v>
      </c>
      <c r="F28" s="940"/>
    </row>
    <row r="29" spans="1:6" ht="16.5" thickBot="1" x14ac:dyDescent="0.3">
      <c r="A29" s="40"/>
      <c r="B29" s="41"/>
      <c r="D29" s="126"/>
      <c r="E29" s="127"/>
      <c r="F29" s="941"/>
    </row>
    <row r="30" spans="1:6" s="52" customFormat="1" ht="17.25" thickTop="1" thickBot="1" x14ac:dyDescent="0.3">
      <c r="A30" s="50" t="s">
        <v>288</v>
      </c>
      <c r="B30" s="51">
        <f>SUM(B26:B29)</f>
        <v>25777724</v>
      </c>
      <c r="D30" s="50" t="s">
        <v>289</v>
      </c>
      <c r="E30" s="51">
        <f>SUM(E26:E28)</f>
        <v>10836247</v>
      </c>
      <c r="F30" s="51">
        <f>+E30-B30</f>
        <v>-14941477</v>
      </c>
    </row>
    <row r="31" spans="1:6" s="52" customFormat="1" ht="17.25" thickTop="1" thickBot="1" x14ac:dyDescent="0.3">
      <c r="A31" s="92"/>
      <c r="B31" s="93"/>
      <c r="D31" s="92"/>
      <c r="E31" s="93"/>
      <c r="F31" s="93"/>
    </row>
    <row r="32" spans="1:6" s="37" customFormat="1" ht="17.25" thickTop="1" thickBot="1" x14ac:dyDescent="0.3">
      <c r="A32" s="38" t="s">
        <v>296</v>
      </c>
      <c r="B32" s="55"/>
      <c r="D32" s="38" t="s">
        <v>298</v>
      </c>
      <c r="E32" s="39"/>
    </row>
    <row r="33" spans="1:6" s="42" customFormat="1" ht="16.5" thickTop="1" x14ac:dyDescent="0.25">
      <c r="A33" s="47" t="s">
        <v>308</v>
      </c>
      <c r="B33" s="41">
        <v>254706</v>
      </c>
      <c r="D33" s="48" t="s">
        <v>309</v>
      </c>
      <c r="E33" s="43">
        <f>+B33</f>
        <v>254706</v>
      </c>
      <c r="F33" s="939" t="s">
        <v>305</v>
      </c>
    </row>
    <row r="34" spans="1:6" s="42" customFormat="1" ht="31.5" x14ac:dyDescent="0.25">
      <c r="A34" s="219"/>
      <c r="B34" s="234"/>
      <c r="D34" s="48" t="s">
        <v>343</v>
      </c>
      <c r="E34" s="43">
        <v>16643585</v>
      </c>
      <c r="F34" s="940"/>
    </row>
    <row r="35" spans="1:6" s="42" customFormat="1" ht="16.5" thickBot="1" x14ac:dyDescent="0.3">
      <c r="A35" s="95"/>
      <c r="B35" s="235"/>
      <c r="D35" s="47"/>
      <c r="E35" s="238"/>
      <c r="F35" s="941"/>
    </row>
    <row r="36" spans="1:6" s="52" customFormat="1" ht="17.25" thickTop="1" thickBot="1" x14ac:dyDescent="0.3">
      <c r="A36" s="50" t="s">
        <v>297</v>
      </c>
      <c r="B36" s="51">
        <f>SUM(B33)</f>
        <v>254706</v>
      </c>
      <c r="D36" s="50" t="s">
        <v>299</v>
      </c>
      <c r="E36" s="51">
        <f>SUM(E33:E35)</f>
        <v>16898291</v>
      </c>
      <c r="F36" s="51">
        <f>+E36-B36</f>
        <v>16643585</v>
      </c>
    </row>
    <row r="37" spans="1:6" s="52" customFormat="1" ht="17.25" thickTop="1" thickBot="1" x14ac:dyDescent="0.3">
      <c r="A37" s="92"/>
      <c r="B37" s="93"/>
      <c r="D37" s="92"/>
      <c r="E37" s="93"/>
      <c r="F37" s="93"/>
    </row>
    <row r="38" spans="1:6" s="52" customFormat="1" ht="17.25" thickTop="1" thickBot="1" x14ac:dyDescent="0.3">
      <c r="A38" s="92"/>
      <c r="B38" s="92"/>
      <c r="C38" s="92"/>
      <c r="D38" s="933" t="s">
        <v>300</v>
      </c>
      <c r="E38" s="933"/>
      <c r="F38" s="60">
        <f>SUM(F30+F36)</f>
        <v>1702108</v>
      </c>
    </row>
    <row r="39" spans="1:6" s="52" customFormat="1" ht="17.25" thickTop="1" thickBot="1" x14ac:dyDescent="0.3">
      <c r="A39" s="92"/>
      <c r="B39" s="93"/>
      <c r="D39" s="92"/>
      <c r="E39" s="93"/>
      <c r="F39" s="93"/>
    </row>
    <row r="40" spans="1:6" s="52" customFormat="1" ht="33" thickTop="1" thickBot="1" x14ac:dyDescent="0.3">
      <c r="A40" s="92"/>
      <c r="B40" s="93"/>
      <c r="D40" s="92"/>
      <c r="E40" s="93"/>
      <c r="F40" s="57" t="s">
        <v>61</v>
      </c>
    </row>
    <row r="41" spans="1:6" s="52" customFormat="1" ht="17.25" thickTop="1" thickBot="1" x14ac:dyDescent="0.3">
      <c r="A41" s="58" t="s">
        <v>62</v>
      </c>
      <c r="B41" s="236">
        <f>SUM(B30+B12)</f>
        <v>65152825</v>
      </c>
      <c r="C41" s="35"/>
      <c r="D41" s="58" t="s">
        <v>63</v>
      </c>
      <c r="E41" s="59">
        <f>SUM(E30+E12)</f>
        <v>37050535</v>
      </c>
      <c r="F41" s="60">
        <f>SUM(E41-B41)</f>
        <v>-28102290</v>
      </c>
    </row>
    <row r="42" spans="1:6" s="52" customFormat="1" ht="17.25" thickTop="1" thickBot="1" x14ac:dyDescent="0.3">
      <c r="A42" s="94"/>
      <c r="B42" s="237"/>
      <c r="C42" s="35"/>
      <c r="D42" s="94"/>
      <c r="E42" s="96"/>
      <c r="F42" s="96"/>
    </row>
    <row r="43" spans="1:6" s="52" customFormat="1" ht="33" thickTop="1" thickBot="1" x14ac:dyDescent="0.3">
      <c r="A43" s="92"/>
      <c r="B43" s="93"/>
      <c r="D43" s="92"/>
      <c r="E43" s="93"/>
      <c r="F43" s="57" t="s">
        <v>304</v>
      </c>
    </row>
    <row r="44" spans="1:6" s="52" customFormat="1" ht="17.25" thickTop="1" thickBot="1" x14ac:dyDescent="0.3">
      <c r="A44" s="58" t="s">
        <v>301</v>
      </c>
      <c r="B44" s="236">
        <f>SUM(B36+B19)</f>
        <v>11785625</v>
      </c>
      <c r="C44" s="35"/>
      <c r="D44" s="58" t="s">
        <v>302</v>
      </c>
      <c r="E44" s="59">
        <f>SUM(E36+E19)</f>
        <v>39887915</v>
      </c>
      <c r="F44" s="60">
        <f>SUM(E44-B44)</f>
        <v>28102290</v>
      </c>
    </row>
    <row r="45" spans="1:6" s="52" customFormat="1" ht="17.25" thickTop="1" thickBot="1" x14ac:dyDescent="0.3">
      <c r="A45" s="92"/>
      <c r="B45" s="93"/>
      <c r="D45" s="92"/>
      <c r="E45" s="93"/>
      <c r="F45" s="93"/>
    </row>
    <row r="46" spans="1:6" s="52" customFormat="1" ht="17.25" thickTop="1" thickBot="1" x14ac:dyDescent="0.3">
      <c r="A46" s="92"/>
      <c r="B46" s="93"/>
      <c r="D46" s="934" t="s">
        <v>303</v>
      </c>
      <c r="E46" s="934"/>
      <c r="F46" s="51">
        <f>SUM(F41+F44)</f>
        <v>0</v>
      </c>
    </row>
    <row r="47" spans="1:6" s="52" customFormat="1" ht="16.5" thickTop="1" x14ac:dyDescent="0.25">
      <c r="A47" s="92"/>
      <c r="B47" s="93"/>
      <c r="D47" s="92"/>
      <c r="E47" s="93"/>
      <c r="F47" s="93"/>
    </row>
    <row r="48" spans="1:6" x14ac:dyDescent="0.25">
      <c r="A48" s="61"/>
      <c r="C48" s="56"/>
      <c r="E48" s="54"/>
      <c r="F48" s="56"/>
    </row>
    <row r="49" spans="1:6" x14ac:dyDescent="0.25">
      <c r="E49" s="54"/>
    </row>
    <row r="50" spans="1:6" x14ac:dyDescent="0.25">
      <c r="A50" s="61"/>
      <c r="B50" s="62"/>
      <c r="E50" s="62"/>
      <c r="F50" s="56"/>
    </row>
    <row r="51" spans="1:6" x14ac:dyDescent="0.25">
      <c r="A51" s="61"/>
      <c r="C51" s="56"/>
      <c r="E51" s="54"/>
    </row>
    <row r="52" spans="1:6" x14ac:dyDescent="0.25">
      <c r="C52" s="56"/>
      <c r="E52" s="54"/>
    </row>
    <row r="53" spans="1:6" x14ac:dyDescent="0.25">
      <c r="A53" s="61"/>
      <c r="D53" s="63"/>
      <c r="E53" s="54"/>
    </row>
  </sheetData>
  <mergeCells count="8">
    <mergeCell ref="D38:E38"/>
    <mergeCell ref="D46:E46"/>
    <mergeCell ref="A1:F1"/>
    <mergeCell ref="F9:F11"/>
    <mergeCell ref="F15:F18"/>
    <mergeCell ref="D21:E21"/>
    <mergeCell ref="F27:F29"/>
    <mergeCell ref="F33:F35"/>
  </mergeCells>
  <printOptions horizontalCentered="1"/>
  <pageMargins left="0.31496062992125984" right="0.23622047244094491" top="0.47244094488188981" bottom="0.23622047244094491" header="0.23622047244094491" footer="0.15748031496062992"/>
  <pageSetup paperSize="9" scale="58" orientation="landscape" r:id="rId1"/>
  <headerFooter alignWithMargins="0">
    <oddHeader>&amp;R&amp;"Times New Roman CE,Félkövér"15.melléklet a 24/2020. (VI.3.) önkormányzati rendelethez&amp;"Times New Roman CE,Dőlt"&amp;10
16. melléklet
az 5/2020.(II.17.) önkormányzati rendelethez</oddHeader>
    <oddFooter xml:space="preserve">&amp;C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T37"/>
  <sheetViews>
    <sheetView zoomScale="90" zoomScaleNormal="90" workbookViewId="0">
      <pane xSplit="1" ySplit="5" topLeftCell="B27" activePane="bottomRight" state="frozen"/>
      <selection activeCell="B64" sqref="B64"/>
      <selection pane="topRight" activeCell="B64" sqref="B64"/>
      <selection pane="bottomLeft" activeCell="B64" sqref="B64"/>
      <selection pane="bottomRight" activeCell="B26" sqref="B26"/>
    </sheetView>
  </sheetViews>
  <sheetFormatPr defaultColWidth="8" defaultRowHeight="15.75" x14ac:dyDescent="0.25"/>
  <cols>
    <col min="1" max="1" width="26.125" style="780" bestFit="1" customWidth="1"/>
    <col min="2" max="2" width="11" style="781" bestFit="1" customWidth="1"/>
    <col min="3" max="3" width="12" style="781" customWidth="1"/>
    <col min="4" max="5" width="11" style="781" bestFit="1" customWidth="1"/>
    <col min="6" max="6" width="10.5" style="781" customWidth="1"/>
    <col min="7" max="7" width="12.5" style="781" customWidth="1"/>
    <col min="8" max="8" width="11.125" style="781" customWidth="1"/>
    <col min="9" max="9" width="10" style="781" bestFit="1" customWidth="1"/>
    <col min="10" max="10" width="11" style="781" bestFit="1" customWidth="1"/>
    <col min="11" max="11" width="11" style="781" customWidth="1"/>
    <col min="12" max="12" width="11.125" style="781" customWidth="1"/>
    <col min="13" max="13" width="11.625" style="781" customWidth="1"/>
    <col min="14" max="14" width="11" style="781" bestFit="1" customWidth="1"/>
    <col min="15" max="15" width="9.875" style="785" hidden="1" customWidth="1"/>
    <col min="16" max="16" width="9.875" style="786" hidden="1" customWidth="1"/>
    <col min="17" max="17" width="8" style="786" hidden="1" customWidth="1"/>
    <col min="18" max="18" width="10.625" style="780" hidden="1" customWidth="1"/>
    <col min="19" max="19" width="8" style="780"/>
    <col min="20" max="20" width="9.625" style="780" bestFit="1" customWidth="1"/>
    <col min="21" max="16384" width="8" style="780"/>
  </cols>
  <sheetData>
    <row r="2" spans="1:18" x14ac:dyDescent="0.25">
      <c r="H2" s="782"/>
      <c r="I2" s="782"/>
      <c r="J2" s="782"/>
      <c r="K2" s="782"/>
      <c r="L2" s="783"/>
      <c r="M2" s="784"/>
      <c r="N2" s="784"/>
    </row>
    <row r="3" spans="1:18" x14ac:dyDescent="0.25">
      <c r="I3" s="787"/>
      <c r="J3" s="787"/>
      <c r="K3" s="787"/>
      <c r="L3" s="788"/>
      <c r="M3" s="784"/>
      <c r="N3" s="784"/>
    </row>
    <row r="4" spans="1:18" ht="16.5" thickBot="1" x14ac:dyDescent="0.3">
      <c r="A4" s="789" t="s">
        <v>496</v>
      </c>
      <c r="D4" s="784" t="s">
        <v>1063</v>
      </c>
      <c r="I4" s="787"/>
      <c r="J4" s="787"/>
      <c r="K4" s="787"/>
      <c r="L4" s="788"/>
      <c r="M4" s="784"/>
      <c r="N4" s="784"/>
    </row>
    <row r="5" spans="1:18" s="795" customFormat="1" x14ac:dyDescent="0.25">
      <c r="A5" s="790" t="s">
        <v>137</v>
      </c>
      <c r="B5" s="791" t="s">
        <v>497</v>
      </c>
      <c r="C5" s="791" t="s">
        <v>498</v>
      </c>
      <c r="D5" s="791" t="s">
        <v>499</v>
      </c>
      <c r="E5" s="791" t="s">
        <v>500</v>
      </c>
      <c r="F5" s="791" t="s">
        <v>501</v>
      </c>
      <c r="G5" s="791" t="s">
        <v>502</v>
      </c>
      <c r="H5" s="791" t="s">
        <v>503</v>
      </c>
      <c r="I5" s="791" t="s">
        <v>504</v>
      </c>
      <c r="J5" s="791" t="s">
        <v>505</v>
      </c>
      <c r="K5" s="791" t="s">
        <v>506</v>
      </c>
      <c r="L5" s="791" t="s">
        <v>507</v>
      </c>
      <c r="M5" s="791" t="s">
        <v>508</v>
      </c>
      <c r="N5" s="792" t="s">
        <v>509</v>
      </c>
      <c r="O5" s="793" t="s">
        <v>1062</v>
      </c>
      <c r="P5" s="794"/>
      <c r="Q5" s="794"/>
    </row>
    <row r="6" spans="1:18" ht="31.5" x14ac:dyDescent="0.25">
      <c r="A6" s="796" t="s">
        <v>259</v>
      </c>
      <c r="B6" s="797">
        <v>957911</v>
      </c>
      <c r="C6" s="797">
        <v>405980</v>
      </c>
      <c r="D6" s="797">
        <v>560</v>
      </c>
      <c r="E6" s="797">
        <f t="shared" ref="E6:L6" si="0">443777+34765+92790</f>
        <v>571332</v>
      </c>
      <c r="F6" s="797">
        <f t="shared" si="0"/>
        <v>571332</v>
      </c>
      <c r="G6" s="797">
        <f t="shared" si="0"/>
        <v>571332</v>
      </c>
      <c r="H6" s="797">
        <f t="shared" si="0"/>
        <v>571332</v>
      </c>
      <c r="I6" s="797">
        <f t="shared" si="0"/>
        <v>571332</v>
      </c>
      <c r="J6" s="797">
        <f t="shared" si="0"/>
        <v>571332</v>
      </c>
      <c r="K6" s="797">
        <f t="shared" si="0"/>
        <v>571332</v>
      </c>
      <c r="L6" s="797">
        <f t="shared" si="0"/>
        <v>571332</v>
      </c>
      <c r="M6" s="797">
        <f>443774+34762+92797</f>
        <v>571333</v>
      </c>
      <c r="N6" s="798">
        <f t="shared" ref="N6:N13" si="1">SUM(B6:M6)</f>
        <v>6506440</v>
      </c>
      <c r="O6" s="785">
        <v>6506440</v>
      </c>
      <c r="P6" s="785" t="s">
        <v>165</v>
      </c>
      <c r="Q6" s="785">
        <f>+O6-N6</f>
        <v>0</v>
      </c>
      <c r="R6" s="780">
        <f>+Q6/9</f>
        <v>0</v>
      </c>
    </row>
    <row r="7" spans="1:18" ht="31.5" x14ac:dyDescent="0.25">
      <c r="A7" s="796" t="s">
        <v>260</v>
      </c>
      <c r="B7" s="797">
        <v>4370</v>
      </c>
      <c r="C7" s="797">
        <v>0</v>
      </c>
      <c r="D7" s="797">
        <v>0</v>
      </c>
      <c r="E7" s="797">
        <f>200000+574724</f>
        <v>774724</v>
      </c>
      <c r="F7" s="797">
        <f>574724+1353012-255</f>
        <v>1927481</v>
      </c>
      <c r="G7" s="797">
        <f>700000+574724</f>
        <v>1274724</v>
      </c>
      <c r="H7" s="797">
        <v>574724</v>
      </c>
      <c r="I7" s="797">
        <f>2429118+574724</f>
        <v>3003842</v>
      </c>
      <c r="J7" s="797">
        <f>746076+574724</f>
        <v>1320800</v>
      </c>
      <c r="K7" s="797">
        <v>574724</v>
      </c>
      <c r="L7" s="797">
        <v>1149447</v>
      </c>
      <c r="M7" s="797">
        <v>0</v>
      </c>
      <c r="N7" s="798">
        <f t="shared" si="1"/>
        <v>10604836</v>
      </c>
      <c r="O7" s="785">
        <v>10604836</v>
      </c>
      <c r="P7" s="785" t="s">
        <v>166</v>
      </c>
      <c r="Q7" s="785">
        <f t="shared" ref="Q7:Q13" si="2">+O7-N7</f>
        <v>0</v>
      </c>
    </row>
    <row r="8" spans="1:18" x14ac:dyDescent="0.25">
      <c r="A8" s="796" t="s">
        <v>56</v>
      </c>
      <c r="B8" s="797">
        <v>61038</v>
      </c>
      <c r="C8" s="797">
        <v>214920</v>
      </c>
      <c r="D8" s="797">
        <v>8059057</v>
      </c>
      <c r="E8" s="797">
        <v>277441</v>
      </c>
      <c r="F8" s="797">
        <v>331441</v>
      </c>
      <c r="G8" s="797">
        <f>967308+759441</f>
        <v>1726749</v>
      </c>
      <c r="H8" s="797">
        <v>121441</v>
      </c>
      <c r="I8" s="797">
        <v>324441</v>
      </c>
      <c r="J8" s="797">
        <f>8653443-5000000</f>
        <v>3653443</v>
      </c>
      <c r="K8" s="797">
        <v>351443</v>
      </c>
      <c r="L8" s="797">
        <v>301443</v>
      </c>
      <c r="M8" s="797">
        <f>2542793-1516302</f>
        <v>1026491</v>
      </c>
      <c r="N8" s="798">
        <f t="shared" si="1"/>
        <v>16449348</v>
      </c>
      <c r="O8" s="785">
        <v>16449348</v>
      </c>
      <c r="P8" s="785" t="s">
        <v>167</v>
      </c>
      <c r="Q8" s="785">
        <f t="shared" si="2"/>
        <v>0</v>
      </c>
    </row>
    <row r="9" spans="1:18" x14ac:dyDescent="0.25">
      <c r="A9" s="796" t="s">
        <v>54</v>
      </c>
      <c r="B9" s="797">
        <f>94618+283006</f>
        <v>377624</v>
      </c>
      <c r="C9" s="797">
        <f>109287+269120</f>
        <v>378407</v>
      </c>
      <c r="D9" s="797">
        <f>80351+6931</f>
        <v>87282</v>
      </c>
      <c r="E9" s="797">
        <f>178033+174177-25-61866+44244-100000</f>
        <v>234563</v>
      </c>
      <c r="F9" s="797">
        <f>178033+106377-25-61866+44244-100000</f>
        <v>166763</v>
      </c>
      <c r="G9" s="797">
        <f>178033+110357-25-61866+44244-50072</f>
        <v>220671</v>
      </c>
      <c r="H9" s="797">
        <f>178033+136618-25-61866+44244</f>
        <v>297004</v>
      </c>
      <c r="I9" s="797">
        <f>178033+78506-25-61866+44244</f>
        <v>238892</v>
      </c>
      <c r="J9" s="797">
        <f>178033+129093-25-61866+44244</f>
        <v>289479</v>
      </c>
      <c r="K9" s="797">
        <f>178033+128129-25-61866+44244</f>
        <v>288515</v>
      </c>
      <c r="L9" s="797">
        <f>178033+118040-25-61866+44244</f>
        <v>278426</v>
      </c>
      <c r="M9" s="797">
        <f>178034+114749-25-61861+44242</f>
        <v>275139</v>
      </c>
      <c r="N9" s="798">
        <f t="shared" si="1"/>
        <v>3132765</v>
      </c>
      <c r="O9" s="785">
        <v>3132765</v>
      </c>
      <c r="P9" s="785" t="s">
        <v>168</v>
      </c>
      <c r="Q9" s="785">
        <f t="shared" si="2"/>
        <v>0</v>
      </c>
    </row>
    <row r="10" spans="1:18" x14ac:dyDescent="0.25">
      <c r="A10" s="796" t="s">
        <v>59</v>
      </c>
      <c r="B10" s="797">
        <v>68</v>
      </c>
      <c r="C10" s="797">
        <v>648</v>
      </c>
      <c r="D10" s="797">
        <f>15+487</f>
        <v>502</v>
      </c>
      <c r="E10" s="797"/>
      <c r="F10" s="797"/>
      <c r="G10" s="797">
        <f>102500-731-487</f>
        <v>101282</v>
      </c>
      <c r="H10" s="797"/>
      <c r="I10" s="797"/>
      <c r="J10" s="797"/>
      <c r="K10" s="797"/>
      <c r="L10" s="797"/>
      <c r="M10" s="797">
        <v>102500</v>
      </c>
      <c r="N10" s="798">
        <f t="shared" si="1"/>
        <v>205000</v>
      </c>
      <c r="O10" s="785">
        <v>205000</v>
      </c>
      <c r="P10" s="785"/>
      <c r="Q10" s="785">
        <f t="shared" si="2"/>
        <v>0</v>
      </c>
    </row>
    <row r="11" spans="1:18" ht="31.5" x14ac:dyDescent="0.25">
      <c r="A11" s="796" t="s">
        <v>510</v>
      </c>
      <c r="B11" s="797">
        <f>29922+1850</f>
        <v>31772</v>
      </c>
      <c r="C11" s="797">
        <v>305</v>
      </c>
      <c r="D11" s="797">
        <v>62506</v>
      </c>
      <c r="E11" s="797">
        <f>2500+2319</f>
        <v>4819</v>
      </c>
      <c r="F11" s="797">
        <f>2500+2319</f>
        <v>4819</v>
      </c>
      <c r="G11" s="797">
        <f>2500+2319-4000</f>
        <v>819</v>
      </c>
      <c r="H11" s="797">
        <f>47500+2319-40000-3285</f>
        <v>6534</v>
      </c>
      <c r="I11" s="797">
        <f>2500+2319-2500</f>
        <v>2319</v>
      </c>
      <c r="J11" s="797">
        <f>2500+2319-2500</f>
        <v>2319</v>
      </c>
      <c r="K11" s="797">
        <f>2500+2319-2500</f>
        <v>2319</v>
      </c>
      <c r="L11" s="797">
        <f>47500+2319-40000-6000</f>
        <v>3819</v>
      </c>
      <c r="M11" s="797">
        <f>6000+2500+570+2315-5000-3000</f>
        <v>3385</v>
      </c>
      <c r="N11" s="798">
        <f t="shared" si="1"/>
        <v>125735</v>
      </c>
      <c r="O11" s="785">
        <v>125735</v>
      </c>
      <c r="P11" s="785" t="s">
        <v>170</v>
      </c>
      <c r="Q11" s="785">
        <f t="shared" si="2"/>
        <v>0</v>
      </c>
      <c r="R11" s="780">
        <f>+Q11/9</f>
        <v>0</v>
      </c>
    </row>
    <row r="12" spans="1:18" ht="31.5" x14ac:dyDescent="0.25">
      <c r="A12" s="796" t="s">
        <v>511</v>
      </c>
      <c r="B12" s="797">
        <v>726</v>
      </c>
      <c r="C12" s="797">
        <v>992</v>
      </c>
      <c r="D12" s="797">
        <f>584+1951</f>
        <v>2535</v>
      </c>
      <c r="E12" s="797">
        <f t="shared" ref="E12:L12" si="3">2174+469-182</f>
        <v>2461</v>
      </c>
      <c r="F12" s="797">
        <f t="shared" si="3"/>
        <v>2461</v>
      </c>
      <c r="G12" s="797">
        <f t="shared" si="3"/>
        <v>2461</v>
      </c>
      <c r="H12" s="797">
        <f t="shared" si="3"/>
        <v>2461</v>
      </c>
      <c r="I12" s="797">
        <f t="shared" si="3"/>
        <v>2461</v>
      </c>
      <c r="J12" s="797">
        <f t="shared" si="3"/>
        <v>2461</v>
      </c>
      <c r="K12" s="797">
        <f t="shared" si="3"/>
        <v>2461</v>
      </c>
      <c r="L12" s="797">
        <f t="shared" si="3"/>
        <v>2461</v>
      </c>
      <c r="M12" s="797">
        <f>170000+2182-170000+468-180</f>
        <v>2470</v>
      </c>
      <c r="N12" s="798">
        <f t="shared" si="1"/>
        <v>26411</v>
      </c>
      <c r="O12" s="785">
        <v>26411</v>
      </c>
      <c r="P12" s="785" t="s">
        <v>171</v>
      </c>
      <c r="Q12" s="785">
        <f t="shared" si="2"/>
        <v>0</v>
      </c>
      <c r="R12" s="780">
        <f>+Q12/9</f>
        <v>0</v>
      </c>
    </row>
    <row r="13" spans="1:18" x14ac:dyDescent="0.25">
      <c r="A13" s="796" t="s">
        <v>263</v>
      </c>
      <c r="B13" s="797"/>
      <c r="C13" s="797"/>
      <c r="D13" s="797"/>
      <c r="E13" s="797"/>
      <c r="F13" s="797"/>
      <c r="G13" s="797">
        <v>9000000</v>
      </c>
      <c r="H13" s="797">
        <v>3000000</v>
      </c>
      <c r="I13" s="797">
        <v>3000000</v>
      </c>
      <c r="J13" s="797">
        <v>3000000</v>
      </c>
      <c r="K13" s="797">
        <v>3500000</v>
      </c>
      <c r="L13" s="797">
        <v>3000000</v>
      </c>
      <c r="M13" s="797">
        <v>3766256</v>
      </c>
      <c r="N13" s="798">
        <f t="shared" si="1"/>
        <v>28266256</v>
      </c>
      <c r="O13" s="785">
        <v>28266256</v>
      </c>
      <c r="P13" s="785">
        <f>+O13-N13</f>
        <v>0</v>
      </c>
      <c r="Q13" s="785">
        <f t="shared" si="2"/>
        <v>0</v>
      </c>
    </row>
    <row r="14" spans="1:18" s="804" customFormat="1" ht="16.5" thickBot="1" x14ac:dyDescent="0.3">
      <c r="A14" s="799" t="s">
        <v>512</v>
      </c>
      <c r="B14" s="800">
        <f t="shared" ref="B14:N14" si="4">SUM(B6:B13)</f>
        <v>1433509</v>
      </c>
      <c r="C14" s="800">
        <f t="shared" si="4"/>
        <v>1001252</v>
      </c>
      <c r="D14" s="800">
        <f t="shared" si="4"/>
        <v>8212442</v>
      </c>
      <c r="E14" s="800">
        <f t="shared" si="4"/>
        <v>1865340</v>
      </c>
      <c r="F14" s="800">
        <f t="shared" si="4"/>
        <v>3004297</v>
      </c>
      <c r="G14" s="800">
        <f t="shared" si="4"/>
        <v>12898038</v>
      </c>
      <c r="H14" s="800">
        <f t="shared" si="4"/>
        <v>4573496</v>
      </c>
      <c r="I14" s="800">
        <f t="shared" si="4"/>
        <v>7143287</v>
      </c>
      <c r="J14" s="800">
        <f t="shared" si="4"/>
        <v>8839834</v>
      </c>
      <c r="K14" s="800">
        <f t="shared" si="4"/>
        <v>5290794</v>
      </c>
      <c r="L14" s="800">
        <f t="shared" si="4"/>
        <v>5306928</v>
      </c>
      <c r="M14" s="800">
        <f t="shared" si="4"/>
        <v>5747574</v>
      </c>
      <c r="N14" s="801">
        <f t="shared" si="4"/>
        <v>65316791</v>
      </c>
      <c r="O14" s="802">
        <f>SUM(O6:O13)</f>
        <v>65316791</v>
      </c>
      <c r="P14" s="802"/>
      <c r="Q14" s="803"/>
    </row>
    <row r="15" spans="1:18" x14ac:dyDescent="0.25">
      <c r="A15" s="789"/>
      <c r="B15" s="782"/>
      <c r="C15" s="782"/>
      <c r="D15" s="782"/>
      <c r="E15" s="782"/>
      <c r="F15" s="782"/>
      <c r="G15" s="782"/>
      <c r="H15" s="782"/>
      <c r="I15" s="782"/>
      <c r="J15" s="782"/>
      <c r="K15" s="782"/>
      <c r="L15" s="782"/>
      <c r="M15" s="782"/>
      <c r="N15" s="782"/>
    </row>
    <row r="16" spans="1:18" ht="16.5" thickBot="1" x14ac:dyDescent="0.3">
      <c r="A16" s="805" t="s">
        <v>513</v>
      </c>
    </row>
    <row r="17" spans="1:20" x14ac:dyDescent="0.25">
      <c r="A17" s="806" t="s">
        <v>514</v>
      </c>
      <c r="B17" s="807">
        <v>1180827</v>
      </c>
      <c r="C17" s="807">
        <v>1134897</v>
      </c>
      <c r="D17" s="807">
        <v>1225816</v>
      </c>
      <c r="E17" s="807">
        <f>2717412+70000-121448</f>
        <v>2665964</v>
      </c>
      <c r="F17" s="807">
        <f>1017406+70000-121448</f>
        <v>965958</v>
      </c>
      <c r="G17" s="807">
        <f>1121646+70000-121448</f>
        <v>1070198</v>
      </c>
      <c r="H17" s="807">
        <f>1329778+50000-121448</f>
        <v>1258330</v>
      </c>
      <c r="I17" s="807">
        <f>1090244+60000-121448</f>
        <v>1028796</v>
      </c>
      <c r="J17" s="807">
        <f>1120424+40000-121448</f>
        <v>1038976</v>
      </c>
      <c r="K17" s="807">
        <f>1151260+50000-121448</f>
        <v>1079812</v>
      </c>
      <c r="L17" s="807">
        <f>1157248+100000-121448</f>
        <v>1135800</v>
      </c>
      <c r="M17" s="807">
        <f>1384973+98846-121448</f>
        <v>1362371</v>
      </c>
      <c r="N17" s="808">
        <f t="shared" ref="N17:N22" si="5">SUM(B17:M17)</f>
        <v>15147745</v>
      </c>
      <c r="O17" s="785">
        <v>15147745</v>
      </c>
      <c r="P17" s="786" t="s">
        <v>1293</v>
      </c>
      <c r="T17" s="781"/>
    </row>
    <row r="18" spans="1:20" ht="31.5" x14ac:dyDescent="0.25">
      <c r="A18" s="796" t="s">
        <v>515</v>
      </c>
      <c r="B18" s="797">
        <v>1709783</v>
      </c>
      <c r="C18" s="797">
        <f>1189049-300000</f>
        <v>889049</v>
      </c>
      <c r="D18" s="797">
        <f>1122906</f>
        <v>1122906</v>
      </c>
      <c r="E18" s="797">
        <f>4774342-1000000-100000-43719-24300</f>
        <v>3606323</v>
      </c>
      <c r="F18" s="797">
        <f>1168717</f>
        <v>1168717</v>
      </c>
      <c r="G18" s="797">
        <f>1722310-80000</f>
        <v>1642310</v>
      </c>
      <c r="H18" s="797">
        <f>1188717-140000</f>
        <v>1048717</v>
      </c>
      <c r="I18" s="797">
        <f>1175570-140000</f>
        <v>1035570</v>
      </c>
      <c r="J18" s="797">
        <f>1221310-140000</f>
        <v>1081310</v>
      </c>
      <c r="K18" s="797">
        <f>1241310-150000</f>
        <v>1091310</v>
      </c>
      <c r="L18" s="797">
        <f>1168717-150000</f>
        <v>1018717</v>
      </c>
      <c r="M18" s="797">
        <f>1273907-79134-150000</f>
        <v>1044773</v>
      </c>
      <c r="N18" s="798">
        <f t="shared" si="5"/>
        <v>16459485</v>
      </c>
      <c r="O18" s="785">
        <f>+O24-O17-O19-O20-O21-O22-O23</f>
        <v>16459485</v>
      </c>
      <c r="P18" s="786" t="s">
        <v>1294</v>
      </c>
      <c r="R18" s="781">
        <f>+O18-N18</f>
        <v>0</v>
      </c>
    </row>
    <row r="19" spans="1:20" x14ac:dyDescent="0.25">
      <c r="A19" s="796" t="s">
        <v>306</v>
      </c>
      <c r="B19" s="797">
        <v>14013</v>
      </c>
      <c r="C19" s="797">
        <v>922</v>
      </c>
      <c r="D19" s="797">
        <v>3441</v>
      </c>
      <c r="E19" s="797">
        <f>46000-5000-36000</f>
        <v>5000</v>
      </c>
      <c r="F19" s="797">
        <f>8000-5000</f>
        <v>3000</v>
      </c>
      <c r="G19" s="797">
        <f>45000-40000</f>
        <v>5000</v>
      </c>
      <c r="H19" s="797">
        <f>15000-10000</f>
        <v>5000</v>
      </c>
      <c r="I19" s="797">
        <f>13000-4000</f>
        <v>9000</v>
      </c>
      <c r="J19" s="797">
        <f>15000-5000</f>
        <v>10000</v>
      </c>
      <c r="K19" s="797">
        <v>12000</v>
      </c>
      <c r="L19" s="797">
        <f>43000-5175</f>
        <v>37825</v>
      </c>
      <c r="M19" s="797">
        <f>55713+3500+3124</f>
        <v>62337</v>
      </c>
      <c r="N19" s="798">
        <f t="shared" si="5"/>
        <v>167538</v>
      </c>
      <c r="O19" s="785">
        <v>167538</v>
      </c>
      <c r="P19" s="786" t="s">
        <v>1295</v>
      </c>
      <c r="Q19" s="785">
        <f>+O19-N19</f>
        <v>0</v>
      </c>
    </row>
    <row r="20" spans="1:20" s="781" customFormat="1" x14ac:dyDescent="0.25">
      <c r="A20" s="796" t="s">
        <v>538</v>
      </c>
      <c r="B20" s="797">
        <v>75420</v>
      </c>
      <c r="C20" s="797">
        <v>1108</v>
      </c>
      <c r="D20" s="797">
        <v>35494</v>
      </c>
      <c r="E20" s="797">
        <f>120000-50000-20000</f>
        <v>50000</v>
      </c>
      <c r="F20" s="797">
        <f>25000-10000</f>
        <v>15000</v>
      </c>
      <c r="G20" s="797">
        <f>70000-20000</f>
        <v>50000</v>
      </c>
      <c r="H20" s="797">
        <f>20000-10000</f>
        <v>10000</v>
      </c>
      <c r="I20" s="797">
        <f>40000-10000</f>
        <v>30000</v>
      </c>
      <c r="J20" s="797">
        <f>25000-15000</f>
        <v>10000</v>
      </c>
      <c r="K20" s="797">
        <f>60000-50000</f>
        <v>10000</v>
      </c>
      <c r="L20" s="797">
        <f>820000-152815-66334</f>
        <v>600851</v>
      </c>
      <c r="M20" s="797">
        <f>893057+30000-152814-27022</f>
        <v>743221</v>
      </c>
      <c r="N20" s="798">
        <f t="shared" si="5"/>
        <v>1631094</v>
      </c>
      <c r="O20" s="785">
        <v>1631094</v>
      </c>
      <c r="P20" s="785" t="s">
        <v>1295</v>
      </c>
      <c r="Q20" s="785">
        <f>+O20-N20</f>
        <v>0</v>
      </c>
    </row>
    <row r="21" spans="1:20" s="781" customFormat="1" ht="45.75" customHeight="1" x14ac:dyDescent="0.25">
      <c r="A21" s="796" t="s">
        <v>516</v>
      </c>
      <c r="B21" s="797">
        <v>165484</v>
      </c>
      <c r="C21" s="797">
        <v>132259</v>
      </c>
      <c r="D21" s="797">
        <v>575955</v>
      </c>
      <c r="E21" s="797">
        <f>400000-70000</f>
        <v>330000</v>
      </c>
      <c r="F21" s="797">
        <f>500000-70000</f>
        <v>430000</v>
      </c>
      <c r="G21" s="797">
        <f>450000-70000</f>
        <v>380000</v>
      </c>
      <c r="H21" s="797">
        <f>300000-70000</f>
        <v>230000</v>
      </c>
      <c r="I21" s="797">
        <f>297452-70000</f>
        <v>227452</v>
      </c>
      <c r="J21" s="797">
        <f>700000-70000-60000</f>
        <v>570000</v>
      </c>
      <c r="K21" s="797">
        <f>500000-70000</f>
        <v>430000</v>
      </c>
      <c r="L21" s="797">
        <f>14000000-110000-200000-605287</f>
        <v>13084713</v>
      </c>
      <c r="M21" s="797">
        <f>11000000+124539-108631+1426302-334975</f>
        <v>12107235</v>
      </c>
      <c r="N21" s="798">
        <f t="shared" si="5"/>
        <v>28663098</v>
      </c>
      <c r="O21" s="785">
        <v>28663098</v>
      </c>
      <c r="P21" s="785" t="s">
        <v>1296</v>
      </c>
      <c r="Q21" s="785">
        <f t="shared" ref="Q21:Q23" si="6">+O21-N21</f>
        <v>0</v>
      </c>
    </row>
    <row r="22" spans="1:20" s="781" customFormat="1" x14ac:dyDescent="0.25">
      <c r="A22" s="796" t="s">
        <v>517</v>
      </c>
      <c r="B22" s="797"/>
      <c r="C22" s="797"/>
      <c r="D22" s="797"/>
      <c r="E22" s="797">
        <f>150000+85921+100000</f>
        <v>335921</v>
      </c>
      <c r="F22" s="797"/>
      <c r="G22" s="797">
        <f>250000+85921+250000</f>
        <v>585921</v>
      </c>
      <c r="H22" s="797"/>
      <c r="I22" s="797"/>
      <c r="J22" s="797">
        <f>300000+85921+300000+300000</f>
        <v>985921</v>
      </c>
      <c r="K22" s="797"/>
      <c r="L22" s="797"/>
      <c r="M22" s="797">
        <f>2593133+85920-2500000+667462+329587</f>
        <v>1176102</v>
      </c>
      <c r="N22" s="798">
        <f t="shared" si="5"/>
        <v>3083865</v>
      </c>
      <c r="O22" s="785">
        <v>3083865</v>
      </c>
      <c r="P22" s="785" t="s">
        <v>1300</v>
      </c>
      <c r="Q22" s="785">
        <f t="shared" si="6"/>
        <v>0</v>
      </c>
    </row>
    <row r="23" spans="1:20" s="781" customFormat="1" ht="31.5" x14ac:dyDescent="0.25">
      <c r="A23" s="809" t="s">
        <v>518</v>
      </c>
      <c r="B23" s="810">
        <v>163966</v>
      </c>
      <c r="C23" s="810"/>
      <c r="D23" s="810"/>
      <c r="E23" s="810"/>
      <c r="F23" s="810"/>
      <c r="H23" s="810"/>
      <c r="I23" s="810"/>
      <c r="J23" s="810"/>
      <c r="K23" s="810"/>
      <c r="L23" s="810"/>
      <c r="M23" s="810"/>
      <c r="N23" s="811">
        <f>SUM(B23:M23)</f>
        <v>163966</v>
      </c>
      <c r="O23" s="785">
        <v>163966</v>
      </c>
      <c r="P23" s="785"/>
      <c r="Q23" s="785">
        <f t="shared" si="6"/>
        <v>0</v>
      </c>
    </row>
    <row r="24" spans="1:20" s="781" customFormat="1" ht="16.5" thickBot="1" x14ac:dyDescent="0.3">
      <c r="A24" s="799" t="s">
        <v>519</v>
      </c>
      <c r="B24" s="800">
        <f t="shared" ref="B24:N24" si="7">SUM(B17:B23)</f>
        <v>3309493</v>
      </c>
      <c r="C24" s="800">
        <f t="shared" si="7"/>
        <v>2158235</v>
      </c>
      <c r="D24" s="800">
        <f t="shared" si="7"/>
        <v>2963612</v>
      </c>
      <c r="E24" s="800">
        <f t="shared" si="7"/>
        <v>6993208</v>
      </c>
      <c r="F24" s="800">
        <f t="shared" si="7"/>
        <v>2582675</v>
      </c>
      <c r="G24" s="800">
        <f t="shared" si="7"/>
        <v>3733429</v>
      </c>
      <c r="H24" s="800">
        <f t="shared" si="7"/>
        <v>2552047</v>
      </c>
      <c r="I24" s="800">
        <f t="shared" si="7"/>
        <v>2330818</v>
      </c>
      <c r="J24" s="800">
        <f t="shared" si="7"/>
        <v>3696207</v>
      </c>
      <c r="K24" s="800">
        <f t="shared" si="7"/>
        <v>2623122</v>
      </c>
      <c r="L24" s="800">
        <f t="shared" si="7"/>
        <v>15877906</v>
      </c>
      <c r="M24" s="812">
        <f t="shared" si="7"/>
        <v>16496039</v>
      </c>
      <c r="N24" s="800">
        <f t="shared" si="7"/>
        <v>65316791</v>
      </c>
      <c r="O24" s="802">
        <f>+O14</f>
        <v>65316791</v>
      </c>
      <c r="P24" s="802"/>
      <c r="Q24" s="785"/>
    </row>
    <row r="25" spans="1:20" s="781" customFormat="1" ht="73.5" customHeight="1" x14ac:dyDescent="0.25">
      <c r="A25" s="789"/>
      <c r="B25" s="782"/>
      <c r="C25" s="782"/>
      <c r="D25" s="782"/>
      <c r="E25" s="782"/>
      <c r="F25" s="782"/>
      <c r="G25" s="782"/>
      <c r="H25" s="782"/>
      <c r="I25" s="782"/>
      <c r="J25" s="782"/>
      <c r="K25" s="782"/>
      <c r="L25" s="782"/>
      <c r="M25" s="782"/>
      <c r="N25" s="813"/>
      <c r="O25" s="785"/>
      <c r="P25" s="785"/>
      <c r="Q25" s="785"/>
    </row>
    <row r="26" spans="1:20" s="781" customFormat="1" ht="31.5" x14ac:dyDescent="0.25">
      <c r="A26" s="814" t="s">
        <v>830</v>
      </c>
      <c r="B26" s="815">
        <f>3055001</f>
        <v>3055001</v>
      </c>
      <c r="C26" s="815">
        <f>+B28</f>
        <v>1179017</v>
      </c>
      <c r="D26" s="815">
        <f t="shared" ref="D26:M26" si="8">+C28</f>
        <v>22034</v>
      </c>
      <c r="E26" s="815">
        <f t="shared" si="8"/>
        <v>5270864</v>
      </c>
      <c r="F26" s="815">
        <f t="shared" si="8"/>
        <v>142996</v>
      </c>
      <c r="G26" s="815">
        <f t="shared" si="8"/>
        <v>564618</v>
      </c>
      <c r="H26" s="815">
        <f t="shared" si="8"/>
        <v>9729227</v>
      </c>
      <c r="I26" s="815">
        <f t="shared" si="8"/>
        <v>11750676</v>
      </c>
      <c r="J26" s="815">
        <f t="shared" si="8"/>
        <v>16563145</v>
      </c>
      <c r="K26" s="815">
        <f t="shared" si="8"/>
        <v>21706772</v>
      </c>
      <c r="L26" s="815">
        <f t="shared" si="8"/>
        <v>24374444</v>
      </c>
      <c r="M26" s="815">
        <f t="shared" si="8"/>
        <v>13803466</v>
      </c>
      <c r="N26" s="813"/>
      <c r="O26" s="785"/>
      <c r="P26" s="785"/>
      <c r="Q26" s="785"/>
    </row>
    <row r="27" spans="1:20" s="781" customFormat="1" ht="47.25" x14ac:dyDescent="0.25">
      <c r="A27" s="814" t="s">
        <v>831</v>
      </c>
      <c r="B27" s="815">
        <f>+B14-B24-B13+B13</f>
        <v>-1875984</v>
      </c>
      <c r="C27" s="815">
        <f>+C14-C24-C13+C13</f>
        <v>-1156983</v>
      </c>
      <c r="D27" s="815">
        <f t="shared" ref="D27:M27" si="9">+D14-D24-D13+D13</f>
        <v>5248830</v>
      </c>
      <c r="E27" s="815">
        <f t="shared" si="9"/>
        <v>-5127868</v>
      </c>
      <c r="F27" s="815">
        <f t="shared" si="9"/>
        <v>421622</v>
      </c>
      <c r="G27" s="815">
        <f t="shared" si="9"/>
        <v>9164609</v>
      </c>
      <c r="H27" s="815">
        <f t="shared" si="9"/>
        <v>2021449</v>
      </c>
      <c r="I27" s="815">
        <f t="shared" si="9"/>
        <v>4812469</v>
      </c>
      <c r="J27" s="815">
        <f t="shared" si="9"/>
        <v>5143627</v>
      </c>
      <c r="K27" s="815">
        <f t="shared" si="9"/>
        <v>2667672</v>
      </c>
      <c r="L27" s="815">
        <f t="shared" si="9"/>
        <v>-10570978</v>
      </c>
      <c r="M27" s="815">
        <f t="shared" si="9"/>
        <v>-10748465</v>
      </c>
      <c r="N27" s="813"/>
      <c r="O27" s="785"/>
      <c r="P27" s="785"/>
      <c r="Q27" s="785"/>
    </row>
    <row r="28" spans="1:20" s="781" customFormat="1" ht="47.25" x14ac:dyDescent="0.25">
      <c r="A28" s="814" t="s">
        <v>580</v>
      </c>
      <c r="B28" s="815">
        <f t="shared" ref="B28:M28" si="10">+B26+B27</f>
        <v>1179017</v>
      </c>
      <c r="C28" s="815">
        <f t="shared" si="10"/>
        <v>22034</v>
      </c>
      <c r="D28" s="815">
        <f t="shared" si="10"/>
        <v>5270864</v>
      </c>
      <c r="E28" s="815">
        <f t="shared" si="10"/>
        <v>142996</v>
      </c>
      <c r="F28" s="815">
        <f t="shared" si="10"/>
        <v>564618</v>
      </c>
      <c r="G28" s="815">
        <f t="shared" si="10"/>
        <v>9729227</v>
      </c>
      <c r="H28" s="815">
        <f t="shared" si="10"/>
        <v>11750676</v>
      </c>
      <c r="I28" s="815">
        <f t="shared" si="10"/>
        <v>16563145</v>
      </c>
      <c r="J28" s="815">
        <f t="shared" si="10"/>
        <v>21706772</v>
      </c>
      <c r="K28" s="815">
        <f t="shared" si="10"/>
        <v>24374444</v>
      </c>
      <c r="L28" s="815">
        <f t="shared" si="10"/>
        <v>13803466</v>
      </c>
      <c r="M28" s="815">
        <f t="shared" si="10"/>
        <v>3055001</v>
      </c>
      <c r="N28" s="813"/>
      <c r="O28" s="785"/>
      <c r="P28" s="785"/>
      <c r="Q28" s="785"/>
    </row>
    <row r="29" spans="1:20" s="781" customFormat="1" x14ac:dyDescent="0.25">
      <c r="A29" s="780"/>
      <c r="N29" s="816"/>
      <c r="O29" s="785"/>
      <c r="P29" s="785"/>
      <c r="Q29" s="785"/>
    </row>
    <row r="30" spans="1:20" x14ac:dyDescent="0.25">
      <c r="B30" s="782"/>
      <c r="C30" s="782"/>
      <c r="D30" s="782"/>
      <c r="E30" s="782"/>
      <c r="F30" s="782"/>
      <c r="G30" s="782"/>
      <c r="H30" s="782"/>
      <c r="I30" s="782"/>
      <c r="J30" s="782"/>
      <c r="K30" s="782"/>
      <c r="L30" s="782"/>
      <c r="M30" s="782"/>
      <c r="N30" s="782"/>
    </row>
    <row r="31" spans="1:20" x14ac:dyDescent="0.25">
      <c r="A31" s="780" t="s">
        <v>520</v>
      </c>
    </row>
    <row r="33" spans="1:14" x14ac:dyDescent="0.25">
      <c r="A33" s="299"/>
    </row>
    <row r="35" spans="1:14" x14ac:dyDescent="0.25">
      <c r="A35" s="804"/>
      <c r="B35" s="782"/>
      <c r="C35" s="782"/>
      <c r="D35" s="782"/>
      <c r="E35" s="782"/>
      <c r="F35" s="782"/>
      <c r="G35" s="782"/>
      <c r="H35" s="782"/>
      <c r="I35" s="782"/>
      <c r="J35" s="782"/>
      <c r="K35" s="782"/>
      <c r="L35" s="782"/>
      <c r="M35" s="782"/>
      <c r="N35" s="782"/>
    </row>
    <row r="37" spans="1:14" x14ac:dyDescent="0.25">
      <c r="A37" s="817"/>
      <c r="B37" s="818"/>
      <c r="C37" s="818"/>
      <c r="D37" s="818"/>
      <c r="E37" s="818"/>
      <c r="F37" s="818"/>
      <c r="H37" s="818"/>
      <c r="I37" s="818"/>
      <c r="J37" s="818"/>
      <c r="K37" s="818"/>
      <c r="L37" s="818"/>
      <c r="M37" s="818"/>
      <c r="N37" s="818"/>
    </row>
  </sheetData>
  <pageMargins left="0.51181102362204722" right="0.51181102362204722" top="0.74803149606299213" bottom="0.35433070866141736" header="0.31496062992125984" footer="0.31496062992125984"/>
  <pageSetup paperSize="9" scale="68" orientation="landscape" r:id="rId1"/>
  <headerFooter>
    <oddHeader>&amp;C&amp;"Times New Roman CE,Félkövér"
2020. évi előirányzat-felhasználási terv 
(eFt-ban)&amp;R&amp;"Times New Roman CE,Félkövér"&amp;9 16.melléklet a 24/2020. (VI.3.)  rendelethez 
&amp;"Times New Roman CE,Dőlt"17. melléklet
az 5/2020.(II.17.) önkorm. rendelethez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N35"/>
  <sheetViews>
    <sheetView zoomScale="70" zoomScaleNormal="70" workbookViewId="0">
      <selection activeCell="M21" sqref="M21"/>
    </sheetView>
  </sheetViews>
  <sheetFormatPr defaultColWidth="8" defaultRowHeight="15.75" x14ac:dyDescent="0.25"/>
  <cols>
    <col min="1" max="1" width="53.375" style="819" bestFit="1" customWidth="1"/>
    <col min="2" max="2" width="12.375" style="819" customWidth="1"/>
    <col min="3" max="3" width="12.125" style="819" customWidth="1"/>
    <col min="4" max="4" width="11.75" style="819" customWidth="1"/>
    <col min="5" max="6" width="13.625" style="819" customWidth="1"/>
    <col min="7" max="7" width="13.25" style="819" customWidth="1"/>
    <col min="8" max="10" width="8" style="819"/>
    <col min="11" max="11" width="6.125" style="819" customWidth="1"/>
    <col min="12" max="12" width="9.75" style="819" customWidth="1"/>
    <col min="13" max="13" width="12.25" style="819" bestFit="1" customWidth="1"/>
    <col min="14" max="14" width="9.125" style="819" bestFit="1" customWidth="1"/>
    <col min="15" max="16384" width="8" style="819"/>
  </cols>
  <sheetData>
    <row r="1" spans="1:7" ht="18.75" x14ac:dyDescent="0.3">
      <c r="A1" s="942" t="s">
        <v>1288</v>
      </c>
      <c r="B1" s="942"/>
      <c r="C1" s="942"/>
      <c r="D1" s="942"/>
      <c r="E1" s="942"/>
      <c r="F1" s="942"/>
      <c r="G1" s="942"/>
    </row>
    <row r="2" spans="1:7" s="820" customFormat="1" ht="18.75" x14ac:dyDescent="0.3">
      <c r="A2" s="943" t="s">
        <v>1289</v>
      </c>
      <c r="B2" s="943"/>
      <c r="C2" s="943"/>
      <c r="D2" s="943"/>
      <c r="E2" s="943"/>
      <c r="F2" s="943"/>
      <c r="G2" s="943"/>
    </row>
    <row r="3" spans="1:7" s="820" customFormat="1" x14ac:dyDescent="0.25"/>
    <row r="4" spans="1:7" ht="16.5" thickBot="1" x14ac:dyDescent="0.3">
      <c r="A4" s="821"/>
      <c r="B4" s="821"/>
      <c r="C4" s="821"/>
      <c r="D4" s="821"/>
      <c r="E4" s="821"/>
      <c r="F4" s="821"/>
      <c r="G4" s="821"/>
    </row>
    <row r="5" spans="1:7" s="824" customFormat="1" ht="33" thickTop="1" thickBot="1" x14ac:dyDescent="0.3">
      <c r="A5" s="822" t="s">
        <v>137</v>
      </c>
      <c r="B5" s="823" t="s">
        <v>839</v>
      </c>
      <c r="C5" s="823" t="s">
        <v>840</v>
      </c>
      <c r="D5" s="823" t="s">
        <v>841</v>
      </c>
      <c r="E5" s="823" t="s">
        <v>842</v>
      </c>
      <c r="F5" s="823" t="s">
        <v>843</v>
      </c>
      <c r="G5" s="823" t="s">
        <v>490</v>
      </c>
    </row>
    <row r="6" spans="1:7" ht="17.25" thickTop="1" thickBot="1" x14ac:dyDescent="0.3">
      <c r="A6" s="825" t="s">
        <v>138</v>
      </c>
      <c r="B6" s="826" t="s">
        <v>140</v>
      </c>
      <c r="C6" s="826" t="s">
        <v>141</v>
      </c>
      <c r="D6" s="826" t="s">
        <v>142</v>
      </c>
      <c r="E6" s="826" t="s">
        <v>143</v>
      </c>
      <c r="F6" s="826" t="s">
        <v>143</v>
      </c>
      <c r="G6" s="826" t="s">
        <v>844</v>
      </c>
    </row>
    <row r="7" spans="1:7" ht="16.5" thickTop="1" x14ac:dyDescent="0.25">
      <c r="A7" s="827"/>
      <c r="B7" s="828"/>
      <c r="C7" s="828"/>
      <c r="D7" s="828"/>
      <c r="E7" s="828"/>
      <c r="F7" s="828"/>
      <c r="G7" s="828"/>
    </row>
    <row r="8" spans="1:7" ht="31.5" x14ac:dyDescent="0.25">
      <c r="A8" s="829" t="s">
        <v>845</v>
      </c>
      <c r="B8" s="830"/>
      <c r="C8" s="830"/>
      <c r="D8" s="830"/>
      <c r="E8" s="830"/>
      <c r="F8" s="830"/>
      <c r="G8" s="831"/>
    </row>
    <row r="9" spans="1:7" x14ac:dyDescent="0.25">
      <c r="A9" s="832" t="s">
        <v>765</v>
      </c>
      <c r="B9" s="833">
        <v>1827363</v>
      </c>
      <c r="C9" s="833"/>
      <c r="D9" s="833"/>
      <c r="E9" s="833"/>
      <c r="F9" s="833"/>
      <c r="G9" s="831">
        <f t="shared" ref="G9:G22" si="0">SUM(B9:F9)</f>
        <v>1827363</v>
      </c>
    </row>
    <row r="10" spans="1:7" x14ac:dyDescent="0.25">
      <c r="A10" s="832" t="s">
        <v>480</v>
      </c>
      <c r="B10" s="833">
        <v>1204213</v>
      </c>
      <c r="C10" s="833">
        <v>450582</v>
      </c>
      <c r="D10" s="833"/>
      <c r="E10" s="833"/>
      <c r="F10" s="833"/>
      <c r="G10" s="831">
        <f t="shared" si="0"/>
        <v>1654795</v>
      </c>
    </row>
    <row r="11" spans="1:7" ht="47.25" x14ac:dyDescent="0.25">
      <c r="A11" s="832" t="s">
        <v>846</v>
      </c>
      <c r="B11" s="833">
        <v>1174224</v>
      </c>
      <c r="C11" s="833"/>
      <c r="D11" s="833"/>
      <c r="E11" s="833"/>
      <c r="F11" s="833"/>
      <c r="G11" s="831">
        <f t="shared" si="0"/>
        <v>1174224</v>
      </c>
    </row>
    <row r="12" spans="1:7" ht="31.5" x14ac:dyDescent="0.25">
      <c r="A12" s="832" t="s">
        <v>576</v>
      </c>
      <c r="B12" s="833">
        <v>523800</v>
      </c>
      <c r="C12" s="833">
        <v>254464</v>
      </c>
      <c r="D12" s="833"/>
      <c r="E12" s="833"/>
      <c r="F12" s="833"/>
      <c r="G12" s="831">
        <f t="shared" si="0"/>
        <v>778264</v>
      </c>
    </row>
    <row r="13" spans="1:7" x14ac:dyDescent="0.25">
      <c r="A13" s="832" t="s">
        <v>847</v>
      </c>
      <c r="B13" s="833">
        <v>456209</v>
      </c>
      <c r="C13" s="833"/>
      <c r="D13" s="833"/>
      <c r="E13" s="833"/>
      <c r="F13" s="833"/>
      <c r="G13" s="831">
        <f t="shared" si="0"/>
        <v>456209</v>
      </c>
    </row>
    <row r="14" spans="1:7" x14ac:dyDescent="0.25">
      <c r="A14" s="832" t="s">
        <v>848</v>
      </c>
      <c r="B14" s="833">
        <v>849</v>
      </c>
      <c r="C14" s="833"/>
      <c r="D14" s="833"/>
      <c r="E14" s="833"/>
      <c r="F14" s="833"/>
      <c r="G14" s="831">
        <f t="shared" si="0"/>
        <v>849</v>
      </c>
    </row>
    <row r="15" spans="1:7" x14ac:dyDescent="0.25">
      <c r="A15" s="832" t="s">
        <v>849</v>
      </c>
      <c r="B15" s="833">
        <v>6598</v>
      </c>
      <c r="C15" s="833">
        <v>6878</v>
      </c>
      <c r="D15" s="833">
        <v>15800</v>
      </c>
      <c r="E15" s="833">
        <v>1265</v>
      </c>
      <c r="F15" s="833"/>
      <c r="G15" s="831">
        <f t="shared" si="0"/>
        <v>30541</v>
      </c>
    </row>
    <row r="16" spans="1:7" x14ac:dyDescent="0.25">
      <c r="A16" s="832" t="s">
        <v>850</v>
      </c>
      <c r="B16" s="833">
        <v>5790724</v>
      </c>
      <c r="C16" s="833">
        <v>5070380</v>
      </c>
      <c r="D16" s="833">
        <v>4647848</v>
      </c>
      <c r="E16" s="833"/>
      <c r="F16" s="833"/>
      <c r="G16" s="831">
        <f t="shared" si="0"/>
        <v>15508952</v>
      </c>
    </row>
    <row r="17" spans="1:14" x14ac:dyDescent="0.25">
      <c r="A17" s="832" t="s">
        <v>760</v>
      </c>
      <c r="B17" s="833">
        <v>2375883</v>
      </c>
      <c r="C17" s="833">
        <v>2500000</v>
      </c>
      <c r="D17" s="833">
        <v>1581833</v>
      </c>
      <c r="E17" s="833">
        <v>768570</v>
      </c>
      <c r="F17" s="833"/>
      <c r="G17" s="831">
        <f t="shared" si="0"/>
        <v>7226286</v>
      </c>
    </row>
    <row r="18" spans="1:14" x14ac:dyDescent="0.25">
      <c r="A18" s="832" t="s">
        <v>851</v>
      </c>
      <c r="B18" s="833">
        <v>253279</v>
      </c>
      <c r="C18" s="833"/>
      <c r="D18" s="833"/>
      <c r="E18" s="833"/>
      <c r="F18" s="833"/>
      <c r="G18" s="831">
        <f t="shared" si="0"/>
        <v>253279</v>
      </c>
    </row>
    <row r="19" spans="1:14" x14ac:dyDescent="0.25">
      <c r="A19" s="832" t="s">
        <v>481</v>
      </c>
      <c r="B19" s="833">
        <v>1243432</v>
      </c>
      <c r="C19" s="833"/>
      <c r="D19" s="833"/>
      <c r="E19" s="833"/>
      <c r="F19" s="833"/>
      <c r="G19" s="831">
        <f t="shared" si="0"/>
        <v>1243432</v>
      </c>
    </row>
    <row r="20" spans="1:14" x14ac:dyDescent="0.25">
      <c r="A20" s="832" t="s">
        <v>852</v>
      </c>
      <c r="B20" s="833">
        <v>199696</v>
      </c>
      <c r="C20" s="833">
        <v>900000</v>
      </c>
      <c r="D20" s="833">
        <v>900000</v>
      </c>
      <c r="E20" s="833"/>
      <c r="F20" s="833"/>
      <c r="G20" s="831">
        <f t="shared" si="0"/>
        <v>1999696</v>
      </c>
    </row>
    <row r="21" spans="1:14" ht="31.5" x14ac:dyDescent="0.25">
      <c r="A21" s="832" t="s">
        <v>853</v>
      </c>
      <c r="B21" s="833">
        <v>2575142</v>
      </c>
      <c r="C21" s="833">
        <v>2901050</v>
      </c>
      <c r="D21" s="833"/>
      <c r="E21" s="833"/>
      <c r="F21" s="833"/>
      <c r="G21" s="831">
        <f t="shared" si="0"/>
        <v>5476192</v>
      </c>
    </row>
    <row r="22" spans="1:14" ht="63.75" thickBot="1" x14ac:dyDescent="0.3">
      <c r="A22" s="832" t="s">
        <v>756</v>
      </c>
      <c r="B22" s="833">
        <f>2380251+6375</f>
        <v>2386626</v>
      </c>
      <c r="C22" s="833"/>
      <c r="D22" s="833"/>
      <c r="E22" s="833"/>
      <c r="F22" s="833"/>
      <c r="G22" s="831">
        <f t="shared" si="0"/>
        <v>2386626</v>
      </c>
      <c r="L22" s="834"/>
      <c r="M22" s="834"/>
    </row>
    <row r="23" spans="1:14" ht="33" thickTop="1" thickBot="1" x14ac:dyDescent="0.3">
      <c r="A23" s="835" t="s">
        <v>854</v>
      </c>
      <c r="B23" s="836">
        <f t="shared" ref="B23:G23" si="1">SUM(B9:B22)</f>
        <v>20018038</v>
      </c>
      <c r="C23" s="836">
        <f t="shared" si="1"/>
        <v>12083354</v>
      </c>
      <c r="D23" s="836">
        <f t="shared" si="1"/>
        <v>7145481</v>
      </c>
      <c r="E23" s="836">
        <f t="shared" si="1"/>
        <v>769835</v>
      </c>
      <c r="F23" s="836">
        <f t="shared" si="1"/>
        <v>0</v>
      </c>
      <c r="G23" s="836">
        <f t="shared" si="1"/>
        <v>40016708</v>
      </c>
    </row>
    <row r="24" spans="1:14" ht="16.5" thickTop="1" x14ac:dyDescent="0.25">
      <c r="A24" s="837"/>
      <c r="B24" s="838"/>
      <c r="C24" s="838"/>
      <c r="D24" s="838"/>
      <c r="E24" s="838"/>
      <c r="F24" s="838"/>
      <c r="G24" s="838"/>
    </row>
    <row r="25" spans="1:14" x14ac:dyDescent="0.25">
      <c r="A25" s="827" t="s">
        <v>855</v>
      </c>
      <c r="B25" s="828"/>
      <c r="C25" s="828"/>
      <c r="D25" s="828"/>
      <c r="E25" s="828"/>
      <c r="F25" s="828"/>
      <c r="G25" s="828"/>
    </row>
    <row r="26" spans="1:14" ht="31.5" x14ac:dyDescent="0.25">
      <c r="A26" s="839" t="s">
        <v>856</v>
      </c>
      <c r="B26" s="830">
        <v>22225</v>
      </c>
      <c r="C26" s="830">
        <v>22225</v>
      </c>
      <c r="D26" s="830">
        <v>22225</v>
      </c>
      <c r="E26" s="830">
        <v>22225</v>
      </c>
      <c r="F26" s="830"/>
      <c r="G26" s="831">
        <f>SUM(B26:F26)</f>
        <v>88900</v>
      </c>
    </row>
    <row r="27" spans="1:14" ht="48" thickBot="1" x14ac:dyDescent="0.3">
      <c r="A27" s="840" t="s">
        <v>861</v>
      </c>
      <c r="B27" s="830">
        <v>979317</v>
      </c>
      <c r="C27" s="830">
        <v>194713</v>
      </c>
      <c r="D27" s="830"/>
      <c r="E27" s="830"/>
      <c r="F27" s="830"/>
      <c r="G27" s="831">
        <f>SUM(B27:F27)</f>
        <v>1174030</v>
      </c>
    </row>
    <row r="28" spans="1:14" ht="17.25" thickTop="1" thickBot="1" x14ac:dyDescent="0.3">
      <c r="A28" s="835" t="s">
        <v>857</v>
      </c>
      <c r="B28" s="836">
        <f t="shared" ref="B28:G28" si="2">SUM(B27:B27)</f>
        <v>979317</v>
      </c>
      <c r="C28" s="836">
        <f t="shared" si="2"/>
        <v>194713</v>
      </c>
      <c r="D28" s="836">
        <f t="shared" si="2"/>
        <v>0</v>
      </c>
      <c r="E28" s="836">
        <f t="shared" si="2"/>
        <v>0</v>
      </c>
      <c r="F28" s="836">
        <f t="shared" si="2"/>
        <v>0</v>
      </c>
      <c r="G28" s="836">
        <f t="shared" si="2"/>
        <v>1174030</v>
      </c>
      <c r="N28" s="841"/>
    </row>
    <row r="29" spans="1:14" ht="16.5" thickTop="1" x14ac:dyDescent="0.25">
      <c r="A29" s="837"/>
      <c r="B29" s="838"/>
      <c r="C29" s="838"/>
      <c r="D29" s="838"/>
      <c r="E29" s="838"/>
      <c r="F29" s="838"/>
      <c r="G29" s="838"/>
    </row>
    <row r="30" spans="1:14" x14ac:dyDescent="0.25">
      <c r="A30" s="842" t="s">
        <v>858</v>
      </c>
      <c r="B30" s="830"/>
      <c r="C30" s="830"/>
      <c r="D30" s="830"/>
      <c r="E30" s="830"/>
      <c r="F30" s="830"/>
      <c r="G30" s="831"/>
    </row>
    <row r="31" spans="1:14" ht="48" thickBot="1" x14ac:dyDescent="0.3">
      <c r="A31" s="843" t="s">
        <v>859</v>
      </c>
      <c r="B31" s="844">
        <v>63000</v>
      </c>
      <c r="C31" s="844">
        <v>63000</v>
      </c>
      <c r="D31" s="844">
        <v>63000</v>
      </c>
      <c r="E31" s="844"/>
      <c r="F31" s="844"/>
      <c r="G31" s="831">
        <f>SUM(B31:F31)</f>
        <v>189000</v>
      </c>
    </row>
    <row r="32" spans="1:14" ht="33" thickTop="1" thickBot="1" x14ac:dyDescent="0.3">
      <c r="A32" s="835" t="s">
        <v>860</v>
      </c>
      <c r="B32" s="836">
        <f t="shared" ref="B32:G32" si="3">SUM(B31:B31)</f>
        <v>63000</v>
      </c>
      <c r="C32" s="836">
        <f t="shared" si="3"/>
        <v>63000</v>
      </c>
      <c r="D32" s="836">
        <f t="shared" si="3"/>
        <v>63000</v>
      </c>
      <c r="E32" s="836">
        <f t="shared" si="3"/>
        <v>0</v>
      </c>
      <c r="F32" s="836">
        <f t="shared" si="3"/>
        <v>0</v>
      </c>
      <c r="G32" s="836">
        <f t="shared" si="3"/>
        <v>189000</v>
      </c>
    </row>
    <row r="33" spans="1:7" ht="17.25" thickTop="1" thickBot="1" x14ac:dyDescent="0.3">
      <c r="A33" s="845" t="s">
        <v>490</v>
      </c>
      <c r="B33" s="846">
        <f>SUM(B23,B28,B32)</f>
        <v>21060355</v>
      </c>
      <c r="C33" s="846">
        <f>SUM(C23,C28,C32)</f>
        <v>12341067</v>
      </c>
      <c r="D33" s="846">
        <f>SUM(D23,D28,D32)</f>
        <v>7208481</v>
      </c>
      <c r="E33" s="846">
        <f t="shared" ref="E33:F33" si="4">SUM(E23,E28,E32)</f>
        <v>769835</v>
      </c>
      <c r="F33" s="846">
        <f t="shared" si="4"/>
        <v>0</v>
      </c>
      <c r="G33" s="846">
        <f>SUM(G23,G28,G32)</f>
        <v>41379738</v>
      </c>
    </row>
    <row r="34" spans="1:7" ht="16.5" thickTop="1" x14ac:dyDescent="0.25">
      <c r="G34" s="847"/>
    </row>
    <row r="35" spans="1:7" x14ac:dyDescent="0.25">
      <c r="A35" s="299"/>
    </row>
  </sheetData>
  <mergeCells count="2">
    <mergeCell ref="A1:G1"/>
    <mergeCell ref="A2:G2"/>
  </mergeCells>
  <pageMargins left="0.55118110236220474" right="0.31496062992125984" top="0.94488188976377963" bottom="0.74803149606299213" header="0.35433070866141736" footer="0.31496062992125984"/>
  <pageSetup paperSize="9" scale="62" orientation="landscape" r:id="rId1"/>
  <headerFooter>
    <oddHeader>&amp;R&amp;"Times New Roman CE,Félkövér"17.melléklet a 24/2020.(VI.3.) önkormányzati rendelethez
&amp;"Times New Roman CE,Dőlt"&amp;10 18. melléklet az 5/2020(II.17.) önkorányzati rendelethez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F8"/>
  <sheetViews>
    <sheetView zoomScaleNormal="100" workbookViewId="0">
      <selection activeCell="C13" sqref="C13"/>
    </sheetView>
  </sheetViews>
  <sheetFormatPr defaultRowHeight="15" x14ac:dyDescent="0.25"/>
  <cols>
    <col min="1" max="1" width="4.5" style="563" customWidth="1"/>
    <col min="2" max="2" width="34.625" style="563" customWidth="1"/>
    <col min="3" max="3" width="62.5" style="563" customWidth="1"/>
    <col min="4" max="4" width="22" style="563" customWidth="1"/>
    <col min="5" max="5" width="9.25" style="563" customWidth="1"/>
    <col min="6" max="6" width="8.125" style="563" customWidth="1"/>
    <col min="7" max="7" width="18.125" style="563" customWidth="1"/>
    <col min="8" max="258" width="9" style="563"/>
    <col min="259" max="259" width="4.5" style="563" customWidth="1"/>
    <col min="260" max="260" width="27.125" style="563" customWidth="1"/>
    <col min="261" max="261" width="53.625" style="563" customWidth="1"/>
    <col min="262" max="262" width="17.875" style="563" customWidth="1"/>
    <col min="263" max="514" width="9" style="563"/>
    <col min="515" max="515" width="4.5" style="563" customWidth="1"/>
    <col min="516" max="516" width="27.125" style="563" customWidth="1"/>
    <col min="517" max="517" width="53.625" style="563" customWidth="1"/>
    <col min="518" max="518" width="17.875" style="563" customWidth="1"/>
    <col min="519" max="770" width="9" style="563"/>
    <col min="771" max="771" width="4.5" style="563" customWidth="1"/>
    <col min="772" max="772" width="27.125" style="563" customWidth="1"/>
    <col min="773" max="773" width="53.625" style="563" customWidth="1"/>
    <col min="774" max="774" width="17.875" style="563" customWidth="1"/>
    <col min="775" max="1026" width="9" style="563"/>
    <col min="1027" max="1027" width="4.5" style="563" customWidth="1"/>
    <col min="1028" max="1028" width="27.125" style="563" customWidth="1"/>
    <col min="1029" max="1029" width="53.625" style="563" customWidth="1"/>
    <col min="1030" max="1030" width="17.875" style="563" customWidth="1"/>
    <col min="1031" max="1282" width="9" style="563"/>
    <col min="1283" max="1283" width="4.5" style="563" customWidth="1"/>
    <col min="1284" max="1284" width="27.125" style="563" customWidth="1"/>
    <col min="1285" max="1285" width="53.625" style="563" customWidth="1"/>
    <col min="1286" max="1286" width="17.875" style="563" customWidth="1"/>
    <col min="1287" max="1538" width="9" style="563"/>
    <col min="1539" max="1539" width="4.5" style="563" customWidth="1"/>
    <col min="1540" max="1540" width="27.125" style="563" customWidth="1"/>
    <col min="1541" max="1541" width="53.625" style="563" customWidth="1"/>
    <col min="1542" max="1542" width="17.875" style="563" customWidth="1"/>
    <col min="1543" max="1794" width="9" style="563"/>
    <col min="1795" max="1795" width="4.5" style="563" customWidth="1"/>
    <col min="1796" max="1796" width="27.125" style="563" customWidth="1"/>
    <col min="1797" max="1797" width="53.625" style="563" customWidth="1"/>
    <col min="1798" max="1798" width="17.875" style="563" customWidth="1"/>
    <col min="1799" max="2050" width="9" style="563"/>
    <col min="2051" max="2051" width="4.5" style="563" customWidth="1"/>
    <col min="2052" max="2052" width="27.125" style="563" customWidth="1"/>
    <col min="2053" max="2053" width="53.625" style="563" customWidth="1"/>
    <col min="2054" max="2054" width="17.875" style="563" customWidth="1"/>
    <col min="2055" max="2306" width="9" style="563"/>
    <col min="2307" max="2307" width="4.5" style="563" customWidth="1"/>
    <col min="2308" max="2308" width="27.125" style="563" customWidth="1"/>
    <col min="2309" max="2309" width="53.625" style="563" customWidth="1"/>
    <col min="2310" max="2310" width="17.875" style="563" customWidth="1"/>
    <col min="2311" max="2562" width="9" style="563"/>
    <col min="2563" max="2563" width="4.5" style="563" customWidth="1"/>
    <col min="2564" max="2564" width="27.125" style="563" customWidth="1"/>
    <col min="2565" max="2565" width="53.625" style="563" customWidth="1"/>
    <col min="2566" max="2566" width="17.875" style="563" customWidth="1"/>
    <col min="2567" max="2818" width="9" style="563"/>
    <col min="2819" max="2819" width="4.5" style="563" customWidth="1"/>
    <col min="2820" max="2820" width="27.125" style="563" customWidth="1"/>
    <col min="2821" max="2821" width="53.625" style="563" customWidth="1"/>
    <col min="2822" max="2822" width="17.875" style="563" customWidth="1"/>
    <col min="2823" max="3074" width="9" style="563"/>
    <col min="3075" max="3075" width="4.5" style="563" customWidth="1"/>
    <col min="3076" max="3076" width="27.125" style="563" customWidth="1"/>
    <col min="3077" max="3077" width="53.625" style="563" customWidth="1"/>
    <col min="3078" max="3078" width="17.875" style="563" customWidth="1"/>
    <col min="3079" max="3330" width="9" style="563"/>
    <col min="3331" max="3331" width="4.5" style="563" customWidth="1"/>
    <col min="3332" max="3332" width="27.125" style="563" customWidth="1"/>
    <col min="3333" max="3333" width="53.625" style="563" customWidth="1"/>
    <col min="3334" max="3334" width="17.875" style="563" customWidth="1"/>
    <col min="3335" max="3586" width="9" style="563"/>
    <col min="3587" max="3587" width="4.5" style="563" customWidth="1"/>
    <col min="3588" max="3588" width="27.125" style="563" customWidth="1"/>
    <col min="3589" max="3589" width="53.625" style="563" customWidth="1"/>
    <col min="3590" max="3590" width="17.875" style="563" customWidth="1"/>
    <col min="3591" max="3842" width="9" style="563"/>
    <col min="3843" max="3843" width="4.5" style="563" customWidth="1"/>
    <col min="3844" max="3844" width="27.125" style="563" customWidth="1"/>
    <col min="3845" max="3845" width="53.625" style="563" customWidth="1"/>
    <col min="3846" max="3846" width="17.875" style="563" customWidth="1"/>
    <col min="3847" max="4098" width="9" style="563"/>
    <col min="4099" max="4099" width="4.5" style="563" customWidth="1"/>
    <col min="4100" max="4100" width="27.125" style="563" customWidth="1"/>
    <col min="4101" max="4101" width="53.625" style="563" customWidth="1"/>
    <col min="4102" max="4102" width="17.875" style="563" customWidth="1"/>
    <col min="4103" max="4354" width="9" style="563"/>
    <col min="4355" max="4355" width="4.5" style="563" customWidth="1"/>
    <col min="4356" max="4356" width="27.125" style="563" customWidth="1"/>
    <col min="4357" max="4357" width="53.625" style="563" customWidth="1"/>
    <col min="4358" max="4358" width="17.875" style="563" customWidth="1"/>
    <col min="4359" max="4610" width="9" style="563"/>
    <col min="4611" max="4611" width="4.5" style="563" customWidth="1"/>
    <col min="4612" max="4612" width="27.125" style="563" customWidth="1"/>
    <col min="4613" max="4613" width="53.625" style="563" customWidth="1"/>
    <col min="4614" max="4614" width="17.875" style="563" customWidth="1"/>
    <col min="4615" max="4866" width="9" style="563"/>
    <col min="4867" max="4867" width="4.5" style="563" customWidth="1"/>
    <col min="4868" max="4868" width="27.125" style="563" customWidth="1"/>
    <col min="4869" max="4869" width="53.625" style="563" customWidth="1"/>
    <col min="4870" max="4870" width="17.875" style="563" customWidth="1"/>
    <col min="4871" max="5122" width="9" style="563"/>
    <col min="5123" max="5123" width="4.5" style="563" customWidth="1"/>
    <col min="5124" max="5124" width="27.125" style="563" customWidth="1"/>
    <col min="5125" max="5125" width="53.625" style="563" customWidth="1"/>
    <col min="5126" max="5126" width="17.875" style="563" customWidth="1"/>
    <col min="5127" max="5378" width="9" style="563"/>
    <col min="5379" max="5379" width="4.5" style="563" customWidth="1"/>
    <col min="5380" max="5380" width="27.125" style="563" customWidth="1"/>
    <col min="5381" max="5381" width="53.625" style="563" customWidth="1"/>
    <col min="5382" max="5382" width="17.875" style="563" customWidth="1"/>
    <col min="5383" max="5634" width="9" style="563"/>
    <col min="5635" max="5635" width="4.5" style="563" customWidth="1"/>
    <col min="5636" max="5636" width="27.125" style="563" customWidth="1"/>
    <col min="5637" max="5637" width="53.625" style="563" customWidth="1"/>
    <col min="5638" max="5638" width="17.875" style="563" customWidth="1"/>
    <col min="5639" max="5890" width="9" style="563"/>
    <col min="5891" max="5891" width="4.5" style="563" customWidth="1"/>
    <col min="5892" max="5892" width="27.125" style="563" customWidth="1"/>
    <col min="5893" max="5893" width="53.625" style="563" customWidth="1"/>
    <col min="5894" max="5894" width="17.875" style="563" customWidth="1"/>
    <col min="5895" max="6146" width="9" style="563"/>
    <col min="6147" max="6147" width="4.5" style="563" customWidth="1"/>
    <col min="6148" max="6148" width="27.125" style="563" customWidth="1"/>
    <col min="6149" max="6149" width="53.625" style="563" customWidth="1"/>
    <col min="6150" max="6150" width="17.875" style="563" customWidth="1"/>
    <col min="6151" max="6402" width="9" style="563"/>
    <col min="6403" max="6403" width="4.5" style="563" customWidth="1"/>
    <col min="6404" max="6404" width="27.125" style="563" customWidth="1"/>
    <col min="6405" max="6405" width="53.625" style="563" customWidth="1"/>
    <col min="6406" max="6406" width="17.875" style="563" customWidth="1"/>
    <col min="6407" max="6658" width="9" style="563"/>
    <col min="6659" max="6659" width="4.5" style="563" customWidth="1"/>
    <col min="6660" max="6660" width="27.125" style="563" customWidth="1"/>
    <col min="6661" max="6661" width="53.625" style="563" customWidth="1"/>
    <col min="6662" max="6662" width="17.875" style="563" customWidth="1"/>
    <col min="6663" max="6914" width="9" style="563"/>
    <col min="6915" max="6915" width="4.5" style="563" customWidth="1"/>
    <col min="6916" max="6916" width="27.125" style="563" customWidth="1"/>
    <col min="6917" max="6917" width="53.625" style="563" customWidth="1"/>
    <col min="6918" max="6918" width="17.875" style="563" customWidth="1"/>
    <col min="6919" max="7170" width="9" style="563"/>
    <col min="7171" max="7171" width="4.5" style="563" customWidth="1"/>
    <col min="7172" max="7172" width="27.125" style="563" customWidth="1"/>
    <col min="7173" max="7173" width="53.625" style="563" customWidth="1"/>
    <col min="7174" max="7174" width="17.875" style="563" customWidth="1"/>
    <col min="7175" max="7426" width="9" style="563"/>
    <col min="7427" max="7427" width="4.5" style="563" customWidth="1"/>
    <col min="7428" max="7428" width="27.125" style="563" customWidth="1"/>
    <col min="7429" max="7429" width="53.625" style="563" customWidth="1"/>
    <col min="7430" max="7430" width="17.875" style="563" customWidth="1"/>
    <col min="7431" max="7682" width="9" style="563"/>
    <col min="7683" max="7683" width="4.5" style="563" customWidth="1"/>
    <col min="7684" max="7684" width="27.125" style="563" customWidth="1"/>
    <col min="7685" max="7685" width="53.625" style="563" customWidth="1"/>
    <col min="7686" max="7686" width="17.875" style="563" customWidth="1"/>
    <col min="7687" max="7938" width="9" style="563"/>
    <col min="7939" max="7939" width="4.5" style="563" customWidth="1"/>
    <col min="7940" max="7940" width="27.125" style="563" customWidth="1"/>
    <col min="7941" max="7941" width="53.625" style="563" customWidth="1"/>
    <col min="7942" max="7942" width="17.875" style="563" customWidth="1"/>
    <col min="7943" max="8194" width="9" style="563"/>
    <col min="8195" max="8195" width="4.5" style="563" customWidth="1"/>
    <col min="8196" max="8196" width="27.125" style="563" customWidth="1"/>
    <col min="8197" max="8197" width="53.625" style="563" customWidth="1"/>
    <col min="8198" max="8198" width="17.875" style="563" customWidth="1"/>
    <col min="8199" max="8450" width="9" style="563"/>
    <col min="8451" max="8451" width="4.5" style="563" customWidth="1"/>
    <col min="8452" max="8452" width="27.125" style="563" customWidth="1"/>
    <col min="8453" max="8453" width="53.625" style="563" customWidth="1"/>
    <col min="8454" max="8454" width="17.875" style="563" customWidth="1"/>
    <col min="8455" max="8706" width="9" style="563"/>
    <col min="8707" max="8707" width="4.5" style="563" customWidth="1"/>
    <col min="8708" max="8708" width="27.125" style="563" customWidth="1"/>
    <col min="8709" max="8709" width="53.625" style="563" customWidth="1"/>
    <col min="8710" max="8710" width="17.875" style="563" customWidth="1"/>
    <col min="8711" max="8962" width="9" style="563"/>
    <col min="8963" max="8963" width="4.5" style="563" customWidth="1"/>
    <col min="8964" max="8964" width="27.125" style="563" customWidth="1"/>
    <col min="8965" max="8965" width="53.625" style="563" customWidth="1"/>
    <col min="8966" max="8966" width="17.875" style="563" customWidth="1"/>
    <col min="8967" max="9218" width="9" style="563"/>
    <col min="9219" max="9219" width="4.5" style="563" customWidth="1"/>
    <col min="9220" max="9220" width="27.125" style="563" customWidth="1"/>
    <col min="9221" max="9221" width="53.625" style="563" customWidth="1"/>
    <col min="9222" max="9222" width="17.875" style="563" customWidth="1"/>
    <col min="9223" max="9474" width="9" style="563"/>
    <col min="9475" max="9475" width="4.5" style="563" customWidth="1"/>
    <col min="9476" max="9476" width="27.125" style="563" customWidth="1"/>
    <col min="9477" max="9477" width="53.625" style="563" customWidth="1"/>
    <col min="9478" max="9478" width="17.875" style="563" customWidth="1"/>
    <col min="9479" max="9730" width="9" style="563"/>
    <col min="9731" max="9731" width="4.5" style="563" customWidth="1"/>
    <col min="9732" max="9732" width="27.125" style="563" customWidth="1"/>
    <col min="9733" max="9733" width="53.625" style="563" customWidth="1"/>
    <col min="9734" max="9734" width="17.875" style="563" customWidth="1"/>
    <col min="9735" max="9986" width="9" style="563"/>
    <col min="9987" max="9987" width="4.5" style="563" customWidth="1"/>
    <col min="9988" max="9988" width="27.125" style="563" customWidth="1"/>
    <col min="9989" max="9989" width="53.625" style="563" customWidth="1"/>
    <col min="9990" max="9990" width="17.875" style="563" customWidth="1"/>
    <col min="9991" max="10242" width="9" style="563"/>
    <col min="10243" max="10243" width="4.5" style="563" customWidth="1"/>
    <col min="10244" max="10244" width="27.125" style="563" customWidth="1"/>
    <col min="10245" max="10245" width="53.625" style="563" customWidth="1"/>
    <col min="10246" max="10246" width="17.875" style="563" customWidth="1"/>
    <col min="10247" max="10498" width="9" style="563"/>
    <col min="10499" max="10499" width="4.5" style="563" customWidth="1"/>
    <col min="10500" max="10500" width="27.125" style="563" customWidth="1"/>
    <col min="10501" max="10501" width="53.625" style="563" customWidth="1"/>
    <col min="10502" max="10502" width="17.875" style="563" customWidth="1"/>
    <col min="10503" max="10754" width="9" style="563"/>
    <col min="10755" max="10755" width="4.5" style="563" customWidth="1"/>
    <col min="10756" max="10756" width="27.125" style="563" customWidth="1"/>
    <col min="10757" max="10757" width="53.625" style="563" customWidth="1"/>
    <col min="10758" max="10758" width="17.875" style="563" customWidth="1"/>
    <col min="10759" max="11010" width="9" style="563"/>
    <col min="11011" max="11011" width="4.5" style="563" customWidth="1"/>
    <col min="11012" max="11012" width="27.125" style="563" customWidth="1"/>
    <col min="11013" max="11013" width="53.625" style="563" customWidth="1"/>
    <col min="11014" max="11014" width="17.875" style="563" customWidth="1"/>
    <col min="11015" max="11266" width="9" style="563"/>
    <col min="11267" max="11267" width="4.5" style="563" customWidth="1"/>
    <col min="11268" max="11268" width="27.125" style="563" customWidth="1"/>
    <col min="11269" max="11269" width="53.625" style="563" customWidth="1"/>
    <col min="11270" max="11270" width="17.875" style="563" customWidth="1"/>
    <col min="11271" max="11522" width="9" style="563"/>
    <col min="11523" max="11523" width="4.5" style="563" customWidth="1"/>
    <col min="11524" max="11524" width="27.125" style="563" customWidth="1"/>
    <col min="11525" max="11525" width="53.625" style="563" customWidth="1"/>
    <col min="11526" max="11526" width="17.875" style="563" customWidth="1"/>
    <col min="11527" max="11778" width="9" style="563"/>
    <col min="11779" max="11779" width="4.5" style="563" customWidth="1"/>
    <col min="11780" max="11780" width="27.125" style="563" customWidth="1"/>
    <col min="11781" max="11781" width="53.625" style="563" customWidth="1"/>
    <col min="11782" max="11782" width="17.875" style="563" customWidth="1"/>
    <col min="11783" max="12034" width="9" style="563"/>
    <col min="12035" max="12035" width="4.5" style="563" customWidth="1"/>
    <col min="12036" max="12036" width="27.125" style="563" customWidth="1"/>
    <col min="12037" max="12037" width="53.625" style="563" customWidth="1"/>
    <col min="12038" max="12038" width="17.875" style="563" customWidth="1"/>
    <col min="12039" max="12290" width="9" style="563"/>
    <col min="12291" max="12291" width="4.5" style="563" customWidth="1"/>
    <col min="12292" max="12292" width="27.125" style="563" customWidth="1"/>
    <col min="12293" max="12293" width="53.625" style="563" customWidth="1"/>
    <col min="12294" max="12294" width="17.875" style="563" customWidth="1"/>
    <col min="12295" max="12546" width="9" style="563"/>
    <col min="12547" max="12547" width="4.5" style="563" customWidth="1"/>
    <col min="12548" max="12548" width="27.125" style="563" customWidth="1"/>
    <col min="12549" max="12549" width="53.625" style="563" customWidth="1"/>
    <col min="12550" max="12550" width="17.875" style="563" customWidth="1"/>
    <col min="12551" max="12802" width="9" style="563"/>
    <col min="12803" max="12803" width="4.5" style="563" customWidth="1"/>
    <col min="12804" max="12804" width="27.125" style="563" customWidth="1"/>
    <col min="12805" max="12805" width="53.625" style="563" customWidth="1"/>
    <col min="12806" max="12806" width="17.875" style="563" customWidth="1"/>
    <col min="12807" max="13058" width="9" style="563"/>
    <col min="13059" max="13059" width="4.5" style="563" customWidth="1"/>
    <col min="13060" max="13060" width="27.125" style="563" customWidth="1"/>
    <col min="13061" max="13061" width="53.625" style="563" customWidth="1"/>
    <col min="13062" max="13062" width="17.875" style="563" customWidth="1"/>
    <col min="13063" max="13314" width="9" style="563"/>
    <col min="13315" max="13315" width="4.5" style="563" customWidth="1"/>
    <col min="13316" max="13316" width="27.125" style="563" customWidth="1"/>
    <col min="13317" max="13317" width="53.625" style="563" customWidth="1"/>
    <col min="13318" max="13318" width="17.875" style="563" customWidth="1"/>
    <col min="13319" max="13570" width="9" style="563"/>
    <col min="13571" max="13571" width="4.5" style="563" customWidth="1"/>
    <col min="13572" max="13572" width="27.125" style="563" customWidth="1"/>
    <col min="13573" max="13573" width="53.625" style="563" customWidth="1"/>
    <col min="13574" max="13574" width="17.875" style="563" customWidth="1"/>
    <col min="13575" max="13826" width="9" style="563"/>
    <col min="13827" max="13827" width="4.5" style="563" customWidth="1"/>
    <col min="13828" max="13828" width="27.125" style="563" customWidth="1"/>
    <col min="13829" max="13829" width="53.625" style="563" customWidth="1"/>
    <col min="13830" max="13830" width="17.875" style="563" customWidth="1"/>
    <col min="13831" max="14082" width="9" style="563"/>
    <col min="14083" max="14083" width="4.5" style="563" customWidth="1"/>
    <col min="14084" max="14084" width="27.125" style="563" customWidth="1"/>
    <col min="14085" max="14085" width="53.625" style="563" customWidth="1"/>
    <col min="14086" max="14086" width="17.875" style="563" customWidth="1"/>
    <col min="14087" max="14338" width="9" style="563"/>
    <col min="14339" max="14339" width="4.5" style="563" customWidth="1"/>
    <col min="14340" max="14340" width="27.125" style="563" customWidth="1"/>
    <col min="14341" max="14341" width="53.625" style="563" customWidth="1"/>
    <col min="14342" max="14342" width="17.875" style="563" customWidth="1"/>
    <col min="14343" max="14594" width="9" style="563"/>
    <col min="14595" max="14595" width="4.5" style="563" customWidth="1"/>
    <col min="14596" max="14596" width="27.125" style="563" customWidth="1"/>
    <col min="14597" max="14597" width="53.625" style="563" customWidth="1"/>
    <col min="14598" max="14598" width="17.875" style="563" customWidth="1"/>
    <col min="14599" max="14850" width="9" style="563"/>
    <col min="14851" max="14851" width="4.5" style="563" customWidth="1"/>
    <col min="14852" max="14852" width="27.125" style="563" customWidth="1"/>
    <col min="14853" max="14853" width="53.625" style="563" customWidth="1"/>
    <col min="14854" max="14854" width="17.875" style="563" customWidth="1"/>
    <col min="14855" max="15106" width="9" style="563"/>
    <col min="15107" max="15107" width="4.5" style="563" customWidth="1"/>
    <col min="15108" max="15108" width="27.125" style="563" customWidth="1"/>
    <col min="15109" max="15109" width="53.625" style="563" customWidth="1"/>
    <col min="15110" max="15110" width="17.875" style="563" customWidth="1"/>
    <col min="15111" max="15362" width="9" style="563"/>
    <col min="15363" max="15363" width="4.5" style="563" customWidth="1"/>
    <col min="15364" max="15364" width="27.125" style="563" customWidth="1"/>
    <col min="15365" max="15365" width="53.625" style="563" customWidth="1"/>
    <col min="15366" max="15366" width="17.875" style="563" customWidth="1"/>
    <col min="15367" max="15618" width="9" style="563"/>
    <col min="15619" max="15619" width="4.5" style="563" customWidth="1"/>
    <col min="15620" max="15620" width="27.125" style="563" customWidth="1"/>
    <col min="15621" max="15621" width="53.625" style="563" customWidth="1"/>
    <col min="15622" max="15622" width="17.875" style="563" customWidth="1"/>
    <col min="15623" max="15874" width="9" style="563"/>
    <col min="15875" max="15875" width="4.5" style="563" customWidth="1"/>
    <col min="15876" max="15876" width="27.125" style="563" customWidth="1"/>
    <col min="15877" max="15877" width="53.625" style="563" customWidth="1"/>
    <col min="15878" max="15878" width="17.875" style="563" customWidth="1"/>
    <col min="15879" max="16130" width="9" style="563"/>
    <col min="16131" max="16131" width="4.5" style="563" customWidth="1"/>
    <col min="16132" max="16132" width="27.125" style="563" customWidth="1"/>
    <col min="16133" max="16133" width="53.625" style="563" customWidth="1"/>
    <col min="16134" max="16134" width="17.875" style="563" customWidth="1"/>
    <col min="16135" max="16384" width="9" style="563"/>
  </cols>
  <sheetData>
    <row r="2" spans="1:6" ht="15" customHeight="1" x14ac:dyDescent="0.25">
      <c r="A2" s="944" t="s">
        <v>1091</v>
      </c>
      <c r="B2" s="944"/>
      <c r="C2" s="944"/>
      <c r="D2" s="944"/>
      <c r="E2" s="575"/>
      <c r="F2" s="575"/>
    </row>
    <row r="3" spans="1:6" ht="15.75" customHeight="1" x14ac:dyDescent="0.25">
      <c r="B3" s="944"/>
      <c r="C3" s="944"/>
      <c r="D3" s="944"/>
      <c r="E3" s="944"/>
      <c r="F3" s="944"/>
    </row>
    <row r="5" spans="1:6" ht="36.75" customHeight="1" x14ac:dyDescent="0.25">
      <c r="A5" s="574" t="s">
        <v>882</v>
      </c>
      <c r="B5" s="574" t="s">
        <v>1084</v>
      </c>
      <c r="C5" s="574" t="s">
        <v>1085</v>
      </c>
      <c r="D5" s="574" t="s">
        <v>1086</v>
      </c>
    </row>
    <row r="6" spans="1:6" ht="24" customHeight="1" x14ac:dyDescent="0.25">
      <c r="A6" s="576" t="s">
        <v>145</v>
      </c>
      <c r="B6" s="577" t="s">
        <v>1087</v>
      </c>
      <c r="C6" s="577" t="s">
        <v>1088</v>
      </c>
      <c r="D6" s="573">
        <v>3000</v>
      </c>
    </row>
    <row r="7" spans="1:6" ht="30" x14ac:dyDescent="0.25">
      <c r="A7" s="564" t="s">
        <v>146</v>
      </c>
      <c r="B7" s="577" t="s">
        <v>1087</v>
      </c>
      <c r="C7" s="577" t="s">
        <v>1089</v>
      </c>
      <c r="D7" s="573">
        <v>7000</v>
      </c>
    </row>
    <row r="8" spans="1:6" ht="42" customHeight="1" x14ac:dyDescent="0.25">
      <c r="A8" s="564" t="s">
        <v>147</v>
      </c>
      <c r="B8" s="577" t="s">
        <v>1290</v>
      </c>
      <c r="C8" s="577" t="s">
        <v>1090</v>
      </c>
      <c r="D8" s="578" t="s">
        <v>1291</v>
      </c>
    </row>
  </sheetData>
  <mergeCells count="2">
    <mergeCell ref="A2:D2"/>
    <mergeCell ref="B3:F3"/>
  </mergeCells>
  <printOptions horizontalCentered="1"/>
  <pageMargins left="0.70866141732283472" right="0.70866141732283472" top="1.2204724409448819" bottom="0.74803149606299213" header="0.47244094488188981" footer="0.31496062992125984"/>
  <pageSetup paperSize="9" scale="87" orientation="landscape" r:id="rId1"/>
  <headerFooter>
    <oddHeader>&amp;R&amp;"Times New Roman CE,Félkövér"18.melléklet a 24/2020.(VI.3.) önkormányzati rendelethez&amp;"Times New Roman CE,Dőlt"
22. melléklet
&amp;11az 5/2020.(II.17.) önkormányzati rendelethez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23"/>
  <sheetViews>
    <sheetView zoomScale="80" zoomScaleNormal="80" workbookViewId="0">
      <selection activeCell="E23" sqref="E23"/>
    </sheetView>
  </sheetViews>
  <sheetFormatPr defaultRowHeight="15.75" x14ac:dyDescent="0.25"/>
  <cols>
    <col min="1" max="1" width="8.75" style="848"/>
    <col min="2" max="2" width="47.625" style="849" customWidth="1"/>
    <col min="3" max="3" width="15.5" style="850" customWidth="1"/>
    <col min="4" max="4" width="8.75" style="848"/>
    <col min="5" max="5" width="10.375" style="851" bestFit="1" customWidth="1"/>
    <col min="6" max="10" width="8.75" style="848"/>
    <col min="11" max="11" width="19.25" style="848" customWidth="1"/>
    <col min="12" max="257" width="8.75" style="848"/>
    <col min="258" max="258" width="42.125" style="848" customWidth="1"/>
    <col min="259" max="259" width="13.375" style="848" customWidth="1"/>
    <col min="260" max="513" width="8.75" style="848"/>
    <col min="514" max="514" width="42.125" style="848" customWidth="1"/>
    <col min="515" max="515" width="13.375" style="848" customWidth="1"/>
    <col min="516" max="769" width="8.75" style="848"/>
    <col min="770" max="770" width="42.125" style="848" customWidth="1"/>
    <col min="771" max="771" width="13.375" style="848" customWidth="1"/>
    <col min="772" max="1025" width="8.75" style="848"/>
    <col min="1026" max="1026" width="42.125" style="848" customWidth="1"/>
    <col min="1027" max="1027" width="13.375" style="848" customWidth="1"/>
    <col min="1028" max="1281" width="8.75" style="848"/>
    <col min="1282" max="1282" width="42.125" style="848" customWidth="1"/>
    <col min="1283" max="1283" width="13.375" style="848" customWidth="1"/>
    <col min="1284" max="1537" width="8.75" style="848"/>
    <col min="1538" max="1538" width="42.125" style="848" customWidth="1"/>
    <col min="1539" max="1539" width="13.375" style="848" customWidth="1"/>
    <col min="1540" max="1793" width="8.75" style="848"/>
    <col min="1794" max="1794" width="42.125" style="848" customWidth="1"/>
    <col min="1795" max="1795" width="13.375" style="848" customWidth="1"/>
    <col min="1796" max="2049" width="8.75" style="848"/>
    <col min="2050" max="2050" width="42.125" style="848" customWidth="1"/>
    <col min="2051" max="2051" width="13.375" style="848" customWidth="1"/>
    <col min="2052" max="2305" width="8.75" style="848"/>
    <col min="2306" max="2306" width="42.125" style="848" customWidth="1"/>
    <col min="2307" max="2307" width="13.375" style="848" customWidth="1"/>
    <col min="2308" max="2561" width="8.75" style="848"/>
    <col min="2562" max="2562" width="42.125" style="848" customWidth="1"/>
    <col min="2563" max="2563" width="13.375" style="848" customWidth="1"/>
    <col min="2564" max="2817" width="8.75" style="848"/>
    <col min="2818" max="2818" width="42.125" style="848" customWidth="1"/>
    <col min="2819" max="2819" width="13.375" style="848" customWidth="1"/>
    <col min="2820" max="3073" width="8.75" style="848"/>
    <col min="3074" max="3074" width="42.125" style="848" customWidth="1"/>
    <col min="3075" max="3075" width="13.375" style="848" customWidth="1"/>
    <col min="3076" max="3329" width="8.75" style="848"/>
    <col min="3330" max="3330" width="42.125" style="848" customWidth="1"/>
    <col min="3331" max="3331" width="13.375" style="848" customWidth="1"/>
    <col min="3332" max="3585" width="8.75" style="848"/>
    <col min="3586" max="3586" width="42.125" style="848" customWidth="1"/>
    <col min="3587" max="3587" width="13.375" style="848" customWidth="1"/>
    <col min="3588" max="3841" width="8.75" style="848"/>
    <col min="3842" max="3842" width="42.125" style="848" customWidth="1"/>
    <col min="3843" max="3843" width="13.375" style="848" customWidth="1"/>
    <col min="3844" max="4097" width="8.75" style="848"/>
    <col min="4098" max="4098" width="42.125" style="848" customWidth="1"/>
    <col min="4099" max="4099" width="13.375" style="848" customWidth="1"/>
    <col min="4100" max="4353" width="8.75" style="848"/>
    <col min="4354" max="4354" width="42.125" style="848" customWidth="1"/>
    <col min="4355" max="4355" width="13.375" style="848" customWidth="1"/>
    <col min="4356" max="4609" width="8.75" style="848"/>
    <col min="4610" max="4610" width="42.125" style="848" customWidth="1"/>
    <col min="4611" max="4611" width="13.375" style="848" customWidth="1"/>
    <col min="4612" max="4865" width="8.75" style="848"/>
    <col min="4866" max="4866" width="42.125" style="848" customWidth="1"/>
    <col min="4867" max="4867" width="13.375" style="848" customWidth="1"/>
    <col min="4868" max="5121" width="8.75" style="848"/>
    <col min="5122" max="5122" width="42.125" style="848" customWidth="1"/>
    <col min="5123" max="5123" width="13.375" style="848" customWidth="1"/>
    <col min="5124" max="5377" width="8.75" style="848"/>
    <col min="5378" max="5378" width="42.125" style="848" customWidth="1"/>
    <col min="5379" max="5379" width="13.375" style="848" customWidth="1"/>
    <col min="5380" max="5633" width="8.75" style="848"/>
    <col min="5634" max="5634" width="42.125" style="848" customWidth="1"/>
    <col min="5635" max="5635" width="13.375" style="848" customWidth="1"/>
    <col min="5636" max="5889" width="8.75" style="848"/>
    <col min="5890" max="5890" width="42.125" style="848" customWidth="1"/>
    <col min="5891" max="5891" width="13.375" style="848" customWidth="1"/>
    <col min="5892" max="6145" width="8.75" style="848"/>
    <col min="6146" max="6146" width="42.125" style="848" customWidth="1"/>
    <col min="6147" max="6147" width="13.375" style="848" customWidth="1"/>
    <col min="6148" max="6401" width="8.75" style="848"/>
    <col min="6402" max="6402" width="42.125" style="848" customWidth="1"/>
    <col min="6403" max="6403" width="13.375" style="848" customWidth="1"/>
    <col min="6404" max="6657" width="8.75" style="848"/>
    <col min="6658" max="6658" width="42.125" style="848" customWidth="1"/>
    <col min="6659" max="6659" width="13.375" style="848" customWidth="1"/>
    <col min="6660" max="6913" width="8.75" style="848"/>
    <col min="6914" max="6914" width="42.125" style="848" customWidth="1"/>
    <col min="6915" max="6915" width="13.375" style="848" customWidth="1"/>
    <col min="6916" max="7169" width="8.75" style="848"/>
    <col min="7170" max="7170" width="42.125" style="848" customWidth="1"/>
    <col min="7171" max="7171" width="13.375" style="848" customWidth="1"/>
    <col min="7172" max="7425" width="8.75" style="848"/>
    <col min="7426" max="7426" width="42.125" style="848" customWidth="1"/>
    <col min="7427" max="7427" width="13.375" style="848" customWidth="1"/>
    <col min="7428" max="7681" width="8.75" style="848"/>
    <col min="7682" max="7682" width="42.125" style="848" customWidth="1"/>
    <col min="7683" max="7683" width="13.375" style="848" customWidth="1"/>
    <col min="7684" max="7937" width="8.75" style="848"/>
    <col min="7938" max="7938" width="42.125" style="848" customWidth="1"/>
    <col min="7939" max="7939" width="13.375" style="848" customWidth="1"/>
    <col min="7940" max="8193" width="8.75" style="848"/>
    <col min="8194" max="8194" width="42.125" style="848" customWidth="1"/>
    <col min="8195" max="8195" width="13.375" style="848" customWidth="1"/>
    <col min="8196" max="8449" width="8.75" style="848"/>
    <col min="8450" max="8450" width="42.125" style="848" customWidth="1"/>
    <col min="8451" max="8451" width="13.375" style="848" customWidth="1"/>
    <col min="8452" max="8705" width="8.75" style="848"/>
    <col min="8706" max="8706" width="42.125" style="848" customWidth="1"/>
    <col min="8707" max="8707" width="13.375" style="848" customWidth="1"/>
    <col min="8708" max="8961" width="8.75" style="848"/>
    <col min="8962" max="8962" width="42.125" style="848" customWidth="1"/>
    <col min="8963" max="8963" width="13.375" style="848" customWidth="1"/>
    <col min="8964" max="9217" width="8.75" style="848"/>
    <col min="9218" max="9218" width="42.125" style="848" customWidth="1"/>
    <col min="9219" max="9219" width="13.375" style="848" customWidth="1"/>
    <col min="9220" max="9473" width="8.75" style="848"/>
    <col min="9474" max="9474" width="42.125" style="848" customWidth="1"/>
    <col min="9475" max="9475" width="13.375" style="848" customWidth="1"/>
    <col min="9476" max="9729" width="8.75" style="848"/>
    <col min="9730" max="9730" width="42.125" style="848" customWidth="1"/>
    <col min="9731" max="9731" width="13.375" style="848" customWidth="1"/>
    <col min="9732" max="9985" width="8.75" style="848"/>
    <col min="9986" max="9986" width="42.125" style="848" customWidth="1"/>
    <col min="9987" max="9987" width="13.375" style="848" customWidth="1"/>
    <col min="9988" max="10241" width="8.75" style="848"/>
    <col min="10242" max="10242" width="42.125" style="848" customWidth="1"/>
    <col min="10243" max="10243" width="13.375" style="848" customWidth="1"/>
    <col min="10244" max="10497" width="8.75" style="848"/>
    <col min="10498" max="10498" width="42.125" style="848" customWidth="1"/>
    <col min="10499" max="10499" width="13.375" style="848" customWidth="1"/>
    <col min="10500" max="10753" width="8.75" style="848"/>
    <col min="10754" max="10754" width="42.125" style="848" customWidth="1"/>
    <col min="10755" max="10755" width="13.375" style="848" customWidth="1"/>
    <col min="10756" max="11009" width="8.75" style="848"/>
    <col min="11010" max="11010" width="42.125" style="848" customWidth="1"/>
    <col min="11011" max="11011" width="13.375" style="848" customWidth="1"/>
    <col min="11012" max="11265" width="8.75" style="848"/>
    <col min="11266" max="11266" width="42.125" style="848" customWidth="1"/>
    <col min="11267" max="11267" width="13.375" style="848" customWidth="1"/>
    <col min="11268" max="11521" width="8.75" style="848"/>
    <col min="11522" max="11522" width="42.125" style="848" customWidth="1"/>
    <col min="11523" max="11523" width="13.375" style="848" customWidth="1"/>
    <col min="11524" max="11777" width="8.75" style="848"/>
    <col min="11778" max="11778" width="42.125" style="848" customWidth="1"/>
    <col min="11779" max="11779" width="13.375" style="848" customWidth="1"/>
    <col min="11780" max="12033" width="8.75" style="848"/>
    <col min="12034" max="12034" width="42.125" style="848" customWidth="1"/>
    <col min="12035" max="12035" width="13.375" style="848" customWidth="1"/>
    <col min="12036" max="12289" width="8.75" style="848"/>
    <col min="12290" max="12290" width="42.125" style="848" customWidth="1"/>
    <col min="12291" max="12291" width="13.375" style="848" customWidth="1"/>
    <col min="12292" max="12545" width="8.75" style="848"/>
    <col min="12546" max="12546" width="42.125" style="848" customWidth="1"/>
    <col min="12547" max="12547" width="13.375" style="848" customWidth="1"/>
    <col min="12548" max="12801" width="8.75" style="848"/>
    <col min="12802" max="12802" width="42.125" style="848" customWidth="1"/>
    <col min="12803" max="12803" width="13.375" style="848" customWidth="1"/>
    <col min="12804" max="13057" width="8.75" style="848"/>
    <col min="13058" max="13058" width="42.125" style="848" customWidth="1"/>
    <col min="13059" max="13059" width="13.375" style="848" customWidth="1"/>
    <col min="13060" max="13313" width="8.75" style="848"/>
    <col min="13314" max="13314" width="42.125" style="848" customWidth="1"/>
    <col min="13315" max="13315" width="13.375" style="848" customWidth="1"/>
    <col min="13316" max="13569" width="8.75" style="848"/>
    <col min="13570" max="13570" width="42.125" style="848" customWidth="1"/>
    <col min="13571" max="13571" width="13.375" style="848" customWidth="1"/>
    <col min="13572" max="13825" width="8.75" style="848"/>
    <col min="13826" max="13826" width="42.125" style="848" customWidth="1"/>
    <col min="13827" max="13827" width="13.375" style="848" customWidth="1"/>
    <col min="13828" max="14081" width="8.75" style="848"/>
    <col min="14082" max="14082" width="42.125" style="848" customWidth="1"/>
    <col min="14083" max="14083" width="13.375" style="848" customWidth="1"/>
    <col min="14084" max="14337" width="8.75" style="848"/>
    <col min="14338" max="14338" width="42.125" style="848" customWidth="1"/>
    <col min="14339" max="14339" width="13.375" style="848" customWidth="1"/>
    <col min="14340" max="14593" width="8.75" style="848"/>
    <col min="14594" max="14594" width="42.125" style="848" customWidth="1"/>
    <col min="14595" max="14595" width="13.375" style="848" customWidth="1"/>
    <col min="14596" max="14849" width="8.75" style="848"/>
    <col min="14850" max="14850" width="42.125" style="848" customWidth="1"/>
    <col min="14851" max="14851" width="13.375" style="848" customWidth="1"/>
    <col min="14852" max="15105" width="8.75" style="848"/>
    <col min="15106" max="15106" width="42.125" style="848" customWidth="1"/>
    <col min="15107" max="15107" width="13.375" style="848" customWidth="1"/>
    <col min="15108" max="15361" width="8.75" style="848"/>
    <col min="15362" max="15362" width="42.125" style="848" customWidth="1"/>
    <col min="15363" max="15363" width="13.375" style="848" customWidth="1"/>
    <col min="15364" max="15617" width="8.75" style="848"/>
    <col min="15618" max="15618" width="42.125" style="848" customWidth="1"/>
    <col min="15619" max="15619" width="13.375" style="848" customWidth="1"/>
    <col min="15620" max="15873" width="8.75" style="848"/>
    <col min="15874" max="15874" width="42.125" style="848" customWidth="1"/>
    <col min="15875" max="15875" width="13.375" style="848" customWidth="1"/>
    <col min="15876" max="16129" width="8.75" style="848"/>
    <col min="16130" max="16130" width="42.125" style="848" customWidth="1"/>
    <col min="16131" max="16131" width="13.375" style="848" customWidth="1"/>
    <col min="16132" max="16384" width="8.75" style="848"/>
  </cols>
  <sheetData>
    <row r="1" spans="1:11" ht="16.5" thickBot="1" x14ac:dyDescent="0.3"/>
    <row r="2" spans="1:11" s="855" customFormat="1" ht="31.5" x14ac:dyDescent="0.25">
      <c r="A2" s="852" t="s">
        <v>882</v>
      </c>
      <c r="B2" s="853" t="s">
        <v>137</v>
      </c>
      <c r="C2" s="854" t="s">
        <v>883</v>
      </c>
      <c r="E2" s="856"/>
    </row>
    <row r="3" spans="1:11" s="855" customFormat="1" x14ac:dyDescent="0.25">
      <c r="A3" s="945" t="s">
        <v>496</v>
      </c>
      <c r="B3" s="946"/>
      <c r="C3" s="947"/>
      <c r="E3" s="856"/>
    </row>
    <row r="4" spans="1:11" x14ac:dyDescent="0.25">
      <c r="A4" s="857" t="s">
        <v>145</v>
      </c>
      <c r="B4" s="858" t="s">
        <v>884</v>
      </c>
      <c r="C4" s="859">
        <v>60568</v>
      </c>
    </row>
    <row r="5" spans="1:11" x14ac:dyDescent="0.25">
      <c r="A5" s="857" t="s">
        <v>146</v>
      </c>
      <c r="B5" s="858" t="s">
        <v>898</v>
      </c>
      <c r="C5" s="859">
        <v>-25400</v>
      </c>
    </row>
    <row r="6" spans="1:11" x14ac:dyDescent="0.25">
      <c r="A6" s="857" t="s">
        <v>147</v>
      </c>
      <c r="B6" s="858" t="s">
        <v>885</v>
      </c>
      <c r="C6" s="859">
        <v>0</v>
      </c>
    </row>
    <row r="7" spans="1:11" x14ac:dyDescent="0.25">
      <c r="A7" s="857" t="s">
        <v>148</v>
      </c>
      <c r="B7" s="858" t="s">
        <v>886</v>
      </c>
      <c r="C7" s="859">
        <v>1000</v>
      </c>
    </row>
    <row r="8" spans="1:11" x14ac:dyDescent="0.25">
      <c r="A8" s="857" t="s">
        <v>149</v>
      </c>
      <c r="B8" s="858" t="s">
        <v>887</v>
      </c>
      <c r="C8" s="859">
        <v>9000</v>
      </c>
    </row>
    <row r="9" spans="1:11" x14ac:dyDescent="0.25">
      <c r="A9" s="857" t="s">
        <v>150</v>
      </c>
      <c r="B9" s="858" t="s">
        <v>888</v>
      </c>
      <c r="C9" s="859">
        <f>85628-C4-C7-C8</f>
        <v>15060</v>
      </c>
    </row>
    <row r="10" spans="1:11" s="855" customFormat="1" x14ac:dyDescent="0.25">
      <c r="A10" s="860" t="s">
        <v>151</v>
      </c>
      <c r="B10" s="861" t="s">
        <v>889</v>
      </c>
      <c r="C10" s="862">
        <f>SUM(C4:C9)</f>
        <v>60228</v>
      </c>
      <c r="E10" s="856"/>
    </row>
    <row r="11" spans="1:11" x14ac:dyDescent="0.25">
      <c r="A11" s="945" t="s">
        <v>513</v>
      </c>
      <c r="B11" s="946"/>
      <c r="C11" s="947"/>
    </row>
    <row r="12" spans="1:11" ht="47.25" x14ac:dyDescent="0.25">
      <c r="A12" s="857" t="s">
        <v>152</v>
      </c>
      <c r="B12" s="858" t="s">
        <v>890</v>
      </c>
      <c r="C12" s="863">
        <f>2000-8</f>
        <v>1992</v>
      </c>
    </row>
    <row r="13" spans="1:11" x14ac:dyDescent="0.25">
      <c r="A13" s="857" t="s">
        <v>153</v>
      </c>
      <c r="B13" s="858" t="s">
        <v>891</v>
      </c>
      <c r="C13" s="859">
        <f>20000-6044</f>
        <v>13956</v>
      </c>
      <c r="E13" s="864"/>
    </row>
    <row r="14" spans="1:11" x14ac:dyDescent="0.25">
      <c r="A14" s="857" t="s">
        <v>0</v>
      </c>
      <c r="B14" s="858" t="s">
        <v>892</v>
      </c>
      <c r="C14" s="865">
        <f>37828+25400-25400+6044</f>
        <v>43872</v>
      </c>
      <c r="E14" s="866"/>
      <c r="F14" s="867"/>
      <c r="G14" s="867"/>
      <c r="H14" s="867"/>
      <c r="I14" s="867"/>
    </row>
    <row r="15" spans="1:11" x14ac:dyDescent="0.25">
      <c r="A15" s="857" t="s">
        <v>1</v>
      </c>
      <c r="B15" s="858" t="s">
        <v>893</v>
      </c>
      <c r="C15" s="865">
        <v>400</v>
      </c>
      <c r="E15" s="866"/>
      <c r="F15" s="867"/>
      <c r="G15" s="867"/>
      <c r="H15" s="867"/>
      <c r="I15" s="867"/>
      <c r="K15" s="868"/>
    </row>
    <row r="16" spans="1:11" s="855" customFormat="1" x14ac:dyDescent="0.25">
      <c r="A16" s="860" t="s">
        <v>2</v>
      </c>
      <c r="B16" s="861" t="s">
        <v>894</v>
      </c>
      <c r="C16" s="862">
        <f>SUM(C12:C15)</f>
        <v>60220</v>
      </c>
      <c r="D16" s="869"/>
      <c r="E16" s="866"/>
      <c r="F16" s="867"/>
      <c r="G16" s="870"/>
      <c r="H16" s="870"/>
      <c r="I16" s="870"/>
    </row>
    <row r="17" spans="1:10" s="855" customFormat="1" x14ac:dyDescent="0.25">
      <c r="A17" s="857" t="s">
        <v>3</v>
      </c>
      <c r="B17" s="858" t="s">
        <v>895</v>
      </c>
      <c r="C17" s="859">
        <v>8</v>
      </c>
      <c r="D17" s="850"/>
      <c r="E17" s="866"/>
      <c r="F17" s="867"/>
      <c r="G17" s="870"/>
      <c r="H17" s="870"/>
      <c r="I17" s="870"/>
    </row>
    <row r="18" spans="1:10" s="855" customFormat="1" x14ac:dyDescent="0.25">
      <c r="A18" s="857" t="s">
        <v>4</v>
      </c>
      <c r="B18" s="858" t="s">
        <v>896</v>
      </c>
      <c r="C18" s="859"/>
      <c r="D18" s="869"/>
      <c r="E18" s="866"/>
    </row>
    <row r="19" spans="1:10" s="855" customFormat="1" ht="16.5" thickBot="1" x14ac:dyDescent="0.3">
      <c r="A19" s="860" t="s">
        <v>5</v>
      </c>
      <c r="B19" s="871" t="s">
        <v>897</v>
      </c>
      <c r="C19" s="872">
        <f>SUM(C16:C18)</f>
        <v>60228</v>
      </c>
      <c r="D19" s="850"/>
      <c r="E19" s="866"/>
      <c r="F19" s="867"/>
      <c r="G19" s="870"/>
      <c r="H19" s="870"/>
      <c r="I19" s="870"/>
    </row>
    <row r="20" spans="1:10" x14ac:dyDescent="0.25">
      <c r="E20" s="866"/>
      <c r="F20" s="867"/>
      <c r="G20" s="870"/>
      <c r="H20" s="870"/>
      <c r="I20" s="870"/>
      <c r="J20" s="855"/>
    </row>
    <row r="21" spans="1:10" x14ac:dyDescent="0.25">
      <c r="B21" s="873"/>
      <c r="E21" s="866"/>
      <c r="F21" s="867"/>
      <c r="G21" s="867"/>
      <c r="H21" s="867"/>
      <c r="I21" s="867"/>
    </row>
    <row r="22" spans="1:10" x14ac:dyDescent="0.25">
      <c r="E22" s="866"/>
      <c r="F22" s="867"/>
      <c r="G22" s="867"/>
      <c r="H22" s="867"/>
      <c r="I22" s="867"/>
    </row>
    <row r="23" spans="1:10" x14ac:dyDescent="0.25">
      <c r="E23" s="866"/>
      <c r="F23" s="867"/>
      <c r="G23" s="867"/>
      <c r="H23" s="867"/>
      <c r="I23" s="867"/>
    </row>
  </sheetData>
  <mergeCells count="2">
    <mergeCell ref="A3:C3"/>
    <mergeCell ref="A11:C11"/>
  </mergeCells>
  <phoneticPr fontId="35" type="noConversion"/>
  <printOptions horizontalCentered="1"/>
  <pageMargins left="0.70866141732283472" right="0.70866141732283472" top="1.5354330708661419" bottom="0.74803149606299213" header="0.43307086614173229" footer="0.31496062992125984"/>
  <pageSetup paperSize="9" orientation="portrait" r:id="rId1"/>
  <headerFooter>
    <oddHeader>&amp;C
&amp;"Times New Roman CE,Félkövér"
Környezetvédelmi Alap felosztása (eFt-ban)&amp;R&amp;"Times New Roman CE,Félkövér"19.melléklet a 24/2020.(VI.3.) önkormányzati rendelethez
&amp;"Times New Roman CE,Dőlt"23. melléklet
az 5/2020.(II.17.) önkormányzati rendelethez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37"/>
  <sheetViews>
    <sheetView view="pageBreakPreview" zoomScale="70" zoomScaleNormal="90" zoomScaleSheetLayoutView="70" workbookViewId="0">
      <pane xSplit="2" ySplit="8" topLeftCell="G9" activePane="bottomRight" state="frozen"/>
      <selection activeCell="P292" sqref="P292"/>
      <selection pane="topRight" activeCell="P292" sqref="P292"/>
      <selection pane="bottomLeft" activeCell="P292" sqref="P292"/>
      <selection pane="bottomRight" activeCell="K20" sqref="K20"/>
    </sheetView>
  </sheetViews>
  <sheetFormatPr defaultColWidth="9" defaultRowHeight="15.75" x14ac:dyDescent="0.25"/>
  <cols>
    <col min="1" max="1" width="35.75" style="72" customWidth="1"/>
    <col min="2" max="2" width="10" style="72" customWidth="1"/>
    <col min="3" max="3" width="12.25" style="252" customWidth="1"/>
    <col min="4" max="4" width="13.125" style="252" customWidth="1"/>
    <col min="5" max="5" width="15" style="252" customWidth="1"/>
    <col min="6" max="15" width="13.75" style="252" customWidth="1"/>
    <col min="16" max="16" width="13" style="252" customWidth="1"/>
    <col min="17" max="17" width="15.25" style="252" customWidth="1"/>
    <col min="18" max="26" width="13.875" style="252" customWidth="1"/>
    <col min="27" max="27" width="12.875" style="252" customWidth="1"/>
    <col min="28" max="28" width="14.875" style="252" customWidth="1"/>
    <col min="29" max="29" width="15.375" style="252" customWidth="1"/>
    <col min="30" max="30" width="13.25" style="252" customWidth="1"/>
    <col min="31" max="31" width="12.625" style="252" customWidth="1"/>
    <col min="32" max="32" width="14.875" style="252" customWidth="1"/>
    <col min="33" max="33" width="15.375" style="252" customWidth="1"/>
    <col min="34" max="34" width="14.125" style="252" customWidth="1"/>
    <col min="35" max="35" width="13.875" style="252" customWidth="1"/>
    <col min="36" max="36" width="14.875" style="252" customWidth="1"/>
    <col min="37" max="37" width="15.375" style="252" customWidth="1"/>
    <col min="38" max="38" width="14.125" style="252" customWidth="1"/>
    <col min="39" max="16384" width="9" style="72"/>
  </cols>
  <sheetData>
    <row r="1" spans="1:38" x14ac:dyDescent="0.25">
      <c r="A1" s="308"/>
      <c r="B1" s="884" t="s">
        <v>223</v>
      </c>
      <c r="C1" s="884"/>
      <c r="D1" s="884"/>
      <c r="E1" s="884"/>
      <c r="F1" s="884"/>
      <c r="G1" s="884"/>
      <c r="H1" s="884"/>
      <c r="I1" s="884"/>
      <c r="J1" s="884"/>
      <c r="K1" s="884"/>
      <c r="L1" s="884"/>
      <c r="M1" s="884"/>
      <c r="N1" s="884"/>
      <c r="O1" s="884" t="s">
        <v>223</v>
      </c>
      <c r="P1" s="884"/>
      <c r="Q1" s="884"/>
      <c r="R1" s="884"/>
      <c r="S1" s="884"/>
      <c r="T1" s="884"/>
      <c r="U1" s="884"/>
      <c r="V1" s="884"/>
      <c r="W1" s="884"/>
      <c r="X1" s="884"/>
      <c r="Y1" s="884"/>
      <c r="Z1" s="884"/>
      <c r="AA1" s="884" t="s">
        <v>223</v>
      </c>
      <c r="AB1" s="884"/>
      <c r="AC1" s="884"/>
      <c r="AD1" s="884"/>
      <c r="AE1" s="884"/>
      <c r="AF1" s="884"/>
      <c r="AG1" s="884"/>
      <c r="AH1" s="884"/>
      <c r="AI1" s="884"/>
      <c r="AJ1" s="884"/>
      <c r="AK1" s="884"/>
      <c r="AL1" s="884"/>
    </row>
    <row r="2" spans="1:38" x14ac:dyDescent="0.25">
      <c r="A2" s="308"/>
      <c r="B2" s="884" t="s">
        <v>795</v>
      </c>
      <c r="C2" s="884"/>
      <c r="D2" s="884"/>
      <c r="E2" s="884"/>
      <c r="F2" s="884"/>
      <c r="G2" s="884"/>
      <c r="H2" s="884"/>
      <c r="I2" s="884"/>
      <c r="J2" s="884"/>
      <c r="K2" s="884"/>
      <c r="L2" s="884"/>
      <c r="M2" s="884"/>
      <c r="N2" s="884"/>
      <c r="O2" s="884" t="s">
        <v>795</v>
      </c>
      <c r="P2" s="884"/>
      <c r="Q2" s="884"/>
      <c r="R2" s="884"/>
      <c r="S2" s="884"/>
      <c r="T2" s="884"/>
      <c r="U2" s="884"/>
      <c r="V2" s="884"/>
      <c r="W2" s="884"/>
      <c r="X2" s="884"/>
      <c r="Y2" s="884"/>
      <c r="Z2" s="884"/>
      <c r="AA2" s="884" t="s">
        <v>795</v>
      </c>
      <c r="AB2" s="884"/>
      <c r="AC2" s="884"/>
      <c r="AD2" s="884"/>
      <c r="AE2" s="884"/>
      <c r="AF2" s="884"/>
      <c r="AG2" s="884"/>
      <c r="AH2" s="884"/>
      <c r="AI2" s="884"/>
      <c r="AJ2" s="884"/>
      <c r="AK2" s="884"/>
      <c r="AL2" s="884"/>
    </row>
    <row r="3" spans="1:38" x14ac:dyDescent="0.25">
      <c r="A3" s="308"/>
      <c r="B3" s="884" t="s">
        <v>863</v>
      </c>
      <c r="C3" s="884"/>
      <c r="D3" s="884"/>
      <c r="E3" s="884"/>
      <c r="F3" s="884"/>
      <c r="G3" s="884"/>
      <c r="H3" s="884"/>
      <c r="I3" s="884"/>
      <c r="J3" s="884"/>
      <c r="K3" s="884"/>
      <c r="L3" s="884"/>
      <c r="M3" s="884"/>
      <c r="N3" s="884"/>
      <c r="O3" s="884" t="s">
        <v>863</v>
      </c>
      <c r="P3" s="884"/>
      <c r="Q3" s="884"/>
      <c r="R3" s="884"/>
      <c r="S3" s="884"/>
      <c r="T3" s="884"/>
      <c r="U3" s="884"/>
      <c r="V3" s="884"/>
      <c r="W3" s="884"/>
      <c r="X3" s="884"/>
      <c r="Y3" s="884"/>
      <c r="Z3" s="884"/>
      <c r="AA3" s="884" t="s">
        <v>863</v>
      </c>
      <c r="AB3" s="884"/>
      <c r="AC3" s="884"/>
      <c r="AD3" s="884"/>
      <c r="AE3" s="884"/>
      <c r="AF3" s="884"/>
      <c r="AG3" s="884"/>
      <c r="AH3" s="884"/>
      <c r="AI3" s="884"/>
      <c r="AJ3" s="884"/>
      <c r="AK3" s="884"/>
      <c r="AL3" s="884"/>
    </row>
    <row r="4" spans="1:38" ht="16.5" thickBot="1" x14ac:dyDescent="0.3"/>
    <row r="5" spans="1:38" s="311" customFormat="1" ht="68.25" customHeight="1" thickTop="1" thickBot="1" x14ac:dyDescent="0.3">
      <c r="A5" s="309"/>
      <c r="B5" s="310"/>
      <c r="C5" s="877" t="s">
        <v>22</v>
      </c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9"/>
      <c r="O5" s="253" t="s">
        <v>23</v>
      </c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889" t="s">
        <v>144</v>
      </c>
      <c r="AB5" s="889"/>
      <c r="AC5" s="889"/>
      <c r="AD5" s="889"/>
      <c r="AE5" s="889"/>
      <c r="AF5" s="889"/>
      <c r="AG5" s="889"/>
      <c r="AH5" s="889"/>
      <c r="AI5" s="889"/>
      <c r="AJ5" s="889"/>
      <c r="AK5" s="889"/>
      <c r="AL5" s="889"/>
    </row>
    <row r="6" spans="1:38" s="316" customFormat="1" ht="39" customHeight="1" thickTop="1" thickBot="1" x14ac:dyDescent="0.3">
      <c r="A6" s="312" t="s">
        <v>137</v>
      </c>
      <c r="B6" s="313" t="s">
        <v>154</v>
      </c>
      <c r="C6" s="877" t="s">
        <v>349</v>
      </c>
      <c r="D6" s="878"/>
      <c r="E6" s="878"/>
      <c r="F6" s="879"/>
      <c r="G6" s="314" t="s">
        <v>350</v>
      </c>
      <c r="H6" s="314"/>
      <c r="I6" s="314"/>
      <c r="J6" s="314"/>
      <c r="K6" s="315" t="s">
        <v>864</v>
      </c>
      <c r="L6" s="315"/>
      <c r="M6" s="315"/>
      <c r="N6" s="315"/>
      <c r="O6" s="877" t="s">
        <v>349</v>
      </c>
      <c r="P6" s="878"/>
      <c r="Q6" s="878"/>
      <c r="R6" s="879"/>
      <c r="S6" s="886" t="s">
        <v>350</v>
      </c>
      <c r="T6" s="887"/>
      <c r="U6" s="887"/>
      <c r="V6" s="888"/>
      <c r="W6" s="886" t="s">
        <v>864</v>
      </c>
      <c r="X6" s="887"/>
      <c r="Y6" s="887"/>
      <c r="Z6" s="888"/>
      <c r="AA6" s="877" t="s">
        <v>349</v>
      </c>
      <c r="AB6" s="878"/>
      <c r="AC6" s="878"/>
      <c r="AD6" s="879"/>
      <c r="AE6" s="885" t="s">
        <v>350</v>
      </c>
      <c r="AF6" s="885"/>
      <c r="AG6" s="885"/>
      <c r="AH6" s="885"/>
      <c r="AI6" s="885" t="s">
        <v>864</v>
      </c>
      <c r="AJ6" s="885"/>
      <c r="AK6" s="885"/>
      <c r="AL6" s="885"/>
    </row>
    <row r="7" spans="1:38" s="16" customFormat="1" ht="33" thickTop="1" thickBot="1" x14ac:dyDescent="0.3">
      <c r="A7" s="261"/>
      <c r="B7" s="262"/>
      <c r="C7" s="580" t="s">
        <v>132</v>
      </c>
      <c r="D7" s="582" t="s">
        <v>133</v>
      </c>
      <c r="E7" s="582" t="s">
        <v>335</v>
      </c>
      <c r="F7" s="582" t="s">
        <v>144</v>
      </c>
      <c r="G7" s="580" t="s">
        <v>132</v>
      </c>
      <c r="H7" s="580" t="s">
        <v>133</v>
      </c>
      <c r="I7" s="580" t="s">
        <v>335</v>
      </c>
      <c r="J7" s="580" t="s">
        <v>144</v>
      </c>
      <c r="K7" s="582" t="s">
        <v>132</v>
      </c>
      <c r="L7" s="582" t="s">
        <v>133</v>
      </c>
      <c r="M7" s="582" t="s">
        <v>335</v>
      </c>
      <c r="N7" s="582" t="s">
        <v>144</v>
      </c>
      <c r="O7" s="582" t="s">
        <v>132</v>
      </c>
      <c r="P7" s="582" t="s">
        <v>133</v>
      </c>
      <c r="Q7" s="582" t="s">
        <v>335</v>
      </c>
      <c r="R7" s="582" t="s">
        <v>144</v>
      </c>
      <c r="S7" s="582" t="s">
        <v>132</v>
      </c>
      <c r="T7" s="582" t="s">
        <v>133</v>
      </c>
      <c r="U7" s="582" t="s">
        <v>335</v>
      </c>
      <c r="V7" s="582" t="s">
        <v>144</v>
      </c>
      <c r="W7" s="582" t="s">
        <v>132</v>
      </c>
      <c r="X7" s="582" t="s">
        <v>133</v>
      </c>
      <c r="Y7" s="582" t="s">
        <v>335</v>
      </c>
      <c r="Z7" s="582" t="s">
        <v>144</v>
      </c>
      <c r="AA7" s="582" t="s">
        <v>132</v>
      </c>
      <c r="AB7" s="582" t="s">
        <v>133</v>
      </c>
      <c r="AC7" s="582" t="s">
        <v>335</v>
      </c>
      <c r="AD7" s="582" t="s">
        <v>144</v>
      </c>
      <c r="AE7" s="582" t="s">
        <v>132</v>
      </c>
      <c r="AF7" s="582" t="s">
        <v>133</v>
      </c>
      <c r="AG7" s="582" t="s">
        <v>335</v>
      </c>
      <c r="AH7" s="582" t="s">
        <v>144</v>
      </c>
      <c r="AI7" s="582" t="s">
        <v>132</v>
      </c>
      <c r="AJ7" s="582" t="s">
        <v>133</v>
      </c>
      <c r="AK7" s="582" t="s">
        <v>335</v>
      </c>
      <c r="AL7" s="582" t="s">
        <v>144</v>
      </c>
    </row>
    <row r="8" spans="1:38" s="316" customFormat="1" ht="17.25" thickTop="1" thickBot="1" x14ac:dyDescent="0.3">
      <c r="A8" s="317" t="s">
        <v>138</v>
      </c>
      <c r="B8" s="318"/>
      <c r="C8" s="319" t="s">
        <v>360</v>
      </c>
      <c r="D8" s="320"/>
      <c r="E8" s="320"/>
      <c r="F8" s="320"/>
      <c r="G8" s="321" t="s">
        <v>361</v>
      </c>
      <c r="H8" s="322"/>
      <c r="I8" s="322"/>
      <c r="J8" s="314"/>
      <c r="K8" s="254" t="s">
        <v>362</v>
      </c>
      <c r="L8" s="254"/>
      <c r="M8" s="254"/>
      <c r="N8" s="254"/>
      <c r="O8" s="876" t="s">
        <v>363</v>
      </c>
      <c r="P8" s="876"/>
      <c r="Q8" s="876"/>
      <c r="R8" s="876"/>
      <c r="S8" s="876" t="s">
        <v>364</v>
      </c>
      <c r="T8" s="876"/>
      <c r="U8" s="876"/>
      <c r="V8" s="876"/>
      <c r="W8" s="876" t="s">
        <v>365</v>
      </c>
      <c r="X8" s="876"/>
      <c r="Y8" s="876"/>
      <c r="Z8" s="876"/>
      <c r="AA8" s="876" t="s">
        <v>366</v>
      </c>
      <c r="AB8" s="876"/>
      <c r="AC8" s="876"/>
      <c r="AD8" s="876"/>
      <c r="AE8" s="876" t="s">
        <v>367</v>
      </c>
      <c r="AF8" s="876"/>
      <c r="AG8" s="876"/>
      <c r="AH8" s="876"/>
      <c r="AI8" s="876" t="s">
        <v>368</v>
      </c>
      <c r="AJ8" s="876"/>
      <c r="AK8" s="876"/>
      <c r="AL8" s="876"/>
    </row>
    <row r="9" spans="1:38" ht="16.5" thickTop="1" x14ac:dyDescent="0.25">
      <c r="A9" s="323" t="s">
        <v>28</v>
      </c>
      <c r="B9" s="323" t="s">
        <v>155</v>
      </c>
      <c r="C9" s="324">
        <v>256737</v>
      </c>
      <c r="D9" s="325">
        <v>163484</v>
      </c>
      <c r="E9" s="325"/>
      <c r="F9" s="326">
        <f>SUM(C9:E9)</f>
        <v>420221</v>
      </c>
      <c r="G9" s="326">
        <v>-3226</v>
      </c>
      <c r="H9" s="326">
        <v>-18746</v>
      </c>
      <c r="I9" s="326"/>
      <c r="J9" s="326">
        <f>SUM(G9:I9)</f>
        <v>-21972</v>
      </c>
      <c r="K9" s="326">
        <f>SUM(C9+G9)</f>
        <v>253511</v>
      </c>
      <c r="L9" s="326">
        <f>SUM(D9+H9)</f>
        <v>144738</v>
      </c>
      <c r="M9" s="326">
        <f>SUM(E9+I9)</f>
        <v>0</v>
      </c>
      <c r="N9" s="327">
        <f>SUM(K9:M9)</f>
        <v>398249</v>
      </c>
      <c r="O9" s="325">
        <v>5687568</v>
      </c>
      <c r="P9" s="255">
        <v>1451564</v>
      </c>
      <c r="Q9" s="255">
        <v>731560</v>
      </c>
      <c r="R9" s="255">
        <f>SUM(O9:Q9)</f>
        <v>7870692</v>
      </c>
      <c r="S9" s="255">
        <v>515186</v>
      </c>
      <c r="T9" s="255">
        <v>25580</v>
      </c>
      <c r="U9" s="255">
        <v>-49074</v>
      </c>
      <c r="V9" s="255">
        <f>SUM(S9:U9)</f>
        <v>491692</v>
      </c>
      <c r="W9" s="255">
        <f>SUM(O9+S9)</f>
        <v>6202754</v>
      </c>
      <c r="X9" s="255">
        <f t="shared" ref="W9:Y10" si="0">SUM(P9+T9)</f>
        <v>1477144</v>
      </c>
      <c r="Y9" s="255">
        <f t="shared" si="0"/>
        <v>682486</v>
      </c>
      <c r="Z9" s="328">
        <f>SUM(W9:Y9)</f>
        <v>8362384</v>
      </c>
      <c r="AA9" s="329">
        <f t="shared" ref="AA9:AB13" si="1">+C9+O9</f>
        <v>5944305</v>
      </c>
      <c r="AB9" s="330">
        <f t="shared" si="1"/>
        <v>1615048</v>
      </c>
      <c r="AC9" s="331">
        <f t="shared" ref="AC9:AC20" si="2">SUM(Q9+E9)</f>
        <v>731560</v>
      </c>
      <c r="AD9" s="332">
        <f>SUM(AA9:AC9)</f>
        <v>8290913</v>
      </c>
      <c r="AE9" s="329">
        <f>+G9+S9</f>
        <v>511960</v>
      </c>
      <c r="AF9" s="330">
        <f t="shared" ref="AE9:AF13" si="3">+H9+T9</f>
        <v>6834</v>
      </c>
      <c r="AG9" s="331">
        <f t="shared" ref="AG9:AG13" si="4">SUM(U9+I9)</f>
        <v>-49074</v>
      </c>
      <c r="AH9" s="332">
        <f t="shared" ref="AH9:AH13" si="5">SUM(AE9:AG9)</f>
        <v>469720</v>
      </c>
      <c r="AI9" s="329">
        <f>+K9+W9</f>
        <v>6456265</v>
      </c>
      <c r="AJ9" s="330">
        <f t="shared" ref="AI9:AJ13" si="6">+L9+X9</f>
        <v>1621882</v>
      </c>
      <c r="AK9" s="331">
        <f t="shared" ref="AK9:AK13" si="7">SUM(Y9+M9)</f>
        <v>682486</v>
      </c>
      <c r="AL9" s="332">
        <f t="shared" ref="AL9:AL13" si="8">SUM(AI9:AK9)</f>
        <v>8760633</v>
      </c>
    </row>
    <row r="10" spans="1:38" ht="31.5" x14ac:dyDescent="0.25">
      <c r="A10" s="333" t="s">
        <v>29</v>
      </c>
      <c r="B10" s="333" t="s">
        <v>156</v>
      </c>
      <c r="C10" s="248">
        <v>38805</v>
      </c>
      <c r="D10" s="71">
        <v>48831</v>
      </c>
      <c r="E10" s="71"/>
      <c r="F10" s="248">
        <f>SUM(C10:E10)</f>
        <v>87636</v>
      </c>
      <c r="G10" s="71">
        <v>8627</v>
      </c>
      <c r="H10" s="71">
        <v>1806</v>
      </c>
      <c r="I10" s="71"/>
      <c r="J10" s="71">
        <f>SUM(G10:I10)</f>
        <v>10433</v>
      </c>
      <c r="K10" s="71">
        <f>SUM(C10+G10)</f>
        <v>47432</v>
      </c>
      <c r="L10" s="71">
        <f t="shared" ref="L10:M10" si="9">SUM(D10+H10)</f>
        <v>50637</v>
      </c>
      <c r="M10" s="71">
        <f t="shared" si="9"/>
        <v>0</v>
      </c>
      <c r="N10" s="248">
        <f>SUM(K10:M10)</f>
        <v>98069</v>
      </c>
      <c r="O10" s="71">
        <v>1075864</v>
      </c>
      <c r="P10" s="71">
        <v>250585</v>
      </c>
      <c r="Q10" s="71">
        <v>140371</v>
      </c>
      <c r="R10" s="248">
        <f>SUM(O10:Q10)</f>
        <v>1466820</v>
      </c>
      <c r="S10" s="71">
        <v>56351</v>
      </c>
      <c r="T10" s="71">
        <v>4766</v>
      </c>
      <c r="U10" s="71">
        <v>-8575</v>
      </c>
      <c r="V10" s="71">
        <f>SUM(S10:U10)</f>
        <v>52542</v>
      </c>
      <c r="W10" s="71">
        <f t="shared" si="0"/>
        <v>1132215</v>
      </c>
      <c r="X10" s="71">
        <f t="shared" si="0"/>
        <v>255351</v>
      </c>
      <c r="Y10" s="71">
        <f t="shared" si="0"/>
        <v>131796</v>
      </c>
      <c r="Z10" s="248">
        <f>SUM(W10:Y10)</f>
        <v>1519362</v>
      </c>
      <c r="AA10" s="334">
        <f t="shared" si="1"/>
        <v>1114669</v>
      </c>
      <c r="AB10" s="335">
        <f t="shared" si="1"/>
        <v>299416</v>
      </c>
      <c r="AC10" s="336">
        <f t="shared" si="2"/>
        <v>140371</v>
      </c>
      <c r="AD10" s="89">
        <f>SUM(AA10:AC10)</f>
        <v>1554456</v>
      </c>
      <c r="AE10" s="334">
        <f t="shared" si="3"/>
        <v>64978</v>
      </c>
      <c r="AF10" s="335">
        <f t="shared" si="3"/>
        <v>6572</v>
      </c>
      <c r="AG10" s="336">
        <f t="shared" si="4"/>
        <v>-8575</v>
      </c>
      <c r="AH10" s="89">
        <f t="shared" si="5"/>
        <v>62975</v>
      </c>
      <c r="AI10" s="334">
        <f t="shared" si="6"/>
        <v>1179647</v>
      </c>
      <c r="AJ10" s="335">
        <f t="shared" si="6"/>
        <v>305988</v>
      </c>
      <c r="AK10" s="336">
        <f t="shared" si="7"/>
        <v>131796</v>
      </c>
      <c r="AL10" s="89">
        <f t="shared" si="8"/>
        <v>1617431</v>
      </c>
    </row>
    <row r="11" spans="1:38" x14ac:dyDescent="0.25">
      <c r="A11" s="70" t="s">
        <v>30</v>
      </c>
      <c r="B11" s="70" t="s">
        <v>157</v>
      </c>
      <c r="C11" s="248">
        <v>5397762</v>
      </c>
      <c r="D11" s="71">
        <v>4011989</v>
      </c>
      <c r="E11" s="71"/>
      <c r="F11" s="248">
        <f>SUM(C11:E11)</f>
        <v>9409751</v>
      </c>
      <c r="G11" s="71">
        <v>-688369</v>
      </c>
      <c r="H11" s="71">
        <v>240577</v>
      </c>
      <c r="I11" s="71"/>
      <c r="J11" s="248">
        <f t="shared" ref="J11:J20" si="10">SUM(G11:I11)</f>
        <v>-447792</v>
      </c>
      <c r="K11" s="71">
        <f t="shared" ref="K11:K13" si="11">SUM(C11+G11)</f>
        <v>4709393</v>
      </c>
      <c r="L11" s="71">
        <f t="shared" ref="L11:L13" si="12">SUM(D11+H11)</f>
        <v>4252566</v>
      </c>
      <c r="M11" s="71">
        <f t="shared" ref="M11:M13" si="13">SUM(E11+I11)</f>
        <v>0</v>
      </c>
      <c r="N11" s="248">
        <f t="shared" ref="N11:N13" si="14">SUM(K11:M11)</f>
        <v>8961959</v>
      </c>
      <c r="O11" s="71">
        <v>4865867</v>
      </c>
      <c r="P11" s="71">
        <v>1172932</v>
      </c>
      <c r="Q11" s="71">
        <v>122184</v>
      </c>
      <c r="R11" s="248">
        <f>SUM(O11:Q11)</f>
        <v>6160983</v>
      </c>
      <c r="S11" s="71">
        <v>-1018230</v>
      </c>
      <c r="T11" s="71">
        <v>-118287</v>
      </c>
      <c r="U11" s="71">
        <v>-13173</v>
      </c>
      <c r="V11" s="71">
        <f t="shared" ref="V11:V20" si="15">SUM(S11:U11)</f>
        <v>-1149690</v>
      </c>
      <c r="W11" s="71">
        <f t="shared" ref="W11:W13" si="16">SUM(O11+S11)</f>
        <v>3847637</v>
      </c>
      <c r="X11" s="71">
        <f t="shared" ref="X11:X13" si="17">SUM(P11+T11)</f>
        <v>1054645</v>
      </c>
      <c r="Y11" s="71">
        <f t="shared" ref="Y11:Y13" si="18">SUM(Q11+U11)</f>
        <v>109011</v>
      </c>
      <c r="Z11" s="248">
        <f t="shared" ref="Z11:Z13" si="19">SUM(W11:Y11)</f>
        <v>5011293</v>
      </c>
      <c r="AA11" s="334">
        <f t="shared" si="1"/>
        <v>10263629</v>
      </c>
      <c r="AB11" s="335">
        <f t="shared" si="1"/>
        <v>5184921</v>
      </c>
      <c r="AC11" s="336">
        <f t="shared" si="2"/>
        <v>122184</v>
      </c>
      <c r="AD11" s="89">
        <f>SUM(AA11:AC11)</f>
        <v>15570734</v>
      </c>
      <c r="AE11" s="334">
        <f t="shared" si="3"/>
        <v>-1706599</v>
      </c>
      <c r="AF11" s="335">
        <f t="shared" si="3"/>
        <v>122290</v>
      </c>
      <c r="AG11" s="336">
        <f t="shared" si="4"/>
        <v>-13173</v>
      </c>
      <c r="AH11" s="89">
        <f t="shared" si="5"/>
        <v>-1597482</v>
      </c>
      <c r="AI11" s="334">
        <f t="shared" si="6"/>
        <v>8557030</v>
      </c>
      <c r="AJ11" s="335">
        <f t="shared" si="6"/>
        <v>5307211</v>
      </c>
      <c r="AK11" s="336">
        <f t="shared" si="7"/>
        <v>109011</v>
      </c>
      <c r="AL11" s="89">
        <f t="shared" si="8"/>
        <v>13973252</v>
      </c>
    </row>
    <row r="12" spans="1:38" x14ac:dyDescent="0.25">
      <c r="A12" s="70" t="s">
        <v>455</v>
      </c>
      <c r="B12" s="70" t="s">
        <v>158</v>
      </c>
      <c r="C12" s="248">
        <v>100046</v>
      </c>
      <c r="D12" s="71">
        <v>100100</v>
      </c>
      <c r="E12" s="71"/>
      <c r="F12" s="248">
        <f>SUM(C12:E12)</f>
        <v>200146</v>
      </c>
      <c r="G12" s="248">
        <v>20224</v>
      </c>
      <c r="H12" s="248"/>
      <c r="I12" s="248"/>
      <c r="J12" s="248">
        <f t="shared" si="10"/>
        <v>20224</v>
      </c>
      <c r="K12" s="71">
        <f t="shared" si="11"/>
        <v>120270</v>
      </c>
      <c r="L12" s="71">
        <f t="shared" si="12"/>
        <v>100100</v>
      </c>
      <c r="M12" s="71">
        <f t="shared" si="13"/>
        <v>0</v>
      </c>
      <c r="N12" s="248">
        <f t="shared" si="14"/>
        <v>220370</v>
      </c>
      <c r="O12" s="248"/>
      <c r="P12" s="337">
        <v>0</v>
      </c>
      <c r="Q12" s="337">
        <v>0</v>
      </c>
      <c r="R12" s="255">
        <f>SUM(O12:Q12)</f>
        <v>0</v>
      </c>
      <c r="S12" s="255"/>
      <c r="T12" s="255"/>
      <c r="U12" s="255"/>
      <c r="V12" s="71">
        <f t="shared" si="15"/>
        <v>0</v>
      </c>
      <c r="W12" s="71">
        <f t="shared" si="16"/>
        <v>0</v>
      </c>
      <c r="X12" s="71">
        <f t="shared" si="17"/>
        <v>0</v>
      </c>
      <c r="Y12" s="71">
        <f t="shared" si="18"/>
        <v>0</v>
      </c>
      <c r="Z12" s="248">
        <f t="shared" si="19"/>
        <v>0</v>
      </c>
      <c r="AA12" s="338">
        <f t="shared" si="1"/>
        <v>100046</v>
      </c>
      <c r="AB12" s="339">
        <f t="shared" si="1"/>
        <v>100100</v>
      </c>
      <c r="AC12" s="336">
        <f>SUM(Q12+E12)</f>
        <v>0</v>
      </c>
      <c r="AD12" s="340">
        <f>SUM(AA12:AC12)</f>
        <v>200146</v>
      </c>
      <c r="AE12" s="338">
        <f t="shared" si="3"/>
        <v>20224</v>
      </c>
      <c r="AF12" s="339">
        <f t="shared" si="3"/>
        <v>0</v>
      </c>
      <c r="AG12" s="336">
        <f t="shared" si="4"/>
        <v>0</v>
      </c>
      <c r="AH12" s="340">
        <f t="shared" si="5"/>
        <v>20224</v>
      </c>
      <c r="AI12" s="338">
        <f t="shared" si="6"/>
        <v>120270</v>
      </c>
      <c r="AJ12" s="339">
        <f t="shared" si="6"/>
        <v>100100</v>
      </c>
      <c r="AK12" s="336">
        <f t="shared" si="7"/>
        <v>0</v>
      </c>
      <c r="AL12" s="340">
        <f t="shared" si="8"/>
        <v>220370</v>
      </c>
    </row>
    <row r="13" spans="1:38" ht="31.5" x14ac:dyDescent="0.25">
      <c r="A13" s="333" t="s">
        <v>179</v>
      </c>
      <c r="B13" s="333" t="s">
        <v>315</v>
      </c>
      <c r="C13" s="248">
        <v>11217710</v>
      </c>
      <c r="D13" s="71">
        <v>2394190</v>
      </c>
      <c r="E13" s="71"/>
      <c r="F13" s="248">
        <f>SUM(C13:E13)</f>
        <v>13611900</v>
      </c>
      <c r="G13" s="71">
        <v>-631652</v>
      </c>
      <c r="H13" s="71">
        <f>-1236398-24300</f>
        <v>-1260698</v>
      </c>
      <c r="I13" s="71"/>
      <c r="J13" s="248">
        <f t="shared" si="10"/>
        <v>-1892350</v>
      </c>
      <c r="K13" s="71">
        <f t="shared" si="11"/>
        <v>10586058</v>
      </c>
      <c r="L13" s="71">
        <f t="shared" si="12"/>
        <v>1133492</v>
      </c>
      <c r="M13" s="71">
        <f t="shared" si="13"/>
        <v>0</v>
      </c>
      <c r="N13" s="248">
        <f t="shared" si="14"/>
        <v>11719550</v>
      </c>
      <c r="O13" s="71">
        <v>0</v>
      </c>
      <c r="P13" s="71">
        <v>0</v>
      </c>
      <c r="Q13" s="71">
        <v>0</v>
      </c>
      <c r="R13" s="248">
        <f>SUM(O13:Q13)</f>
        <v>0</v>
      </c>
      <c r="S13" s="71"/>
      <c r="T13" s="71"/>
      <c r="U13" s="71"/>
      <c r="V13" s="71">
        <f t="shared" si="15"/>
        <v>0</v>
      </c>
      <c r="W13" s="71">
        <f t="shared" si="16"/>
        <v>0</v>
      </c>
      <c r="X13" s="71">
        <f t="shared" si="17"/>
        <v>0</v>
      </c>
      <c r="Y13" s="71">
        <f t="shared" si="18"/>
        <v>0</v>
      </c>
      <c r="Z13" s="248">
        <f t="shared" si="19"/>
        <v>0</v>
      </c>
      <c r="AA13" s="334">
        <f t="shared" si="1"/>
        <v>11217710</v>
      </c>
      <c r="AB13" s="335">
        <f t="shared" si="1"/>
        <v>2394190</v>
      </c>
      <c r="AC13" s="336">
        <f t="shared" si="2"/>
        <v>0</v>
      </c>
      <c r="AD13" s="89">
        <f>SUM(AA13:AC13)</f>
        <v>13611900</v>
      </c>
      <c r="AE13" s="334">
        <f t="shared" si="3"/>
        <v>-631652</v>
      </c>
      <c r="AF13" s="335">
        <f t="shared" si="3"/>
        <v>-1260698</v>
      </c>
      <c r="AG13" s="336">
        <f t="shared" si="4"/>
        <v>0</v>
      </c>
      <c r="AH13" s="89">
        <f t="shared" si="5"/>
        <v>-1892350</v>
      </c>
      <c r="AI13" s="334">
        <f t="shared" si="6"/>
        <v>10586058</v>
      </c>
      <c r="AJ13" s="335">
        <f t="shared" si="6"/>
        <v>1133492</v>
      </c>
      <c r="AK13" s="336">
        <f t="shared" si="7"/>
        <v>0</v>
      </c>
      <c r="AL13" s="89">
        <f t="shared" si="8"/>
        <v>11719550</v>
      </c>
    </row>
    <row r="14" spans="1:38" ht="31.5" x14ac:dyDescent="0.25">
      <c r="A14" s="341" t="s">
        <v>339</v>
      </c>
      <c r="B14" s="342"/>
      <c r="C14" s="256">
        <f>SUM(C9:C13)</f>
        <v>17011060</v>
      </c>
      <c r="D14" s="256">
        <f t="shared" ref="D14:E14" si="20">SUM(D9:D13)</f>
        <v>6718594</v>
      </c>
      <c r="E14" s="256">
        <f t="shared" si="20"/>
        <v>0</v>
      </c>
      <c r="F14" s="256">
        <f t="shared" ref="F14:AD14" si="21">SUM(F9:F13)</f>
        <v>23729654</v>
      </c>
      <c r="G14" s="256">
        <f t="shared" si="21"/>
        <v>-1294396</v>
      </c>
      <c r="H14" s="256">
        <f t="shared" si="21"/>
        <v>-1037061</v>
      </c>
      <c r="I14" s="256">
        <f t="shared" si="21"/>
        <v>0</v>
      </c>
      <c r="J14" s="256">
        <f t="shared" si="21"/>
        <v>-2331457</v>
      </c>
      <c r="K14" s="256">
        <f t="shared" si="21"/>
        <v>15716664</v>
      </c>
      <c r="L14" s="256">
        <f t="shared" si="21"/>
        <v>5681533</v>
      </c>
      <c r="M14" s="256">
        <f t="shared" si="21"/>
        <v>0</v>
      </c>
      <c r="N14" s="256">
        <f t="shared" si="21"/>
        <v>21398197</v>
      </c>
      <c r="O14" s="256">
        <f t="shared" si="21"/>
        <v>11629299</v>
      </c>
      <c r="P14" s="256">
        <f t="shared" si="21"/>
        <v>2875081</v>
      </c>
      <c r="Q14" s="256">
        <f t="shared" si="21"/>
        <v>994115</v>
      </c>
      <c r="R14" s="256">
        <f t="shared" si="21"/>
        <v>15498495</v>
      </c>
      <c r="S14" s="256">
        <f t="shared" si="21"/>
        <v>-446693</v>
      </c>
      <c r="T14" s="256">
        <f t="shared" si="21"/>
        <v>-87941</v>
      </c>
      <c r="U14" s="256">
        <f t="shared" si="21"/>
        <v>-70822</v>
      </c>
      <c r="V14" s="256">
        <f t="shared" si="21"/>
        <v>-605456</v>
      </c>
      <c r="W14" s="256">
        <f t="shared" si="21"/>
        <v>11182606</v>
      </c>
      <c r="X14" s="256">
        <f t="shared" si="21"/>
        <v>2787140</v>
      </c>
      <c r="Y14" s="256">
        <f t="shared" si="21"/>
        <v>923293</v>
      </c>
      <c r="Z14" s="256">
        <f t="shared" si="21"/>
        <v>14893039</v>
      </c>
      <c r="AA14" s="256">
        <f t="shared" si="21"/>
        <v>28640359</v>
      </c>
      <c r="AB14" s="256">
        <f t="shared" si="21"/>
        <v>9593675</v>
      </c>
      <c r="AC14" s="256">
        <f t="shared" si="21"/>
        <v>994115</v>
      </c>
      <c r="AD14" s="256">
        <f t="shared" si="21"/>
        <v>39228149</v>
      </c>
      <c r="AE14" s="256">
        <f t="shared" ref="AE14:AL14" si="22">SUM(AE9:AE13)</f>
        <v>-1741089</v>
      </c>
      <c r="AF14" s="256">
        <f t="shared" si="22"/>
        <v>-1125002</v>
      </c>
      <c r="AG14" s="256">
        <f t="shared" si="22"/>
        <v>-70822</v>
      </c>
      <c r="AH14" s="256">
        <f t="shared" si="22"/>
        <v>-2936913</v>
      </c>
      <c r="AI14" s="256">
        <f t="shared" si="22"/>
        <v>26899270</v>
      </c>
      <c r="AJ14" s="256">
        <f t="shared" si="22"/>
        <v>8468673</v>
      </c>
      <c r="AK14" s="256">
        <f t="shared" si="22"/>
        <v>923293</v>
      </c>
      <c r="AL14" s="256">
        <f t="shared" si="22"/>
        <v>36291236</v>
      </c>
    </row>
    <row r="15" spans="1:38" x14ac:dyDescent="0.25">
      <c r="A15" s="70" t="s">
        <v>162</v>
      </c>
      <c r="B15" s="70" t="s">
        <v>159</v>
      </c>
      <c r="C15" s="248">
        <v>10606633</v>
      </c>
      <c r="D15" s="71">
        <v>13913919</v>
      </c>
      <c r="E15" s="71"/>
      <c r="F15" s="71">
        <f>SUM(C15:E15)</f>
        <v>24520552</v>
      </c>
      <c r="G15" s="71">
        <v>-445957</v>
      </c>
      <c r="H15" s="71">
        <v>-329190</v>
      </c>
      <c r="I15" s="71"/>
      <c r="J15" s="248">
        <f t="shared" si="10"/>
        <v>-775147</v>
      </c>
      <c r="K15" s="71">
        <f t="shared" ref="K15:K17" si="23">SUM(C15+G15)</f>
        <v>10160676</v>
      </c>
      <c r="L15" s="71">
        <f t="shared" ref="L15:L17" si="24">SUM(D15+H15)</f>
        <v>13584729</v>
      </c>
      <c r="M15" s="71">
        <f t="shared" ref="M15:M17" si="25">SUM(E15+I15)</f>
        <v>0</v>
      </c>
      <c r="N15" s="248">
        <f t="shared" ref="N15:N17" si="26">SUM(K15:M15)</f>
        <v>23745405</v>
      </c>
      <c r="O15" s="248">
        <v>76623</v>
      </c>
      <c r="P15" s="71"/>
      <c r="Q15" s="71">
        <v>47869</v>
      </c>
      <c r="R15" s="71">
        <f>SUM(O15:Q15)</f>
        <v>124492</v>
      </c>
      <c r="S15" s="71">
        <v>64573</v>
      </c>
      <c r="T15" s="71">
        <v>36888</v>
      </c>
      <c r="U15" s="71">
        <v>10544</v>
      </c>
      <c r="V15" s="71">
        <f t="shared" si="15"/>
        <v>112005</v>
      </c>
      <c r="W15" s="71">
        <f t="shared" ref="W15:W17" si="27">SUM(O15+S15)</f>
        <v>141196</v>
      </c>
      <c r="X15" s="71">
        <f t="shared" ref="X15:X17" si="28">SUM(P15+T15)</f>
        <v>36888</v>
      </c>
      <c r="Y15" s="71">
        <f t="shared" ref="Y15:Y17" si="29">SUM(Q15+U15)</f>
        <v>58413</v>
      </c>
      <c r="Z15" s="248">
        <f t="shared" ref="Z15:Z17" si="30">SUM(W15:Y15)</f>
        <v>236497</v>
      </c>
      <c r="AA15" s="334">
        <f t="shared" ref="AA15:AB17" si="31">+C15+O15</f>
        <v>10683256</v>
      </c>
      <c r="AB15" s="335">
        <f t="shared" si="31"/>
        <v>13913919</v>
      </c>
      <c r="AC15" s="336">
        <f t="shared" si="2"/>
        <v>47869</v>
      </c>
      <c r="AD15" s="89">
        <f>SUM(AA15:AC15)</f>
        <v>24645044</v>
      </c>
      <c r="AE15" s="334">
        <f t="shared" ref="AE15:AF17" si="32">+G15+S15</f>
        <v>-381384</v>
      </c>
      <c r="AF15" s="335">
        <f t="shared" si="32"/>
        <v>-292302</v>
      </c>
      <c r="AG15" s="336">
        <f t="shared" ref="AG15:AG20" si="33">SUM(U15+I15)</f>
        <v>10544</v>
      </c>
      <c r="AH15" s="89">
        <f t="shared" ref="AH15:AH17" si="34">SUM(AE15:AG15)</f>
        <v>-663142</v>
      </c>
      <c r="AI15" s="334">
        <f t="shared" ref="AI15:AJ17" si="35">+K15+W15</f>
        <v>10301872</v>
      </c>
      <c r="AJ15" s="335">
        <f t="shared" si="35"/>
        <v>13621617</v>
      </c>
      <c r="AK15" s="336">
        <f t="shared" ref="AK15:AK20" si="36">SUM(Y15+M15)</f>
        <v>58413</v>
      </c>
      <c r="AL15" s="89">
        <f t="shared" ref="AL15:AL17" si="37">SUM(AI15:AK15)</f>
        <v>23981902</v>
      </c>
    </row>
    <row r="16" spans="1:38" x14ac:dyDescent="0.25">
      <c r="A16" s="70" t="s">
        <v>163</v>
      </c>
      <c r="B16" s="70" t="s">
        <v>160</v>
      </c>
      <c r="C16" s="248">
        <v>297706</v>
      </c>
      <c r="D16" s="71">
        <v>20000</v>
      </c>
      <c r="E16" s="71"/>
      <c r="F16" s="71">
        <f>SUM(C16:E16)</f>
        <v>317706</v>
      </c>
      <c r="G16" s="71">
        <v>22953</v>
      </c>
      <c r="H16" s="71"/>
      <c r="I16" s="71"/>
      <c r="J16" s="71">
        <f t="shared" si="10"/>
        <v>22953</v>
      </c>
      <c r="K16" s="71">
        <f t="shared" si="23"/>
        <v>320659</v>
      </c>
      <c r="L16" s="71">
        <f t="shared" si="24"/>
        <v>20000</v>
      </c>
      <c r="M16" s="71">
        <f t="shared" si="25"/>
        <v>0</v>
      </c>
      <c r="N16" s="248">
        <f t="shared" si="26"/>
        <v>340659</v>
      </c>
      <c r="O16" s="248">
        <v>0</v>
      </c>
      <c r="P16" s="71">
        <v>0</v>
      </c>
      <c r="Q16" s="71">
        <v>0</v>
      </c>
      <c r="R16" s="71">
        <f>SUM(O16:Q16)</f>
        <v>0</v>
      </c>
      <c r="S16" s="71">
        <v>12063</v>
      </c>
      <c r="T16" s="71">
        <v>677</v>
      </c>
      <c r="U16" s="71">
        <v>2699</v>
      </c>
      <c r="V16" s="71">
        <f t="shared" si="15"/>
        <v>15439</v>
      </c>
      <c r="W16" s="71">
        <f t="shared" si="27"/>
        <v>12063</v>
      </c>
      <c r="X16" s="71">
        <f t="shared" si="28"/>
        <v>677</v>
      </c>
      <c r="Y16" s="71">
        <f t="shared" si="29"/>
        <v>2699</v>
      </c>
      <c r="Z16" s="248">
        <f t="shared" si="30"/>
        <v>15439</v>
      </c>
      <c r="AA16" s="334">
        <f t="shared" si="31"/>
        <v>297706</v>
      </c>
      <c r="AB16" s="335">
        <f t="shared" si="31"/>
        <v>20000</v>
      </c>
      <c r="AC16" s="336">
        <f t="shared" si="2"/>
        <v>0</v>
      </c>
      <c r="AD16" s="89">
        <f>SUM(AA16:AC16)</f>
        <v>317706</v>
      </c>
      <c r="AE16" s="334">
        <f t="shared" si="32"/>
        <v>35016</v>
      </c>
      <c r="AF16" s="335">
        <f t="shared" si="32"/>
        <v>677</v>
      </c>
      <c r="AG16" s="336">
        <f t="shared" si="33"/>
        <v>2699</v>
      </c>
      <c r="AH16" s="89">
        <f t="shared" si="34"/>
        <v>38392</v>
      </c>
      <c r="AI16" s="334">
        <f t="shared" si="35"/>
        <v>332722</v>
      </c>
      <c r="AJ16" s="335">
        <f t="shared" si="35"/>
        <v>20677</v>
      </c>
      <c r="AK16" s="336">
        <f t="shared" si="36"/>
        <v>2699</v>
      </c>
      <c r="AL16" s="89">
        <f t="shared" si="37"/>
        <v>356098</v>
      </c>
    </row>
    <row r="17" spans="1:38" x14ac:dyDescent="0.25">
      <c r="A17" s="70" t="s">
        <v>268</v>
      </c>
      <c r="B17" s="70" t="s">
        <v>161</v>
      </c>
      <c r="C17" s="248">
        <v>825083</v>
      </c>
      <c r="D17" s="71">
        <v>1338010</v>
      </c>
      <c r="E17" s="71"/>
      <c r="F17" s="71">
        <f>SUM(C17:E17)</f>
        <v>2163093</v>
      </c>
      <c r="G17" s="71">
        <v>18317</v>
      </c>
      <c r="H17" s="71">
        <f>-139169-605287</f>
        <v>-744456</v>
      </c>
      <c r="I17" s="71"/>
      <c r="J17" s="71">
        <f t="shared" si="10"/>
        <v>-726139</v>
      </c>
      <c r="K17" s="71">
        <f t="shared" si="23"/>
        <v>843400</v>
      </c>
      <c r="L17" s="71">
        <f t="shared" si="24"/>
        <v>593554</v>
      </c>
      <c r="M17" s="71">
        <f t="shared" si="25"/>
        <v>0</v>
      </c>
      <c r="N17" s="248">
        <f t="shared" si="26"/>
        <v>1436954</v>
      </c>
      <c r="O17" s="248">
        <v>0</v>
      </c>
      <c r="P17" s="71">
        <v>20000</v>
      </c>
      <c r="Q17" s="71">
        <v>0</v>
      </c>
      <c r="R17" s="71">
        <f>SUM(O17:Q17)</f>
        <v>20000</v>
      </c>
      <c r="S17" s="71">
        <v>0</v>
      </c>
      <c r="T17" s="71">
        <v>-17230</v>
      </c>
      <c r="U17" s="71"/>
      <c r="V17" s="71">
        <f t="shared" si="15"/>
        <v>-17230</v>
      </c>
      <c r="W17" s="71">
        <f t="shared" si="27"/>
        <v>0</v>
      </c>
      <c r="X17" s="71">
        <f t="shared" si="28"/>
        <v>2770</v>
      </c>
      <c r="Y17" s="71">
        <f t="shared" si="29"/>
        <v>0</v>
      </c>
      <c r="Z17" s="248">
        <f t="shared" si="30"/>
        <v>2770</v>
      </c>
      <c r="AA17" s="334">
        <f t="shared" si="31"/>
        <v>825083</v>
      </c>
      <c r="AB17" s="335">
        <f t="shared" si="31"/>
        <v>1358010</v>
      </c>
      <c r="AC17" s="336">
        <f t="shared" si="2"/>
        <v>0</v>
      </c>
      <c r="AD17" s="89">
        <f>SUM(AA17:AC17)</f>
        <v>2183093</v>
      </c>
      <c r="AE17" s="334">
        <f t="shared" si="32"/>
        <v>18317</v>
      </c>
      <c r="AF17" s="335">
        <f t="shared" si="32"/>
        <v>-761686</v>
      </c>
      <c r="AG17" s="336">
        <f t="shared" si="33"/>
        <v>0</v>
      </c>
      <c r="AH17" s="89">
        <f t="shared" si="34"/>
        <v>-743369</v>
      </c>
      <c r="AI17" s="334">
        <f t="shared" si="35"/>
        <v>843400</v>
      </c>
      <c r="AJ17" s="335">
        <f t="shared" si="35"/>
        <v>596324</v>
      </c>
      <c r="AK17" s="336">
        <f t="shared" si="36"/>
        <v>0</v>
      </c>
      <c r="AL17" s="89">
        <f t="shared" si="37"/>
        <v>1439724</v>
      </c>
    </row>
    <row r="18" spans="1:38" ht="31.5" x14ac:dyDescent="0.25">
      <c r="A18" s="341" t="s">
        <v>340</v>
      </c>
      <c r="B18" s="343"/>
      <c r="C18" s="257">
        <f t="shared" ref="C18:E18" si="38">SUM(C15:C17)</f>
        <v>11729422</v>
      </c>
      <c r="D18" s="257">
        <f t="shared" si="38"/>
        <v>15271929</v>
      </c>
      <c r="E18" s="257">
        <f t="shared" si="38"/>
        <v>0</v>
      </c>
      <c r="F18" s="257">
        <f t="shared" ref="F18:AB18" si="39">SUM(F15:F17)</f>
        <v>27001351</v>
      </c>
      <c r="G18" s="257">
        <f t="shared" si="39"/>
        <v>-404687</v>
      </c>
      <c r="H18" s="257">
        <f t="shared" si="39"/>
        <v>-1073646</v>
      </c>
      <c r="I18" s="257">
        <f t="shared" si="39"/>
        <v>0</v>
      </c>
      <c r="J18" s="257">
        <f t="shared" si="39"/>
        <v>-1478333</v>
      </c>
      <c r="K18" s="257">
        <f t="shared" si="39"/>
        <v>11324735</v>
      </c>
      <c r="L18" s="257">
        <f t="shared" si="39"/>
        <v>14198283</v>
      </c>
      <c r="M18" s="257">
        <f t="shared" si="39"/>
        <v>0</v>
      </c>
      <c r="N18" s="256">
        <f t="shared" si="39"/>
        <v>25523018</v>
      </c>
      <c r="O18" s="256">
        <f t="shared" si="39"/>
        <v>76623</v>
      </c>
      <c r="P18" s="257">
        <f t="shared" si="39"/>
        <v>20000</v>
      </c>
      <c r="Q18" s="257">
        <f t="shared" si="39"/>
        <v>47869</v>
      </c>
      <c r="R18" s="257">
        <f t="shared" si="39"/>
        <v>144492</v>
      </c>
      <c r="S18" s="257">
        <f t="shared" si="39"/>
        <v>76636</v>
      </c>
      <c r="T18" s="257">
        <f t="shared" si="39"/>
        <v>20335</v>
      </c>
      <c r="U18" s="257">
        <f t="shared" si="39"/>
        <v>13243</v>
      </c>
      <c r="V18" s="257">
        <f t="shared" si="39"/>
        <v>110214</v>
      </c>
      <c r="W18" s="257">
        <f t="shared" si="39"/>
        <v>153259</v>
      </c>
      <c r="X18" s="257">
        <f t="shared" si="39"/>
        <v>40335</v>
      </c>
      <c r="Y18" s="257">
        <f t="shared" si="39"/>
        <v>61112</v>
      </c>
      <c r="Z18" s="256">
        <f t="shared" si="39"/>
        <v>254706</v>
      </c>
      <c r="AA18" s="257">
        <f t="shared" si="39"/>
        <v>11806045</v>
      </c>
      <c r="AB18" s="344">
        <f t="shared" si="39"/>
        <v>15291929</v>
      </c>
      <c r="AC18" s="336">
        <f t="shared" si="2"/>
        <v>47869</v>
      </c>
      <c r="AD18" s="345">
        <f>SUM(AD15:AD17)</f>
        <v>27145843</v>
      </c>
      <c r="AE18" s="257">
        <f t="shared" ref="AE18:AF18" si="40">SUM(AE15:AE17)</f>
        <v>-328051</v>
      </c>
      <c r="AF18" s="344">
        <f t="shared" si="40"/>
        <v>-1053311</v>
      </c>
      <c r="AG18" s="336">
        <f t="shared" si="33"/>
        <v>13243</v>
      </c>
      <c r="AH18" s="345">
        <f t="shared" ref="AH18:AJ18" si="41">SUM(AH15:AH17)</f>
        <v>-1368119</v>
      </c>
      <c r="AI18" s="257">
        <f t="shared" si="41"/>
        <v>11477994</v>
      </c>
      <c r="AJ18" s="344">
        <f t="shared" si="41"/>
        <v>14238618</v>
      </c>
      <c r="AK18" s="336">
        <f t="shared" si="36"/>
        <v>61112</v>
      </c>
      <c r="AL18" s="345">
        <f t="shared" ref="AL18" si="42">SUM(AL15:AL17)</f>
        <v>25777724</v>
      </c>
    </row>
    <row r="19" spans="1:38" x14ac:dyDescent="0.25">
      <c r="A19" s="70" t="s">
        <v>206</v>
      </c>
      <c r="B19" s="70"/>
      <c r="C19" s="248"/>
      <c r="D19" s="71">
        <v>400000</v>
      </c>
      <c r="E19" s="71"/>
      <c r="F19" s="71">
        <f>SUM(C19:E19)</f>
        <v>400000</v>
      </c>
      <c r="G19" s="71">
        <v>0</v>
      </c>
      <c r="H19" s="71">
        <v>-127541</v>
      </c>
      <c r="I19" s="71"/>
      <c r="J19" s="71">
        <f t="shared" si="10"/>
        <v>-127541</v>
      </c>
      <c r="K19" s="71">
        <f t="shared" ref="K19:K20" si="43">SUM(C19+G19)</f>
        <v>0</v>
      </c>
      <c r="L19" s="71">
        <f t="shared" ref="L19:L20" si="44">SUM(D19+H19)</f>
        <v>272459</v>
      </c>
      <c r="M19" s="71">
        <f t="shared" ref="M19:M20" si="45">SUM(E19+I19)</f>
        <v>0</v>
      </c>
      <c r="N19" s="248">
        <f t="shared" ref="N19:N20" si="46">SUM(K19:M19)</f>
        <v>272459</v>
      </c>
      <c r="O19" s="248">
        <v>0</v>
      </c>
      <c r="P19" s="71">
        <v>0</v>
      </c>
      <c r="Q19" s="71">
        <v>0</v>
      </c>
      <c r="R19" s="71">
        <f>SUM(O19:Q19)</f>
        <v>0</v>
      </c>
      <c r="S19" s="71">
        <v>0</v>
      </c>
      <c r="T19" s="71">
        <v>0</v>
      </c>
      <c r="U19" s="71">
        <v>0</v>
      </c>
      <c r="V19" s="71">
        <f t="shared" si="15"/>
        <v>0</v>
      </c>
      <c r="W19" s="71">
        <f t="shared" ref="W19:W20" si="47">SUM(O19+S19)</f>
        <v>0</v>
      </c>
      <c r="X19" s="71">
        <f t="shared" ref="X19:X20" si="48">SUM(P19+T19)</f>
        <v>0</v>
      </c>
      <c r="Y19" s="71">
        <f t="shared" ref="Y19:Y20" si="49">SUM(Q19+U19)</f>
        <v>0</v>
      </c>
      <c r="Z19" s="248">
        <f t="shared" ref="Z19:Z20" si="50">SUM(W19:Y19)</f>
        <v>0</v>
      </c>
      <c r="AA19" s="334">
        <f>+C19+O19</f>
        <v>0</v>
      </c>
      <c r="AB19" s="335">
        <f>+D19+P19</f>
        <v>400000</v>
      </c>
      <c r="AC19" s="336">
        <f t="shared" si="2"/>
        <v>0</v>
      </c>
      <c r="AD19" s="89">
        <f>SUM(AA19:AC19)</f>
        <v>400000</v>
      </c>
      <c r="AE19" s="334">
        <f>+G19+S19</f>
        <v>0</v>
      </c>
      <c r="AF19" s="335">
        <f t="shared" ref="AE19:AF20" si="51">+H19+T19</f>
        <v>-127541</v>
      </c>
      <c r="AG19" s="336">
        <f t="shared" si="33"/>
        <v>0</v>
      </c>
      <c r="AH19" s="89">
        <f t="shared" ref="AH19:AH20" si="52">SUM(AE19:AG19)</f>
        <v>-127541</v>
      </c>
      <c r="AI19" s="334">
        <f t="shared" ref="AI19:AJ20" si="53">+K19+W19</f>
        <v>0</v>
      </c>
      <c r="AJ19" s="335">
        <f t="shared" si="53"/>
        <v>272459</v>
      </c>
      <c r="AK19" s="336">
        <f t="shared" si="36"/>
        <v>0</v>
      </c>
      <c r="AL19" s="89">
        <f t="shared" ref="AL19:AL20" si="54">SUM(AI19:AK19)</f>
        <v>272459</v>
      </c>
    </row>
    <row r="20" spans="1:38" x14ac:dyDescent="0.25">
      <c r="A20" s="70" t="s">
        <v>207</v>
      </c>
      <c r="B20" s="70"/>
      <c r="C20" s="248">
        <v>493816</v>
      </c>
      <c r="D20" s="71">
        <v>243000</v>
      </c>
      <c r="E20" s="71"/>
      <c r="F20" s="71">
        <f>SUM(C20:E20)</f>
        <v>736816</v>
      </c>
      <c r="G20" s="71">
        <v>2272937</v>
      </c>
      <c r="H20" s="71">
        <v>-198347</v>
      </c>
      <c r="I20" s="71"/>
      <c r="J20" s="71">
        <f t="shared" si="10"/>
        <v>2074590</v>
      </c>
      <c r="K20" s="71">
        <f t="shared" si="43"/>
        <v>2766753</v>
      </c>
      <c r="L20" s="71">
        <f t="shared" si="44"/>
        <v>44653</v>
      </c>
      <c r="M20" s="71">
        <f t="shared" si="45"/>
        <v>0</v>
      </c>
      <c r="N20" s="248">
        <f t="shared" si="46"/>
        <v>2811406</v>
      </c>
      <c r="O20" s="248">
        <v>0</v>
      </c>
      <c r="P20" s="71">
        <v>0</v>
      </c>
      <c r="Q20" s="71">
        <v>0</v>
      </c>
      <c r="R20" s="71">
        <f>SUM(O20:Q20)</f>
        <v>0</v>
      </c>
      <c r="S20" s="71">
        <v>0</v>
      </c>
      <c r="T20" s="71">
        <v>0</v>
      </c>
      <c r="U20" s="71">
        <v>0</v>
      </c>
      <c r="V20" s="71">
        <f t="shared" si="15"/>
        <v>0</v>
      </c>
      <c r="W20" s="71">
        <f t="shared" si="47"/>
        <v>0</v>
      </c>
      <c r="X20" s="71">
        <f t="shared" si="48"/>
        <v>0</v>
      </c>
      <c r="Y20" s="71">
        <f t="shared" si="49"/>
        <v>0</v>
      </c>
      <c r="Z20" s="248">
        <f t="shared" si="50"/>
        <v>0</v>
      </c>
      <c r="AA20" s="334">
        <f>+C20+O20</f>
        <v>493816</v>
      </c>
      <c r="AB20" s="335">
        <f>+D20+P20</f>
        <v>243000</v>
      </c>
      <c r="AC20" s="336">
        <f t="shared" si="2"/>
        <v>0</v>
      </c>
      <c r="AD20" s="89">
        <f>SUM(AA20:AC20)</f>
        <v>736816</v>
      </c>
      <c r="AE20" s="334">
        <f t="shared" si="51"/>
        <v>2272937</v>
      </c>
      <c r="AF20" s="335">
        <f t="shared" si="51"/>
        <v>-198347</v>
      </c>
      <c r="AG20" s="336">
        <f t="shared" si="33"/>
        <v>0</v>
      </c>
      <c r="AH20" s="89">
        <f t="shared" si="52"/>
        <v>2074590</v>
      </c>
      <c r="AI20" s="334">
        <f t="shared" si="53"/>
        <v>2766753</v>
      </c>
      <c r="AJ20" s="335">
        <f t="shared" si="53"/>
        <v>44653</v>
      </c>
      <c r="AK20" s="336">
        <f t="shared" si="36"/>
        <v>0</v>
      </c>
      <c r="AL20" s="89">
        <f t="shared" si="54"/>
        <v>2811406</v>
      </c>
    </row>
    <row r="21" spans="1:38" s="75" customFormat="1" ht="16.5" thickBot="1" x14ac:dyDescent="0.3">
      <c r="A21" s="73" t="s">
        <v>208</v>
      </c>
      <c r="B21" s="346" t="s">
        <v>316</v>
      </c>
      <c r="C21" s="258">
        <f>C20+C19</f>
        <v>493816</v>
      </c>
      <c r="D21" s="258">
        <f t="shared" ref="D21:E21" si="55">D20+D19</f>
        <v>643000</v>
      </c>
      <c r="E21" s="258">
        <f t="shared" si="55"/>
        <v>0</v>
      </c>
      <c r="F21" s="258">
        <f t="shared" ref="F21:AD21" si="56">SUM(F19:F20)</f>
        <v>1136816</v>
      </c>
      <c r="G21" s="258">
        <f t="shared" ref="G21:Q21" si="57">SUM(G19:G20)</f>
        <v>2272937</v>
      </c>
      <c r="H21" s="258"/>
      <c r="I21" s="258">
        <f t="shared" si="57"/>
        <v>0</v>
      </c>
      <c r="J21" s="258">
        <f t="shared" si="57"/>
        <v>1947049</v>
      </c>
      <c r="K21" s="258">
        <f t="shared" si="57"/>
        <v>2766753</v>
      </c>
      <c r="L21" s="258">
        <f t="shared" si="57"/>
        <v>317112</v>
      </c>
      <c r="M21" s="258">
        <f t="shared" si="57"/>
        <v>0</v>
      </c>
      <c r="N21" s="258">
        <f t="shared" si="57"/>
        <v>3083865</v>
      </c>
      <c r="O21" s="258">
        <f t="shared" si="57"/>
        <v>0</v>
      </c>
      <c r="P21" s="258">
        <f t="shared" si="57"/>
        <v>0</v>
      </c>
      <c r="Q21" s="258">
        <f t="shared" si="57"/>
        <v>0</v>
      </c>
      <c r="R21" s="258">
        <f t="shared" si="56"/>
        <v>0</v>
      </c>
      <c r="S21" s="258">
        <f t="shared" ref="S21:Z21" si="58">SUM(S19:S20)</f>
        <v>0</v>
      </c>
      <c r="T21" s="258">
        <f t="shared" si="58"/>
        <v>0</v>
      </c>
      <c r="U21" s="258">
        <f t="shared" si="58"/>
        <v>0</v>
      </c>
      <c r="V21" s="258">
        <f t="shared" si="58"/>
        <v>0</v>
      </c>
      <c r="W21" s="258">
        <f t="shared" si="58"/>
        <v>0</v>
      </c>
      <c r="X21" s="258">
        <f t="shared" si="58"/>
        <v>0</v>
      </c>
      <c r="Y21" s="258">
        <f t="shared" si="58"/>
        <v>0</v>
      </c>
      <c r="Z21" s="258">
        <f t="shared" si="58"/>
        <v>0</v>
      </c>
      <c r="AA21" s="258">
        <f t="shared" si="56"/>
        <v>493816</v>
      </c>
      <c r="AB21" s="258">
        <f t="shared" si="56"/>
        <v>643000</v>
      </c>
      <c r="AC21" s="258">
        <f t="shared" si="56"/>
        <v>0</v>
      </c>
      <c r="AD21" s="258">
        <f t="shared" si="56"/>
        <v>1136816</v>
      </c>
      <c r="AE21" s="258">
        <f t="shared" ref="AE21:AL21" si="59">SUM(AE19:AE20)</f>
        <v>2272937</v>
      </c>
      <c r="AF21" s="258">
        <f t="shared" si="59"/>
        <v>-325888</v>
      </c>
      <c r="AG21" s="258">
        <f t="shared" si="59"/>
        <v>0</v>
      </c>
      <c r="AH21" s="258">
        <f t="shared" si="59"/>
        <v>1947049</v>
      </c>
      <c r="AI21" s="258">
        <f t="shared" si="59"/>
        <v>2766753</v>
      </c>
      <c r="AJ21" s="258">
        <f t="shared" si="59"/>
        <v>317112</v>
      </c>
      <c r="AK21" s="258">
        <f t="shared" si="59"/>
        <v>0</v>
      </c>
      <c r="AL21" s="258">
        <f t="shared" si="59"/>
        <v>3083865</v>
      </c>
    </row>
    <row r="22" spans="1:38" ht="17.25" thickTop="1" thickBot="1" x14ac:dyDescent="0.3">
      <c r="A22" s="239" t="s">
        <v>209</v>
      </c>
      <c r="B22" s="347" t="s">
        <v>273</v>
      </c>
      <c r="C22" s="241">
        <f>+C21+C18+C14</f>
        <v>29234298</v>
      </c>
      <c r="D22" s="241">
        <f t="shared" ref="D22:E22" si="60">+D21+D18+D14</f>
        <v>22633523</v>
      </c>
      <c r="E22" s="241">
        <f t="shared" si="60"/>
        <v>0</v>
      </c>
      <c r="F22" s="241">
        <f t="shared" ref="F22:AD22" si="61">+F21+F18+F14</f>
        <v>51867821</v>
      </c>
      <c r="G22" s="241">
        <f t="shared" ref="G22:Q22" si="62">+G21+G18+G14</f>
        <v>573854</v>
      </c>
      <c r="H22" s="241">
        <f t="shared" si="62"/>
        <v>-2110707</v>
      </c>
      <c r="I22" s="241">
        <f t="shared" si="62"/>
        <v>0</v>
      </c>
      <c r="J22" s="241">
        <f t="shared" si="62"/>
        <v>-1862741</v>
      </c>
      <c r="K22" s="241">
        <f t="shared" si="62"/>
        <v>29808152</v>
      </c>
      <c r="L22" s="241">
        <f t="shared" si="62"/>
        <v>20196928</v>
      </c>
      <c r="M22" s="241">
        <f t="shared" si="62"/>
        <v>0</v>
      </c>
      <c r="N22" s="241">
        <f t="shared" si="62"/>
        <v>50005080</v>
      </c>
      <c r="O22" s="241">
        <f t="shared" si="62"/>
        <v>11705922</v>
      </c>
      <c r="P22" s="241">
        <f t="shared" si="62"/>
        <v>2895081</v>
      </c>
      <c r="Q22" s="241">
        <f t="shared" si="62"/>
        <v>1041984</v>
      </c>
      <c r="R22" s="241">
        <f t="shared" si="61"/>
        <v>15642987</v>
      </c>
      <c r="S22" s="241">
        <f t="shared" ref="S22:Z22" si="63">+S21+S18+S14</f>
        <v>-370057</v>
      </c>
      <c r="T22" s="241">
        <f t="shared" si="63"/>
        <v>-67606</v>
      </c>
      <c r="U22" s="241">
        <f t="shared" si="63"/>
        <v>-57579</v>
      </c>
      <c r="V22" s="241">
        <f t="shared" si="63"/>
        <v>-495242</v>
      </c>
      <c r="W22" s="241">
        <f t="shared" si="63"/>
        <v>11335865</v>
      </c>
      <c r="X22" s="241">
        <f t="shared" si="63"/>
        <v>2827475</v>
      </c>
      <c r="Y22" s="241">
        <f t="shared" si="63"/>
        <v>984405</v>
      </c>
      <c r="Z22" s="241">
        <f t="shared" si="63"/>
        <v>15147745</v>
      </c>
      <c r="AA22" s="241">
        <f t="shared" si="61"/>
        <v>40940220</v>
      </c>
      <c r="AB22" s="241">
        <f t="shared" si="61"/>
        <v>25528604</v>
      </c>
      <c r="AC22" s="241">
        <f t="shared" si="61"/>
        <v>1041984</v>
      </c>
      <c r="AD22" s="241">
        <f t="shared" si="61"/>
        <v>67510808</v>
      </c>
      <c r="AE22" s="241">
        <f t="shared" ref="AE22:AL22" si="64">+AE21+AE18+AE14</f>
        <v>203797</v>
      </c>
      <c r="AF22" s="241">
        <f t="shared" si="64"/>
        <v>-2504201</v>
      </c>
      <c r="AG22" s="241">
        <f t="shared" si="64"/>
        <v>-57579</v>
      </c>
      <c r="AH22" s="241">
        <f t="shared" si="64"/>
        <v>-2357983</v>
      </c>
      <c r="AI22" s="241">
        <f t="shared" si="64"/>
        <v>41144017</v>
      </c>
      <c r="AJ22" s="241">
        <f t="shared" si="64"/>
        <v>23024403</v>
      </c>
      <c r="AK22" s="241">
        <f t="shared" si="64"/>
        <v>984405</v>
      </c>
      <c r="AL22" s="241">
        <f t="shared" si="64"/>
        <v>65152825</v>
      </c>
    </row>
    <row r="23" spans="1:38" ht="32.25" thickTop="1" x14ac:dyDescent="0.25">
      <c r="A23" s="589" t="s">
        <v>820</v>
      </c>
      <c r="B23" s="590" t="s">
        <v>456</v>
      </c>
      <c r="C23" s="348">
        <v>163966</v>
      </c>
      <c r="D23" s="348">
        <v>0</v>
      </c>
      <c r="E23" s="348">
        <v>0</v>
      </c>
      <c r="F23" s="591">
        <f>SUM(C23:E23)</f>
        <v>163966</v>
      </c>
      <c r="G23" s="591"/>
      <c r="H23" s="591"/>
      <c r="I23" s="591"/>
      <c r="J23" s="591">
        <f>SUM(G23:I23)</f>
        <v>0</v>
      </c>
      <c r="K23" s="591">
        <f t="shared" ref="K23" si="65">SUM(C23+G23)</f>
        <v>163966</v>
      </c>
      <c r="L23" s="591">
        <f t="shared" ref="L23" si="66">SUM(D23+H23)</f>
        <v>0</v>
      </c>
      <c r="M23" s="591">
        <f t="shared" ref="M23" si="67">SUM(E23+I23)</f>
        <v>0</v>
      </c>
      <c r="N23" s="591">
        <f t="shared" ref="N23" si="68">SUM(K23:M23)</f>
        <v>163966</v>
      </c>
      <c r="O23" s="348">
        <v>0</v>
      </c>
      <c r="P23" s="348">
        <v>0</v>
      </c>
      <c r="Q23" s="348">
        <v>0</v>
      </c>
      <c r="R23" s="591">
        <f>SUM(O23:Q23)</f>
        <v>0</v>
      </c>
      <c r="S23" s="591"/>
      <c r="T23" s="591"/>
      <c r="U23" s="591"/>
      <c r="V23" s="591">
        <f>SUM(S23:U23)</f>
        <v>0</v>
      </c>
      <c r="W23" s="591">
        <f t="shared" ref="W23" si="69">SUM(O23+S23)</f>
        <v>0</v>
      </c>
      <c r="X23" s="591">
        <f t="shared" ref="X23" si="70">SUM(P23+T23)</f>
        <v>0</v>
      </c>
      <c r="Y23" s="591">
        <f t="shared" ref="Y23" si="71">SUM(Q23+U23)</f>
        <v>0</v>
      </c>
      <c r="Z23" s="591">
        <f t="shared" ref="Z23" si="72">SUM(W23:Y23)</f>
        <v>0</v>
      </c>
      <c r="AA23" s="591">
        <f t="shared" ref="AA23:AD23" si="73">SUM(O23+C23)</f>
        <v>163966</v>
      </c>
      <c r="AB23" s="591">
        <f t="shared" si="73"/>
        <v>0</v>
      </c>
      <c r="AC23" s="591">
        <f t="shared" si="73"/>
        <v>0</v>
      </c>
      <c r="AD23" s="591">
        <f t="shared" si="73"/>
        <v>163966</v>
      </c>
      <c r="AE23" s="591">
        <f t="shared" ref="AE23:AL23" si="74">SUM(S23+G23)</f>
        <v>0</v>
      </c>
      <c r="AF23" s="591">
        <f t="shared" si="74"/>
        <v>0</v>
      </c>
      <c r="AG23" s="591">
        <f t="shared" si="74"/>
        <v>0</v>
      </c>
      <c r="AH23" s="591">
        <f t="shared" si="74"/>
        <v>0</v>
      </c>
      <c r="AI23" s="591">
        <f t="shared" si="74"/>
        <v>163966</v>
      </c>
      <c r="AJ23" s="591">
        <f t="shared" si="74"/>
        <v>0</v>
      </c>
      <c r="AK23" s="591">
        <f t="shared" si="74"/>
        <v>0</v>
      </c>
      <c r="AL23" s="591">
        <f t="shared" si="74"/>
        <v>163966</v>
      </c>
    </row>
    <row r="24" spans="1:38" ht="16.5" thickBot="1" x14ac:dyDescent="0.3">
      <c r="A24" s="592" t="s">
        <v>818</v>
      </c>
      <c r="B24" s="593" t="s">
        <v>314</v>
      </c>
      <c r="C24" s="349">
        <v>10082490</v>
      </c>
      <c r="D24" s="349">
        <v>1973443</v>
      </c>
      <c r="E24" s="349">
        <v>967317</v>
      </c>
      <c r="F24" s="591">
        <f>SUM(C24:E24)</f>
        <v>13023250</v>
      </c>
      <c r="G24" s="349">
        <v>-1396817</v>
      </c>
      <c r="H24" s="349">
        <f>72805-20000</f>
        <v>52805</v>
      </c>
      <c r="I24" s="349">
        <v>-57579</v>
      </c>
      <c r="J24" s="591">
        <f>SUM(G24:I24)</f>
        <v>-1401591</v>
      </c>
      <c r="K24" s="591">
        <f t="shared" ref="K24" si="75">SUM(C24+G24)</f>
        <v>8685673</v>
      </c>
      <c r="L24" s="591">
        <f t="shared" ref="L24" si="76">SUM(D24+H24)</f>
        <v>2026248</v>
      </c>
      <c r="M24" s="591">
        <f t="shared" ref="M24" si="77">SUM(E24+I24)</f>
        <v>909738</v>
      </c>
      <c r="N24" s="591">
        <f t="shared" ref="N24" si="78">SUM(K24:M24)</f>
        <v>11621659</v>
      </c>
      <c r="O24" s="349">
        <v>0</v>
      </c>
      <c r="P24" s="349">
        <v>0</v>
      </c>
      <c r="Q24" s="349">
        <v>0</v>
      </c>
      <c r="R24" s="591">
        <f>SUM(O24:Q24)</f>
        <v>0</v>
      </c>
      <c r="S24" s="349"/>
      <c r="T24" s="349"/>
      <c r="U24" s="349"/>
      <c r="V24" s="591">
        <f>SUM(S24:U24)</f>
        <v>0</v>
      </c>
      <c r="W24" s="591">
        <f t="shared" ref="W24" si="79">SUM(O24+S24)</f>
        <v>0</v>
      </c>
      <c r="X24" s="591">
        <f t="shared" ref="X24" si="80">SUM(P24+T24)</f>
        <v>0</v>
      </c>
      <c r="Y24" s="591">
        <f t="shared" ref="Y24" si="81">SUM(Q24+U24)</f>
        <v>0</v>
      </c>
      <c r="Z24" s="591">
        <f t="shared" ref="Z24" si="82">SUM(W24:Y24)</f>
        <v>0</v>
      </c>
      <c r="AA24" s="591">
        <f t="shared" ref="AA24" si="83">SUM(O24+C24)</f>
        <v>10082490</v>
      </c>
      <c r="AB24" s="591">
        <f t="shared" ref="AB24" si="84">SUM(P24+D24)</f>
        <v>1973443</v>
      </c>
      <c r="AC24" s="591">
        <f t="shared" ref="AC24" si="85">SUM(Q24+E24)</f>
        <v>967317</v>
      </c>
      <c r="AD24" s="591">
        <f t="shared" ref="AD24" si="86">SUM(R24+F24)</f>
        <v>13023250</v>
      </c>
      <c r="AE24" s="591">
        <f t="shared" ref="AE24" si="87">SUM(S24+G24)</f>
        <v>-1396817</v>
      </c>
      <c r="AF24" s="591">
        <f t="shared" ref="AF24" si="88">SUM(T24+H24)</f>
        <v>52805</v>
      </c>
      <c r="AG24" s="591">
        <f t="shared" ref="AG24" si="89">SUM(U24+I24)</f>
        <v>-57579</v>
      </c>
      <c r="AH24" s="591">
        <f t="shared" ref="AH24" si="90">SUM(V24+J24)</f>
        <v>-1401591</v>
      </c>
      <c r="AI24" s="591">
        <f t="shared" ref="AI24" si="91">SUM(W24+K24)</f>
        <v>8685673</v>
      </c>
      <c r="AJ24" s="591">
        <f t="shared" ref="AJ24" si="92">SUM(X24+L24)</f>
        <v>2026248</v>
      </c>
      <c r="AK24" s="591">
        <f t="shared" ref="AK24" si="93">SUM(Y24+M24)</f>
        <v>909738</v>
      </c>
      <c r="AL24" s="591">
        <f t="shared" ref="AL24" si="94">SUM(Z24+N24)</f>
        <v>11621659</v>
      </c>
    </row>
    <row r="25" spans="1:38" ht="17.25" thickTop="1" thickBot="1" x14ac:dyDescent="0.3">
      <c r="A25" s="350" t="s">
        <v>819</v>
      </c>
      <c r="B25" s="351" t="s">
        <v>210</v>
      </c>
      <c r="C25" s="259">
        <f t="shared" ref="C25:AL25" si="95">SUM(C23:C24)</f>
        <v>10246456</v>
      </c>
      <c r="D25" s="259">
        <f t="shared" si="95"/>
        <v>1973443</v>
      </c>
      <c r="E25" s="259">
        <f t="shared" si="95"/>
        <v>967317</v>
      </c>
      <c r="F25" s="259">
        <f t="shared" si="95"/>
        <v>13187216</v>
      </c>
      <c r="G25" s="259">
        <f t="shared" si="95"/>
        <v>-1396817</v>
      </c>
      <c r="H25" s="259">
        <f t="shared" si="95"/>
        <v>52805</v>
      </c>
      <c r="I25" s="259">
        <f t="shared" si="95"/>
        <v>-57579</v>
      </c>
      <c r="J25" s="259">
        <f t="shared" si="95"/>
        <v>-1401591</v>
      </c>
      <c r="K25" s="259">
        <f t="shared" si="95"/>
        <v>8849639</v>
      </c>
      <c r="L25" s="259">
        <f t="shared" si="95"/>
        <v>2026248</v>
      </c>
      <c r="M25" s="259">
        <f t="shared" si="95"/>
        <v>909738</v>
      </c>
      <c r="N25" s="259">
        <f t="shared" si="95"/>
        <v>11785625</v>
      </c>
      <c r="O25" s="259">
        <f t="shared" si="95"/>
        <v>0</v>
      </c>
      <c r="P25" s="259">
        <f t="shared" si="95"/>
        <v>0</v>
      </c>
      <c r="Q25" s="259">
        <f t="shared" si="95"/>
        <v>0</v>
      </c>
      <c r="R25" s="259">
        <f t="shared" si="95"/>
        <v>0</v>
      </c>
      <c r="S25" s="259">
        <f t="shared" si="95"/>
        <v>0</v>
      </c>
      <c r="T25" s="259">
        <f t="shared" si="95"/>
        <v>0</v>
      </c>
      <c r="U25" s="259">
        <f t="shared" si="95"/>
        <v>0</v>
      </c>
      <c r="V25" s="259">
        <f t="shared" si="95"/>
        <v>0</v>
      </c>
      <c r="W25" s="259">
        <f t="shared" si="95"/>
        <v>0</v>
      </c>
      <c r="X25" s="259">
        <f t="shared" si="95"/>
        <v>0</v>
      </c>
      <c r="Y25" s="259">
        <f t="shared" si="95"/>
        <v>0</v>
      </c>
      <c r="Z25" s="259">
        <f t="shared" si="95"/>
        <v>0</v>
      </c>
      <c r="AA25" s="259">
        <f t="shared" si="95"/>
        <v>10246456</v>
      </c>
      <c r="AB25" s="259">
        <f t="shared" si="95"/>
        <v>1973443</v>
      </c>
      <c r="AC25" s="259">
        <f t="shared" si="95"/>
        <v>967317</v>
      </c>
      <c r="AD25" s="259">
        <f t="shared" si="95"/>
        <v>13187216</v>
      </c>
      <c r="AE25" s="259">
        <f t="shared" si="95"/>
        <v>-1396817</v>
      </c>
      <c r="AF25" s="259">
        <f t="shared" si="95"/>
        <v>52805</v>
      </c>
      <c r="AG25" s="259">
        <f t="shared" si="95"/>
        <v>-57579</v>
      </c>
      <c r="AH25" s="259">
        <f t="shared" si="95"/>
        <v>-1401591</v>
      </c>
      <c r="AI25" s="259">
        <f t="shared" si="95"/>
        <v>8849639</v>
      </c>
      <c r="AJ25" s="259">
        <f t="shared" si="95"/>
        <v>2026248</v>
      </c>
      <c r="AK25" s="259">
        <f t="shared" si="95"/>
        <v>909738</v>
      </c>
      <c r="AL25" s="259">
        <f t="shared" si="95"/>
        <v>11785625</v>
      </c>
    </row>
    <row r="26" spans="1:38" ht="17.25" thickTop="1" thickBot="1" x14ac:dyDescent="0.3">
      <c r="A26" s="239" t="s">
        <v>338</v>
      </c>
      <c r="B26" s="240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2">
        <v>1994.93</v>
      </c>
      <c r="S26" s="242"/>
      <c r="T26" s="242"/>
      <c r="U26" s="242"/>
      <c r="V26" s="242">
        <v>-27.75</v>
      </c>
      <c r="W26" s="242"/>
      <c r="X26" s="242"/>
      <c r="Y26" s="242"/>
      <c r="Z26" s="242">
        <f>SUM(R26+V26)</f>
        <v>1967.18</v>
      </c>
      <c r="AA26" s="241"/>
      <c r="AB26" s="241"/>
      <c r="AC26" s="241"/>
      <c r="AD26" s="242">
        <f>SUM(R26)</f>
        <v>1994.93</v>
      </c>
      <c r="AE26" s="241"/>
      <c r="AF26" s="241"/>
      <c r="AG26" s="241"/>
      <c r="AH26" s="242">
        <f>SUM(V26)</f>
        <v>-27.75</v>
      </c>
      <c r="AI26" s="241"/>
      <c r="AJ26" s="241"/>
      <c r="AK26" s="241"/>
      <c r="AL26" s="242">
        <f t="shared" ref="AL26" si="96">SUM(Z26)</f>
        <v>1967.18</v>
      </c>
    </row>
    <row r="27" spans="1:38" ht="16.5" thickTop="1" x14ac:dyDescent="0.25">
      <c r="A27" s="252"/>
      <c r="B27" s="25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</row>
    <row r="28" spans="1:38" x14ac:dyDescent="0.25">
      <c r="A28" s="252"/>
      <c r="B28" s="25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</row>
    <row r="29" spans="1:38" x14ac:dyDescent="0.25">
      <c r="A29" s="252"/>
      <c r="B29" s="25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</row>
    <row r="30" spans="1:38" x14ac:dyDescent="0.25">
      <c r="A30" s="252"/>
      <c r="B30" s="25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</row>
    <row r="31" spans="1:38" x14ac:dyDescent="0.25">
      <c r="A31" s="252"/>
      <c r="B31" s="25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2"/>
      <c r="AI31" s="72"/>
      <c r="AJ31" s="72"/>
      <c r="AK31" s="72"/>
      <c r="AL31" s="72"/>
    </row>
    <row r="32" spans="1:38" x14ac:dyDescent="0.25">
      <c r="A32" s="252"/>
      <c r="B32" s="25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</row>
    <row r="33" spans="1:38" x14ac:dyDescent="0.25">
      <c r="A33" s="252"/>
      <c r="B33" s="25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2"/>
      <c r="AI33" s="72"/>
      <c r="AJ33" s="72"/>
      <c r="AK33" s="72"/>
      <c r="AL33" s="72"/>
    </row>
    <row r="34" spans="1:38" x14ac:dyDescent="0.25">
      <c r="A34" s="252"/>
      <c r="B34" s="25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</row>
    <row r="35" spans="1:38" x14ac:dyDescent="0.25">
      <c r="A35" s="252"/>
      <c r="B35" s="25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</row>
    <row r="36" spans="1:38" x14ac:dyDescent="0.25">
      <c r="A36" s="252"/>
      <c r="B36" s="25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</row>
    <row r="37" spans="1:38" x14ac:dyDescent="0.25">
      <c r="A37" s="29"/>
      <c r="B37" s="29"/>
      <c r="C37" s="299"/>
      <c r="D37" s="299"/>
      <c r="E37" s="299"/>
      <c r="F37" s="299"/>
      <c r="G37" s="299"/>
      <c r="H37" s="299"/>
      <c r="I37" s="299"/>
      <c r="J37" s="299"/>
      <c r="K37" s="299"/>
      <c r="L37" s="299"/>
      <c r="M37" s="299"/>
      <c r="N37" s="299"/>
    </row>
  </sheetData>
  <mergeCells count="24">
    <mergeCell ref="B1:N1"/>
    <mergeCell ref="B2:N2"/>
    <mergeCell ref="O1:Z1"/>
    <mergeCell ref="O2:Z2"/>
    <mergeCell ref="AA1:AL1"/>
    <mergeCell ref="AA2:AL2"/>
    <mergeCell ref="O8:R8"/>
    <mergeCell ref="C5:N5"/>
    <mergeCell ref="C6:F6"/>
    <mergeCell ref="S8:V8"/>
    <mergeCell ref="W8:Z8"/>
    <mergeCell ref="AE8:AH8"/>
    <mergeCell ref="AI8:AL8"/>
    <mergeCell ref="AA5:AL5"/>
    <mergeCell ref="AA6:AD6"/>
    <mergeCell ref="AA8:AD8"/>
    <mergeCell ref="B3:N3"/>
    <mergeCell ref="O3:Z3"/>
    <mergeCell ref="AA3:AL3"/>
    <mergeCell ref="AE6:AH6"/>
    <mergeCell ref="AI6:AL6"/>
    <mergeCell ref="O6:R6"/>
    <mergeCell ref="S6:V6"/>
    <mergeCell ref="W6:Z6"/>
  </mergeCells>
  <phoneticPr fontId="0" type="noConversion"/>
  <pageMargins left="0.31496062992125984" right="0.27559055118110237" top="0.94488188976377963" bottom="0.39370078740157483" header="0.43307086614173229" footer="0.19685039370078741"/>
  <pageSetup paperSize="9" scale="61" orientation="landscape" r:id="rId1"/>
  <headerFooter alignWithMargins="0">
    <oddHeader>&amp;R&amp;"Times New Roman CE,Félkövér"&amp;11 2.melléklet a 24/2020.(VI.3.) önkormányzati rendelethez&amp;"Times New Roman CE,Dőlt"&amp;10
2. melléklet
 az 5/2020.(II.17.) önkormányzati rendelethez</oddHeader>
  </headerFooter>
  <colBreaks count="1" manualBreakCount="1">
    <brk id="2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4943"/>
  <sheetViews>
    <sheetView view="pageBreakPreview" zoomScale="80" zoomScaleNormal="90" zoomScaleSheetLayoutView="80" workbookViewId="0">
      <pane xSplit="2" ySplit="8" topLeftCell="C9" activePane="bottomRight" state="frozen"/>
      <selection activeCell="F18" sqref="F18"/>
      <selection pane="topRight" activeCell="F18" sqref="F18"/>
      <selection pane="bottomLeft" activeCell="F18" sqref="F18"/>
      <selection pane="bottomRight" activeCell="K47" sqref="K47"/>
    </sheetView>
  </sheetViews>
  <sheetFormatPr defaultColWidth="9.25" defaultRowHeight="15.75" x14ac:dyDescent="0.25"/>
  <cols>
    <col min="1" max="1" width="37.5" style="260" customWidth="1"/>
    <col min="2" max="2" width="11.625" style="260" customWidth="1"/>
    <col min="3" max="3" width="15" style="16" customWidth="1"/>
    <col min="4" max="4" width="14.5" style="16" customWidth="1"/>
    <col min="5" max="5" width="15.25" style="16" customWidth="1"/>
    <col min="6" max="6" width="14.25" style="16" customWidth="1"/>
    <col min="7" max="7" width="14.5" style="16" customWidth="1"/>
    <col min="8" max="8" width="14.75" style="16" customWidth="1"/>
    <col min="9" max="11" width="14.875" style="16" customWidth="1"/>
    <col min="12" max="16384" width="9.25" style="16"/>
  </cols>
  <sheetData>
    <row r="1" spans="1:256" s="594" customFormat="1" x14ac:dyDescent="0.25">
      <c r="A1" s="884" t="s">
        <v>181</v>
      </c>
      <c r="B1" s="884"/>
      <c r="C1" s="884"/>
      <c r="D1" s="884"/>
      <c r="E1" s="884"/>
      <c r="F1" s="884"/>
      <c r="G1" s="884"/>
      <c r="H1" s="884"/>
      <c r="I1" s="884"/>
      <c r="J1" s="884"/>
      <c r="K1" s="884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  <c r="EJ1" s="72"/>
      <c r="EK1" s="72"/>
      <c r="EL1" s="72"/>
      <c r="EM1" s="72"/>
      <c r="EN1" s="72"/>
      <c r="EO1" s="72"/>
      <c r="EP1" s="72"/>
      <c r="EQ1" s="72"/>
      <c r="ER1" s="72"/>
      <c r="ES1" s="72"/>
      <c r="ET1" s="72"/>
      <c r="EU1" s="72"/>
      <c r="EV1" s="72"/>
      <c r="EW1" s="72"/>
      <c r="EX1" s="72"/>
      <c r="EY1" s="72"/>
      <c r="EZ1" s="72"/>
      <c r="FA1" s="72"/>
      <c r="FB1" s="72"/>
      <c r="FC1" s="72"/>
      <c r="FD1" s="72"/>
      <c r="FE1" s="72"/>
      <c r="FF1" s="72"/>
      <c r="FG1" s="72"/>
      <c r="FH1" s="72"/>
      <c r="FI1" s="72"/>
      <c r="FJ1" s="72"/>
      <c r="FK1" s="72"/>
      <c r="FL1" s="72"/>
      <c r="FM1" s="72"/>
      <c r="FN1" s="72"/>
      <c r="FO1" s="72"/>
      <c r="FP1" s="72"/>
      <c r="FQ1" s="72"/>
      <c r="FR1" s="72"/>
      <c r="FS1" s="72"/>
      <c r="FT1" s="72"/>
      <c r="FU1" s="72"/>
      <c r="FV1" s="72"/>
      <c r="FW1" s="72"/>
      <c r="FX1" s="72"/>
      <c r="FY1" s="72"/>
      <c r="FZ1" s="72"/>
      <c r="GA1" s="72"/>
      <c r="GB1" s="72"/>
      <c r="GC1" s="72"/>
      <c r="GD1" s="72"/>
      <c r="GE1" s="72"/>
      <c r="GF1" s="72"/>
      <c r="GG1" s="72"/>
      <c r="GH1" s="72"/>
      <c r="GI1" s="72"/>
      <c r="GJ1" s="72"/>
      <c r="GK1" s="72"/>
      <c r="GL1" s="72"/>
      <c r="GM1" s="72"/>
      <c r="GN1" s="72"/>
      <c r="GO1" s="72"/>
      <c r="GP1" s="72"/>
      <c r="GQ1" s="72"/>
      <c r="GR1" s="72"/>
      <c r="GS1" s="72"/>
      <c r="GT1" s="72"/>
      <c r="GU1" s="72"/>
      <c r="GV1" s="72"/>
      <c r="GW1" s="72"/>
      <c r="GX1" s="72"/>
      <c r="GY1" s="72"/>
      <c r="GZ1" s="72"/>
      <c r="HA1" s="72"/>
      <c r="HB1" s="72"/>
      <c r="HC1" s="72"/>
      <c r="HD1" s="72"/>
      <c r="HE1" s="72"/>
      <c r="HF1" s="72"/>
      <c r="HG1" s="72"/>
      <c r="HH1" s="72"/>
      <c r="HI1" s="72"/>
      <c r="HJ1" s="72"/>
      <c r="HK1" s="72"/>
      <c r="HL1" s="72"/>
      <c r="HM1" s="72"/>
      <c r="HN1" s="72"/>
      <c r="HO1" s="72"/>
      <c r="HP1" s="72"/>
      <c r="HQ1" s="72"/>
      <c r="HR1" s="72"/>
      <c r="HS1" s="72"/>
      <c r="HT1" s="72"/>
      <c r="HU1" s="72"/>
      <c r="HV1" s="72"/>
      <c r="HW1" s="72"/>
      <c r="HX1" s="72"/>
      <c r="HY1" s="72"/>
      <c r="HZ1" s="72"/>
      <c r="IA1" s="72"/>
      <c r="IB1" s="72"/>
      <c r="IC1" s="72"/>
      <c r="ID1" s="72"/>
      <c r="IE1" s="72"/>
      <c r="IF1" s="72"/>
      <c r="IG1" s="72"/>
      <c r="IH1" s="72"/>
      <c r="II1" s="72"/>
      <c r="IJ1" s="72"/>
      <c r="IK1" s="72"/>
      <c r="IL1" s="72"/>
      <c r="IM1" s="72"/>
      <c r="IN1" s="72"/>
      <c r="IO1" s="72"/>
      <c r="IP1" s="72"/>
      <c r="IQ1" s="72"/>
      <c r="IR1" s="72"/>
      <c r="IS1" s="72"/>
      <c r="IT1" s="72"/>
      <c r="IU1" s="72"/>
      <c r="IV1" s="72"/>
    </row>
    <row r="2" spans="1:256" s="594" customFormat="1" x14ac:dyDescent="0.25">
      <c r="A2" s="884" t="s">
        <v>796</v>
      </c>
      <c r="B2" s="884"/>
      <c r="C2" s="884"/>
      <c r="D2" s="884"/>
      <c r="E2" s="884"/>
      <c r="F2" s="884"/>
      <c r="G2" s="884"/>
      <c r="H2" s="884"/>
      <c r="I2" s="884"/>
      <c r="J2" s="884"/>
      <c r="K2" s="884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  <c r="GW2" s="72"/>
      <c r="GX2" s="72"/>
      <c r="GY2" s="72"/>
      <c r="GZ2" s="72"/>
      <c r="HA2" s="72"/>
      <c r="HB2" s="72"/>
      <c r="HC2" s="72"/>
      <c r="HD2" s="72"/>
      <c r="HE2" s="72"/>
      <c r="HF2" s="72"/>
      <c r="HG2" s="72"/>
      <c r="HH2" s="72"/>
      <c r="HI2" s="72"/>
      <c r="HJ2" s="72"/>
      <c r="HK2" s="72"/>
      <c r="HL2" s="72"/>
      <c r="HM2" s="72"/>
      <c r="HN2" s="72"/>
      <c r="HO2" s="72"/>
      <c r="HP2" s="72"/>
      <c r="HQ2" s="72"/>
      <c r="HR2" s="72"/>
      <c r="HS2" s="72"/>
      <c r="HT2" s="72"/>
      <c r="HU2" s="72"/>
      <c r="HV2" s="72"/>
      <c r="HW2" s="72"/>
      <c r="HX2" s="72"/>
      <c r="HY2" s="72"/>
      <c r="HZ2" s="72"/>
      <c r="IA2" s="72"/>
      <c r="IB2" s="72"/>
      <c r="IC2" s="72"/>
      <c r="ID2" s="72"/>
      <c r="IE2" s="72"/>
      <c r="IF2" s="72"/>
      <c r="IG2" s="72"/>
      <c r="IH2" s="72"/>
      <c r="II2" s="72"/>
      <c r="IJ2" s="72"/>
      <c r="IK2" s="72"/>
      <c r="IL2" s="72"/>
      <c r="IM2" s="72"/>
      <c r="IN2" s="72"/>
      <c r="IO2" s="72"/>
      <c r="IP2" s="72"/>
      <c r="IQ2" s="72"/>
      <c r="IR2" s="72"/>
      <c r="IS2" s="72"/>
      <c r="IT2" s="72"/>
      <c r="IU2" s="72"/>
      <c r="IV2" s="72"/>
    </row>
    <row r="3" spans="1:256" s="594" customFormat="1" x14ac:dyDescent="0.25">
      <c r="A3" s="884" t="s">
        <v>863</v>
      </c>
      <c r="B3" s="884"/>
      <c r="C3" s="884"/>
      <c r="D3" s="884"/>
      <c r="E3" s="884"/>
      <c r="F3" s="884"/>
      <c r="G3" s="884"/>
      <c r="H3" s="884"/>
      <c r="I3" s="884"/>
      <c r="J3" s="884"/>
      <c r="K3" s="884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/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  <c r="EP3" s="72"/>
      <c r="EQ3" s="72"/>
      <c r="ER3" s="72"/>
      <c r="ES3" s="72"/>
      <c r="ET3" s="72"/>
      <c r="EU3" s="72"/>
      <c r="EV3" s="72"/>
      <c r="EW3" s="72"/>
      <c r="EX3" s="72"/>
      <c r="EY3" s="72"/>
      <c r="EZ3" s="72"/>
      <c r="FA3" s="72"/>
      <c r="FB3" s="72"/>
      <c r="FC3" s="72"/>
      <c r="FD3" s="72"/>
      <c r="FE3" s="72"/>
      <c r="FF3" s="72"/>
      <c r="FG3" s="72"/>
      <c r="FH3" s="72"/>
      <c r="FI3" s="72"/>
      <c r="FJ3" s="72"/>
      <c r="FK3" s="72"/>
      <c r="FL3" s="72"/>
      <c r="FM3" s="72"/>
      <c r="FN3" s="72"/>
      <c r="FO3" s="72"/>
      <c r="FP3" s="72"/>
      <c r="FQ3" s="72"/>
      <c r="FR3" s="72"/>
      <c r="FS3" s="72"/>
      <c r="FT3" s="72"/>
      <c r="FU3" s="72"/>
      <c r="FV3" s="72"/>
      <c r="FW3" s="72"/>
      <c r="FX3" s="72"/>
      <c r="FY3" s="72"/>
      <c r="FZ3" s="72"/>
      <c r="GA3" s="72"/>
      <c r="GB3" s="72"/>
      <c r="GC3" s="72"/>
      <c r="GD3" s="72"/>
      <c r="GE3" s="72"/>
      <c r="GF3" s="72"/>
      <c r="GG3" s="72"/>
      <c r="GH3" s="72"/>
      <c r="GI3" s="72"/>
      <c r="GJ3" s="72"/>
      <c r="GK3" s="72"/>
      <c r="GL3" s="72"/>
      <c r="GM3" s="72"/>
      <c r="GN3" s="72"/>
      <c r="GO3" s="72"/>
      <c r="GP3" s="72"/>
      <c r="GQ3" s="72"/>
      <c r="GR3" s="72"/>
      <c r="GS3" s="72"/>
      <c r="GT3" s="72"/>
      <c r="GU3" s="72"/>
      <c r="GV3" s="72"/>
      <c r="GW3" s="72"/>
      <c r="GX3" s="72"/>
      <c r="GY3" s="72"/>
      <c r="GZ3" s="72"/>
      <c r="HA3" s="72"/>
      <c r="HB3" s="72"/>
      <c r="HC3" s="72"/>
      <c r="HD3" s="72"/>
      <c r="HE3" s="72"/>
      <c r="HF3" s="72"/>
      <c r="HG3" s="72"/>
      <c r="HH3" s="72"/>
      <c r="HI3" s="72"/>
      <c r="HJ3" s="72"/>
      <c r="HK3" s="72"/>
      <c r="HL3" s="72"/>
      <c r="HM3" s="72"/>
      <c r="HN3" s="72"/>
      <c r="HO3" s="72"/>
      <c r="HP3" s="72"/>
      <c r="HQ3" s="72"/>
      <c r="HR3" s="72"/>
      <c r="HS3" s="72"/>
      <c r="HT3" s="72"/>
      <c r="HU3" s="72"/>
      <c r="HV3" s="72"/>
      <c r="HW3" s="72"/>
      <c r="HX3" s="72"/>
      <c r="HY3" s="72"/>
      <c r="HZ3" s="72"/>
      <c r="IA3" s="72"/>
      <c r="IB3" s="72"/>
      <c r="IC3" s="72"/>
      <c r="ID3" s="72"/>
      <c r="IE3" s="72"/>
      <c r="IF3" s="72"/>
      <c r="IG3" s="72"/>
      <c r="IH3" s="72"/>
      <c r="II3" s="72"/>
      <c r="IJ3" s="72"/>
      <c r="IK3" s="72"/>
      <c r="IL3" s="72"/>
      <c r="IM3" s="72"/>
      <c r="IN3" s="72"/>
      <c r="IO3" s="72"/>
      <c r="IP3" s="72"/>
      <c r="IQ3" s="72"/>
      <c r="IR3" s="72"/>
      <c r="IS3" s="72"/>
      <c r="IT3" s="72"/>
      <c r="IU3" s="72"/>
      <c r="IV3" s="72"/>
    </row>
    <row r="5" spans="1:256" ht="16.5" thickBot="1" x14ac:dyDescent="0.3"/>
    <row r="6" spans="1:256" ht="87" customHeight="1" thickTop="1" thickBot="1" x14ac:dyDescent="0.3">
      <c r="A6" s="890" t="s">
        <v>137</v>
      </c>
      <c r="B6" s="890" t="s">
        <v>154</v>
      </c>
      <c r="C6" s="877" t="s">
        <v>22</v>
      </c>
      <c r="D6" s="878"/>
      <c r="E6" s="879"/>
      <c r="F6" s="877" t="s">
        <v>23</v>
      </c>
      <c r="G6" s="878"/>
      <c r="H6" s="879"/>
      <c r="I6" s="880" t="s">
        <v>144</v>
      </c>
      <c r="J6" s="881"/>
      <c r="K6" s="882"/>
    </row>
    <row r="7" spans="1:256" ht="33" customHeight="1" thickTop="1" thickBot="1" x14ac:dyDescent="0.3">
      <c r="A7" s="891"/>
      <c r="B7" s="891"/>
      <c r="C7" s="582" t="s">
        <v>349</v>
      </c>
      <c r="D7" s="582" t="s">
        <v>350</v>
      </c>
      <c r="E7" s="582" t="s">
        <v>864</v>
      </c>
      <c r="F7" s="582" t="s">
        <v>349</v>
      </c>
      <c r="G7" s="582" t="s">
        <v>350</v>
      </c>
      <c r="H7" s="582" t="s">
        <v>864</v>
      </c>
      <c r="I7" s="582" t="s">
        <v>349</v>
      </c>
      <c r="J7" s="582" t="s">
        <v>350</v>
      </c>
      <c r="K7" s="582" t="s">
        <v>864</v>
      </c>
    </row>
    <row r="8" spans="1:256" ht="17.25" thickTop="1" thickBot="1" x14ac:dyDescent="0.3">
      <c r="A8" s="261" t="s">
        <v>138</v>
      </c>
      <c r="B8" s="262"/>
      <c r="C8" s="580" t="s">
        <v>183</v>
      </c>
      <c r="D8" s="580" t="s">
        <v>351</v>
      </c>
      <c r="E8" s="580" t="s">
        <v>352</v>
      </c>
      <c r="F8" s="581" t="s">
        <v>184</v>
      </c>
      <c r="G8" s="581" t="s">
        <v>353</v>
      </c>
      <c r="H8" s="581" t="s">
        <v>354</v>
      </c>
      <c r="I8" s="579" t="s">
        <v>357</v>
      </c>
      <c r="J8" s="579" t="s">
        <v>358</v>
      </c>
      <c r="K8" s="579" t="s">
        <v>359</v>
      </c>
    </row>
    <row r="9" spans="1:256" ht="32.25" thickTop="1" x14ac:dyDescent="0.25">
      <c r="A9" s="15" t="s">
        <v>186</v>
      </c>
      <c r="B9" s="67" t="s">
        <v>190</v>
      </c>
      <c r="C9" s="68">
        <v>18</v>
      </c>
      <c r="D9" s="64">
        <v>3680</v>
      </c>
      <c r="E9" s="64">
        <f>SUM(C9:D9)</f>
        <v>3698</v>
      </c>
      <c r="F9" s="6">
        <v>0</v>
      </c>
      <c r="G9" s="6"/>
      <c r="H9" s="6">
        <f>SUM(F9:G9)</f>
        <v>0</v>
      </c>
      <c r="I9" s="3">
        <f>SUM(F9+C9)</f>
        <v>18</v>
      </c>
      <c r="J9" s="3">
        <f t="shared" ref="J9:K11" si="0">SUM(G9+D9)</f>
        <v>3680</v>
      </c>
      <c r="K9" s="3">
        <f t="shared" si="0"/>
        <v>3698</v>
      </c>
    </row>
    <row r="10" spans="1:256" ht="31.5" x14ac:dyDescent="0.25">
      <c r="A10" s="15" t="s">
        <v>317</v>
      </c>
      <c r="B10" s="15" t="s">
        <v>191</v>
      </c>
      <c r="C10" s="6">
        <v>2022101</v>
      </c>
      <c r="D10" s="6"/>
      <c r="E10" s="6">
        <f>SUM(C10:D10)</f>
        <v>2022101</v>
      </c>
      <c r="F10" s="6">
        <v>0</v>
      </c>
      <c r="G10" s="6"/>
      <c r="H10" s="6">
        <f>SUM(F10:G10)</f>
        <v>0</v>
      </c>
      <c r="I10" s="3">
        <f>SUM(F10+C10)</f>
        <v>2022101</v>
      </c>
      <c r="J10" s="3">
        <f t="shared" si="0"/>
        <v>0</v>
      </c>
      <c r="K10" s="3">
        <f t="shared" si="0"/>
        <v>2022101</v>
      </c>
    </row>
    <row r="11" spans="1:256" ht="47.25" x14ac:dyDescent="0.25">
      <c r="A11" s="113" t="s">
        <v>313</v>
      </c>
      <c r="B11" s="15" t="s">
        <v>192</v>
      </c>
      <c r="C11" s="6">
        <v>1959728</v>
      </c>
      <c r="D11" s="6">
        <v>85828</v>
      </c>
      <c r="E11" s="6">
        <f t="shared" ref="E11:E17" si="1">SUM(C11:D11)</f>
        <v>2045556</v>
      </c>
      <c r="F11" s="6">
        <v>0</v>
      </c>
      <c r="G11" s="6"/>
      <c r="H11" s="6">
        <f t="shared" ref="H11:H17" si="2">SUM(F11:G11)</f>
        <v>0</v>
      </c>
      <c r="I11" s="3">
        <f>SUM(F11+C11)</f>
        <v>1959728</v>
      </c>
      <c r="J11" s="3">
        <f t="shared" si="0"/>
        <v>85828</v>
      </c>
      <c r="K11" s="3">
        <f t="shared" si="0"/>
        <v>2045556</v>
      </c>
    </row>
    <row r="12" spans="1:256" ht="31.5" x14ac:dyDescent="0.25">
      <c r="A12" s="15" t="s">
        <v>187</v>
      </c>
      <c r="B12" s="15" t="s">
        <v>193</v>
      </c>
      <c r="C12" s="6">
        <v>863334</v>
      </c>
      <c r="D12" s="6">
        <v>216180</v>
      </c>
      <c r="E12" s="6">
        <f t="shared" si="1"/>
        <v>1079514</v>
      </c>
      <c r="F12" s="6">
        <v>0</v>
      </c>
      <c r="G12" s="6"/>
      <c r="H12" s="6">
        <f t="shared" si="2"/>
        <v>0</v>
      </c>
      <c r="I12" s="3">
        <f t="shared" ref="I12:I17" si="3">SUM(C12+F12)</f>
        <v>863334</v>
      </c>
      <c r="J12" s="3">
        <f t="shared" ref="J12:K17" si="4">SUM(D12+G12)</f>
        <v>216180</v>
      </c>
      <c r="K12" s="3">
        <f t="shared" si="4"/>
        <v>1079514</v>
      </c>
    </row>
    <row r="13" spans="1:256" ht="31.5" x14ac:dyDescent="0.25">
      <c r="A13" s="15" t="s">
        <v>25</v>
      </c>
      <c r="B13" s="15"/>
      <c r="C13" s="6">
        <v>234160</v>
      </c>
      <c r="D13" s="6"/>
      <c r="E13" s="6">
        <f t="shared" si="1"/>
        <v>234160</v>
      </c>
      <c r="F13" s="6">
        <v>0</v>
      </c>
      <c r="G13" s="6"/>
      <c r="H13" s="6">
        <f t="shared" si="2"/>
        <v>0</v>
      </c>
      <c r="I13" s="3">
        <f t="shared" si="3"/>
        <v>234160</v>
      </c>
      <c r="J13" s="3">
        <f t="shared" si="4"/>
        <v>0</v>
      </c>
      <c r="K13" s="3">
        <f t="shared" si="4"/>
        <v>234160</v>
      </c>
    </row>
    <row r="14" spans="1:256" ht="31.5" x14ac:dyDescent="0.25">
      <c r="A14" s="15" t="s">
        <v>26</v>
      </c>
      <c r="B14" s="15"/>
      <c r="C14" s="6">
        <v>177000</v>
      </c>
      <c r="D14" s="6"/>
      <c r="E14" s="6">
        <f t="shared" si="1"/>
        <v>177000</v>
      </c>
      <c r="F14" s="6">
        <v>0</v>
      </c>
      <c r="G14" s="6"/>
      <c r="H14" s="6">
        <f t="shared" si="2"/>
        <v>0</v>
      </c>
      <c r="I14" s="3">
        <f t="shared" si="3"/>
        <v>177000</v>
      </c>
      <c r="J14" s="3">
        <f t="shared" si="4"/>
        <v>0</v>
      </c>
      <c r="K14" s="3">
        <f t="shared" si="4"/>
        <v>177000</v>
      </c>
    </row>
    <row r="15" spans="1:256" x14ac:dyDescent="0.25">
      <c r="A15" s="15" t="s">
        <v>812</v>
      </c>
      <c r="B15" s="15"/>
      <c r="C15" s="6">
        <v>30000</v>
      </c>
      <c r="D15" s="6"/>
      <c r="E15" s="6">
        <f t="shared" ref="E15" si="5">SUM(C15:D15)</f>
        <v>30000</v>
      </c>
      <c r="F15" s="6">
        <v>0</v>
      </c>
      <c r="G15" s="6"/>
      <c r="H15" s="6">
        <f t="shared" ref="H15" si="6">SUM(F15:G15)</f>
        <v>0</v>
      </c>
      <c r="I15" s="3">
        <f t="shared" si="3"/>
        <v>30000</v>
      </c>
      <c r="J15" s="3">
        <f t="shared" ref="J15" si="7">SUM(D15+G15)</f>
        <v>0</v>
      </c>
      <c r="K15" s="3">
        <f t="shared" ref="K15" si="8">SUM(E15+H15)</f>
        <v>30000</v>
      </c>
    </row>
    <row r="16" spans="1:256" x14ac:dyDescent="0.25">
      <c r="A16" s="15" t="s">
        <v>27</v>
      </c>
      <c r="B16" s="15"/>
      <c r="C16" s="6">
        <v>301800</v>
      </c>
      <c r="D16" s="6">
        <f>-301800+485391</f>
        <v>183591</v>
      </c>
      <c r="E16" s="6">
        <f t="shared" si="1"/>
        <v>485391</v>
      </c>
      <c r="F16" s="6">
        <v>0</v>
      </c>
      <c r="G16" s="6"/>
      <c r="H16" s="6">
        <f t="shared" si="2"/>
        <v>0</v>
      </c>
      <c r="I16" s="3">
        <f t="shared" si="3"/>
        <v>301800</v>
      </c>
      <c r="J16" s="3">
        <f t="shared" si="4"/>
        <v>183591</v>
      </c>
      <c r="K16" s="3">
        <f t="shared" si="4"/>
        <v>485391</v>
      </c>
    </row>
    <row r="17" spans="1:11" ht="42" customHeight="1" x14ac:dyDescent="0.25">
      <c r="A17" s="15" t="s">
        <v>318</v>
      </c>
      <c r="B17" s="15" t="s">
        <v>194</v>
      </c>
      <c r="C17" s="6">
        <v>0</v>
      </c>
      <c r="D17" s="6"/>
      <c r="E17" s="6">
        <f t="shared" si="1"/>
        <v>0</v>
      </c>
      <c r="F17" s="6">
        <v>0</v>
      </c>
      <c r="G17" s="6"/>
      <c r="H17" s="6">
        <f t="shared" si="2"/>
        <v>0</v>
      </c>
      <c r="I17" s="3">
        <f t="shared" si="3"/>
        <v>0</v>
      </c>
      <c r="J17" s="3">
        <f t="shared" si="4"/>
        <v>0</v>
      </c>
      <c r="K17" s="3">
        <f t="shared" si="4"/>
        <v>0</v>
      </c>
    </row>
    <row r="18" spans="1:11" s="264" customFormat="1" ht="31.5" x14ac:dyDescent="0.25">
      <c r="A18" s="263" t="s">
        <v>189</v>
      </c>
      <c r="B18" s="263" t="s">
        <v>195</v>
      </c>
      <c r="C18" s="8">
        <f>SUM(C9:C11,C12,C17)</f>
        <v>4845181</v>
      </c>
      <c r="D18" s="8">
        <f t="shared" ref="D18:H18" si="9">SUM(D9:D11,D12,D17)</f>
        <v>305688</v>
      </c>
      <c r="E18" s="8">
        <f t="shared" si="9"/>
        <v>5150869</v>
      </c>
      <c r="F18" s="8">
        <f>SUM(F9:F11,F12,F17)</f>
        <v>0</v>
      </c>
      <c r="G18" s="8">
        <f t="shared" si="9"/>
        <v>0</v>
      </c>
      <c r="H18" s="8">
        <f t="shared" si="9"/>
        <v>0</v>
      </c>
      <c r="I18" s="8">
        <f>SUM(I9:I11,I12,I17)</f>
        <v>4845181</v>
      </c>
      <c r="J18" s="8">
        <f t="shared" ref="J18:K18" si="10">SUM(J9:J11,J12,J17)</f>
        <v>305688</v>
      </c>
      <c r="K18" s="8">
        <f t="shared" si="10"/>
        <v>5150869</v>
      </c>
    </row>
    <row r="19" spans="1:11" s="264" customFormat="1" ht="31.5" x14ac:dyDescent="0.25">
      <c r="A19" s="263" t="s">
        <v>227</v>
      </c>
      <c r="B19" s="263" t="s">
        <v>228</v>
      </c>
      <c r="C19" s="8">
        <v>70423</v>
      </c>
      <c r="D19" s="8">
        <v>255</v>
      </c>
      <c r="E19" s="8">
        <f>SUM(C19:D19)</f>
        <v>70678</v>
      </c>
      <c r="F19" s="8">
        <v>755719</v>
      </c>
      <c r="G19" s="8">
        <f>507259+1915+20000</f>
        <v>529174</v>
      </c>
      <c r="H19" s="8">
        <f>SUM(F19:G19)</f>
        <v>1284893</v>
      </c>
      <c r="I19" s="8">
        <f>SUM(C19+F19)</f>
        <v>826142</v>
      </c>
      <c r="J19" s="8">
        <f>SUM(D19+G19)</f>
        <v>529429</v>
      </c>
      <c r="K19" s="8">
        <f>SUM(E19+H19)</f>
        <v>1355571</v>
      </c>
    </row>
    <row r="20" spans="1:11" ht="31.5" x14ac:dyDescent="0.25">
      <c r="A20" s="265" t="s">
        <v>229</v>
      </c>
      <c r="B20" s="265" t="s">
        <v>165</v>
      </c>
      <c r="C20" s="3">
        <f>SUM(C18+C19)</f>
        <v>4915604</v>
      </c>
      <c r="D20" s="3">
        <f t="shared" ref="D20:H20" si="11">SUM(D18+D19)</f>
        <v>305943</v>
      </c>
      <c r="E20" s="3">
        <f t="shared" si="11"/>
        <v>5221547</v>
      </c>
      <c r="F20" s="3">
        <f>SUM(F18+F19)</f>
        <v>755719</v>
      </c>
      <c r="G20" s="3">
        <f t="shared" si="11"/>
        <v>529174</v>
      </c>
      <c r="H20" s="3">
        <f t="shared" si="11"/>
        <v>1284893</v>
      </c>
      <c r="I20" s="3">
        <f>SUM(I18+I19)</f>
        <v>5671323</v>
      </c>
      <c r="J20" s="3">
        <f t="shared" ref="J20:K20" si="12">SUM(J18+J19)</f>
        <v>835117</v>
      </c>
      <c r="K20" s="3">
        <f t="shared" si="12"/>
        <v>6506440</v>
      </c>
    </row>
    <row r="21" spans="1:11" s="267" customFormat="1" ht="31.5" x14ac:dyDescent="0.25">
      <c r="A21" s="263" t="s">
        <v>230</v>
      </c>
      <c r="B21" s="266" t="s">
        <v>196</v>
      </c>
      <c r="C21" s="90">
        <v>0</v>
      </c>
      <c r="D21" s="90"/>
      <c r="E21" s="90">
        <f>SUM(C21:D21)</f>
        <v>0</v>
      </c>
      <c r="F21" s="90">
        <v>0</v>
      </c>
      <c r="G21" s="90"/>
      <c r="H21" s="90">
        <f>SUM(F21:G21)</f>
        <v>0</v>
      </c>
      <c r="I21" s="8">
        <f>SUM(C21+F21)</f>
        <v>0</v>
      </c>
      <c r="J21" s="8">
        <f t="shared" ref="J21:K22" si="13">SUM(D21+G21)</f>
        <v>0</v>
      </c>
      <c r="K21" s="8">
        <f t="shared" si="13"/>
        <v>0</v>
      </c>
    </row>
    <row r="22" spans="1:11" s="267" customFormat="1" ht="31.5" x14ac:dyDescent="0.25">
      <c r="A22" s="263" t="s">
        <v>232</v>
      </c>
      <c r="B22" s="266" t="s">
        <v>231</v>
      </c>
      <c r="C22" s="90">
        <v>10605091</v>
      </c>
      <c r="D22" s="90">
        <v>-255</v>
      </c>
      <c r="E22" s="90">
        <f>SUM(C22:D22)</f>
        <v>10604836</v>
      </c>
      <c r="F22" s="90">
        <v>0</v>
      </c>
      <c r="G22" s="90"/>
      <c r="H22" s="90">
        <f>SUM(F22:G22)</f>
        <v>0</v>
      </c>
      <c r="I22" s="8">
        <f>SUM(C22+F22)</f>
        <v>10605091</v>
      </c>
      <c r="J22" s="8">
        <f t="shared" si="13"/>
        <v>-255</v>
      </c>
      <c r="K22" s="8">
        <f t="shared" si="13"/>
        <v>10604836</v>
      </c>
    </row>
    <row r="23" spans="1:11" s="269" customFormat="1" ht="31.5" x14ac:dyDescent="0.25">
      <c r="A23" s="265" t="s">
        <v>233</v>
      </c>
      <c r="B23" s="268" t="s">
        <v>166</v>
      </c>
      <c r="C23" s="23">
        <f>SUM(C21+C22)</f>
        <v>10605091</v>
      </c>
      <c r="D23" s="23">
        <f t="shared" ref="D23:H23" si="14">SUM(D21+D22)</f>
        <v>-255</v>
      </c>
      <c r="E23" s="23">
        <f t="shared" si="14"/>
        <v>10604836</v>
      </c>
      <c r="F23" s="23">
        <f>SUM(F21+F22)</f>
        <v>0</v>
      </c>
      <c r="G23" s="23">
        <f t="shared" si="14"/>
        <v>0</v>
      </c>
      <c r="H23" s="23">
        <f t="shared" si="14"/>
        <v>0</v>
      </c>
      <c r="I23" s="23">
        <f>SUM(I21+I22)</f>
        <v>10605091</v>
      </c>
      <c r="J23" s="23">
        <f t="shared" ref="J23:K23" si="15">SUM(J21+J22)</f>
        <v>-255</v>
      </c>
      <c r="K23" s="23">
        <f t="shared" si="15"/>
        <v>10604836</v>
      </c>
    </row>
    <row r="24" spans="1:11" x14ac:dyDescent="0.25">
      <c r="A24" s="15" t="s">
        <v>521</v>
      </c>
      <c r="B24" s="15" t="s">
        <v>197</v>
      </c>
      <c r="C24" s="2">
        <v>2300000</v>
      </c>
      <c r="D24" s="2"/>
      <c r="E24" s="2">
        <f>SUM(C24:D24)</f>
        <v>2300000</v>
      </c>
      <c r="F24" s="2">
        <v>0</v>
      </c>
      <c r="G24" s="2"/>
      <c r="H24" s="2">
        <f>SUM(F24:G24)</f>
        <v>0</v>
      </c>
      <c r="I24" s="3">
        <f>SUM(F24+C24)</f>
        <v>2300000</v>
      </c>
      <c r="J24" s="3">
        <f t="shared" ref="J24:K24" si="16">SUM(G24+D24)</f>
        <v>0</v>
      </c>
      <c r="K24" s="3">
        <f t="shared" si="16"/>
        <v>2300000</v>
      </c>
    </row>
    <row r="25" spans="1:11" s="264" customFormat="1" x14ac:dyDescent="0.25">
      <c r="A25" s="263" t="s">
        <v>522</v>
      </c>
      <c r="B25" s="263" t="s">
        <v>197</v>
      </c>
      <c r="C25" s="8">
        <f>SUM(C24:C24)</f>
        <v>2300000</v>
      </c>
      <c r="D25" s="8">
        <f t="shared" ref="D25:H25" si="17">SUM(D24:D24)</f>
        <v>0</v>
      </c>
      <c r="E25" s="8">
        <f t="shared" si="17"/>
        <v>2300000</v>
      </c>
      <c r="F25" s="8">
        <f>SUM(F24:F24)</f>
        <v>0</v>
      </c>
      <c r="G25" s="8">
        <f t="shared" si="17"/>
        <v>0</v>
      </c>
      <c r="H25" s="8">
        <f t="shared" si="17"/>
        <v>0</v>
      </c>
      <c r="I25" s="8">
        <f>SUM(I24:I24)</f>
        <v>2300000</v>
      </c>
      <c r="J25" s="8">
        <f t="shared" ref="J25:K25" si="18">SUM(J24:J24)</f>
        <v>0</v>
      </c>
      <c r="K25" s="8">
        <f t="shared" si="18"/>
        <v>2300000</v>
      </c>
    </row>
    <row r="26" spans="1:11" x14ac:dyDescent="0.25">
      <c r="A26" s="15" t="s">
        <v>523</v>
      </c>
      <c r="B26" s="15" t="s">
        <v>198</v>
      </c>
      <c r="C26" s="2">
        <v>20100000</v>
      </c>
      <c r="D26" s="2">
        <v>-6000000</v>
      </c>
      <c r="E26" s="2">
        <f>SUM(C26:D26)</f>
        <v>14100000</v>
      </c>
      <c r="F26" s="2">
        <v>0</v>
      </c>
      <c r="G26" s="2"/>
      <c r="H26" s="2">
        <f>SUM(F26:G26)</f>
        <v>0</v>
      </c>
      <c r="I26" s="3">
        <f>SUM(F26+C26)</f>
        <v>20100000</v>
      </c>
      <c r="J26" s="3">
        <f t="shared" ref="J26:K26" si="19">SUM(G26+D26)</f>
        <v>-6000000</v>
      </c>
      <c r="K26" s="3">
        <f t="shared" si="19"/>
        <v>14100000</v>
      </c>
    </row>
    <row r="27" spans="1:11" s="267" customFormat="1" x14ac:dyDescent="0.25">
      <c r="A27" s="263" t="s">
        <v>524</v>
      </c>
      <c r="B27" s="263" t="s">
        <v>198</v>
      </c>
      <c r="C27" s="8">
        <f>SUM(C26)</f>
        <v>20100000</v>
      </c>
      <c r="D27" s="8">
        <f t="shared" ref="D27:H27" si="20">SUM(D26)</f>
        <v>-6000000</v>
      </c>
      <c r="E27" s="8">
        <f t="shared" si="20"/>
        <v>14100000</v>
      </c>
      <c r="F27" s="8">
        <f>SUM(F26)</f>
        <v>0</v>
      </c>
      <c r="G27" s="8">
        <f t="shared" si="20"/>
        <v>0</v>
      </c>
      <c r="H27" s="8">
        <f t="shared" si="20"/>
        <v>0</v>
      </c>
      <c r="I27" s="8">
        <f>SUM(I26)</f>
        <v>20100000</v>
      </c>
      <c r="J27" s="8">
        <f t="shared" ref="J27:K27" si="21">SUM(J26)</f>
        <v>-6000000</v>
      </c>
      <c r="K27" s="8">
        <f t="shared" si="21"/>
        <v>14100000</v>
      </c>
    </row>
    <row r="28" spans="1:11" s="267" customFormat="1" x14ac:dyDescent="0.25">
      <c r="A28" s="263" t="s">
        <v>525</v>
      </c>
      <c r="B28" s="263" t="s">
        <v>199</v>
      </c>
      <c r="C28" s="8">
        <v>420000</v>
      </c>
      <c r="D28" s="8">
        <v>-420000</v>
      </c>
      <c r="E28" s="8">
        <f>SUM(C28:D28)</f>
        <v>0</v>
      </c>
      <c r="F28" s="14">
        <v>0</v>
      </c>
      <c r="G28" s="14"/>
      <c r="H28" s="14">
        <f>SUM(F28:G28)</f>
        <v>0</v>
      </c>
      <c r="I28" s="8">
        <f>SUM(F28+C28)</f>
        <v>420000</v>
      </c>
      <c r="J28" s="8">
        <f t="shared" ref="J28:K29" si="22">SUM(G28+D28)</f>
        <v>-420000</v>
      </c>
      <c r="K28" s="8">
        <f t="shared" si="22"/>
        <v>0</v>
      </c>
    </row>
    <row r="29" spans="1:11" x14ac:dyDescent="0.25">
      <c r="A29" s="15" t="s">
        <v>526</v>
      </c>
      <c r="B29" s="15" t="s">
        <v>200</v>
      </c>
      <c r="C29" s="2">
        <v>65000</v>
      </c>
      <c r="D29" s="2">
        <v>-51302</v>
      </c>
      <c r="E29" s="2">
        <f>SUM(C29:D29)</f>
        <v>13698</v>
      </c>
      <c r="F29" s="2"/>
      <c r="G29" s="2"/>
      <c r="H29" s="2">
        <f>SUM(F29:G29)</f>
        <v>0</v>
      </c>
      <c r="I29" s="3">
        <f>SUM(F29+C29)</f>
        <v>65000</v>
      </c>
      <c r="J29" s="3">
        <f t="shared" si="22"/>
        <v>-51302</v>
      </c>
      <c r="K29" s="3">
        <f t="shared" si="22"/>
        <v>13698</v>
      </c>
    </row>
    <row r="30" spans="1:11" x14ac:dyDescent="0.25">
      <c r="A30" s="15" t="s">
        <v>813</v>
      </c>
      <c r="B30" s="15" t="s">
        <v>200</v>
      </c>
      <c r="C30" s="2">
        <v>9000</v>
      </c>
      <c r="D30" s="2"/>
      <c r="E30" s="2">
        <f>SUM(C30:D30)</f>
        <v>9000</v>
      </c>
      <c r="F30" s="2"/>
      <c r="G30" s="2"/>
      <c r="H30" s="2">
        <f>SUM(F30:G30)</f>
        <v>0</v>
      </c>
      <c r="I30" s="3">
        <f>SUM(F30+C30)</f>
        <v>9000</v>
      </c>
      <c r="J30" s="3">
        <f t="shared" ref="J30" si="23">SUM(G30+D30)</f>
        <v>0</v>
      </c>
      <c r="K30" s="3">
        <f t="shared" ref="K30" si="24">SUM(H30+E30)</f>
        <v>9000</v>
      </c>
    </row>
    <row r="31" spans="1:11" s="267" customFormat="1" ht="31.5" x14ac:dyDescent="0.25">
      <c r="A31" s="263" t="s">
        <v>814</v>
      </c>
      <c r="B31" s="263" t="s">
        <v>200</v>
      </c>
      <c r="C31" s="8">
        <f>SUM(C29:C30)</f>
        <v>74000</v>
      </c>
      <c r="D31" s="8">
        <f t="shared" ref="D31:E31" si="25">SUM(D29:D30)</f>
        <v>-51302</v>
      </c>
      <c r="E31" s="8">
        <f t="shared" si="25"/>
        <v>22698</v>
      </c>
      <c r="F31" s="8">
        <f t="shared" ref="F31" si="26">SUM(F29:F30)</f>
        <v>0</v>
      </c>
      <c r="G31" s="8">
        <f t="shared" ref="G31" si="27">SUM(G29:G30)</f>
        <v>0</v>
      </c>
      <c r="H31" s="8">
        <f t="shared" ref="H31" si="28">SUM(H29:H30)</f>
        <v>0</v>
      </c>
      <c r="I31" s="8">
        <f t="shared" ref="I31" si="29">SUM(I29:I30)</f>
        <v>74000</v>
      </c>
      <c r="J31" s="8">
        <f t="shared" ref="J31" si="30">SUM(J29:J30)</f>
        <v>-51302</v>
      </c>
      <c r="K31" s="8">
        <f t="shared" ref="K31" si="31">SUM(K29:K30)</f>
        <v>22698</v>
      </c>
    </row>
    <row r="32" spans="1:11" s="267" customFormat="1" ht="31.5" x14ac:dyDescent="0.25">
      <c r="A32" s="263" t="s">
        <v>815</v>
      </c>
      <c r="B32" s="263" t="s">
        <v>201</v>
      </c>
      <c r="C32" s="8">
        <f>SUM(C31+C28+C27)</f>
        <v>20594000</v>
      </c>
      <c r="D32" s="8">
        <f t="shared" ref="D32:K32" si="32">SUM(D31+D28+D27)</f>
        <v>-6471302</v>
      </c>
      <c r="E32" s="8">
        <f t="shared" si="32"/>
        <v>14122698</v>
      </c>
      <c r="F32" s="8">
        <f>SUM(F31+F28+F27)</f>
        <v>0</v>
      </c>
      <c r="G32" s="8">
        <f t="shared" si="32"/>
        <v>0</v>
      </c>
      <c r="H32" s="8">
        <f t="shared" si="32"/>
        <v>0</v>
      </c>
      <c r="I32" s="8">
        <f t="shared" si="32"/>
        <v>20594000</v>
      </c>
      <c r="J32" s="8">
        <f t="shared" si="32"/>
        <v>-6471302</v>
      </c>
      <c r="K32" s="8">
        <f t="shared" si="32"/>
        <v>14122698</v>
      </c>
    </row>
    <row r="33" spans="1:11" x14ac:dyDescent="0.25">
      <c r="A33" s="15" t="s">
        <v>527</v>
      </c>
      <c r="B33" s="15" t="s">
        <v>202</v>
      </c>
      <c r="C33" s="2">
        <v>50000</v>
      </c>
      <c r="D33" s="2">
        <v>-45000</v>
      </c>
      <c r="E33" s="6">
        <f t="shared" ref="E33:E35" si="33">SUM(C33:D33)</f>
        <v>5000</v>
      </c>
      <c r="F33" s="2">
        <v>0</v>
      </c>
      <c r="G33" s="2"/>
      <c r="H33" s="6">
        <f t="shared" ref="H33:H35" si="34">SUM(F33:G33)</f>
        <v>0</v>
      </c>
      <c r="I33" s="2">
        <f t="shared" ref="I33:I35" si="35">SUM(F33+C33)</f>
        <v>50000</v>
      </c>
      <c r="J33" s="2">
        <f t="shared" ref="J33:J35" si="36">SUM(G33+D33)</f>
        <v>-45000</v>
      </c>
      <c r="K33" s="2">
        <f t="shared" ref="K33:K35" si="37">SUM(H33+E33)</f>
        <v>5000</v>
      </c>
    </row>
    <row r="34" spans="1:11" ht="31.5" x14ac:dyDescent="0.25">
      <c r="A34" s="15" t="s">
        <v>528</v>
      </c>
      <c r="B34" s="15" t="s">
        <v>202</v>
      </c>
      <c r="C34" s="2">
        <v>16300</v>
      </c>
      <c r="D34" s="2"/>
      <c r="E34" s="6">
        <f t="shared" si="33"/>
        <v>16300</v>
      </c>
      <c r="F34" s="2">
        <v>0</v>
      </c>
      <c r="G34" s="2"/>
      <c r="H34" s="6">
        <f t="shared" si="34"/>
        <v>0</v>
      </c>
      <c r="I34" s="2">
        <f t="shared" si="35"/>
        <v>16300</v>
      </c>
      <c r="J34" s="2">
        <f t="shared" si="36"/>
        <v>0</v>
      </c>
      <c r="K34" s="2">
        <f t="shared" si="37"/>
        <v>16300</v>
      </c>
    </row>
    <row r="35" spans="1:11" x14ac:dyDescent="0.25">
      <c r="A35" s="15" t="s">
        <v>529</v>
      </c>
      <c r="B35" s="15" t="s">
        <v>202</v>
      </c>
      <c r="C35" s="2">
        <v>5000</v>
      </c>
      <c r="D35" s="2"/>
      <c r="E35" s="6">
        <f t="shared" si="33"/>
        <v>5000</v>
      </c>
      <c r="F35" s="2">
        <v>350</v>
      </c>
      <c r="G35" s="2"/>
      <c r="H35" s="6">
        <f t="shared" si="34"/>
        <v>350</v>
      </c>
      <c r="I35" s="2">
        <f t="shared" si="35"/>
        <v>5350</v>
      </c>
      <c r="J35" s="2">
        <f t="shared" si="36"/>
        <v>0</v>
      </c>
      <c r="K35" s="2">
        <f t="shared" si="37"/>
        <v>5350</v>
      </c>
    </row>
    <row r="36" spans="1:11" s="267" customFormat="1" ht="31.5" x14ac:dyDescent="0.25">
      <c r="A36" s="263" t="s">
        <v>816</v>
      </c>
      <c r="B36" s="263" t="s">
        <v>202</v>
      </c>
      <c r="C36" s="8">
        <f t="shared" ref="C36:K36" si="38">SUM(C33:C35)</f>
        <v>71300</v>
      </c>
      <c r="D36" s="8">
        <f t="shared" si="38"/>
        <v>-45000</v>
      </c>
      <c r="E36" s="8">
        <f t="shared" si="38"/>
        <v>26300</v>
      </c>
      <c r="F36" s="8">
        <f t="shared" si="38"/>
        <v>350</v>
      </c>
      <c r="G36" s="8">
        <f t="shared" si="38"/>
        <v>0</v>
      </c>
      <c r="H36" s="8">
        <f t="shared" si="38"/>
        <v>350</v>
      </c>
      <c r="I36" s="8">
        <f t="shared" si="38"/>
        <v>71650</v>
      </c>
      <c r="J36" s="8">
        <f t="shared" si="38"/>
        <v>-45000</v>
      </c>
      <c r="K36" s="8">
        <f t="shared" si="38"/>
        <v>26650</v>
      </c>
    </row>
    <row r="37" spans="1:11" ht="31.5" x14ac:dyDescent="0.25">
      <c r="A37" s="265" t="s">
        <v>817</v>
      </c>
      <c r="B37" s="265" t="s">
        <v>167</v>
      </c>
      <c r="C37" s="4">
        <f t="shared" ref="C37:K37" si="39">SUM(C25+C32+C36)</f>
        <v>22965300</v>
      </c>
      <c r="D37" s="4">
        <f t="shared" si="39"/>
        <v>-6516302</v>
      </c>
      <c r="E37" s="4">
        <f t="shared" si="39"/>
        <v>16448998</v>
      </c>
      <c r="F37" s="4">
        <f t="shared" si="39"/>
        <v>350</v>
      </c>
      <c r="G37" s="4">
        <f t="shared" si="39"/>
        <v>0</v>
      </c>
      <c r="H37" s="4">
        <f t="shared" si="39"/>
        <v>350</v>
      </c>
      <c r="I37" s="4">
        <f t="shared" si="39"/>
        <v>22965650</v>
      </c>
      <c r="J37" s="4">
        <f t="shared" si="39"/>
        <v>-6516302</v>
      </c>
      <c r="K37" s="4">
        <f t="shared" si="39"/>
        <v>16449348</v>
      </c>
    </row>
    <row r="38" spans="1:11" x14ac:dyDescent="0.25">
      <c r="A38" s="265" t="s">
        <v>530</v>
      </c>
      <c r="B38" s="265" t="s">
        <v>168</v>
      </c>
      <c r="C38" s="4">
        <v>1334541</v>
      </c>
      <c r="D38" s="4">
        <v>405891</v>
      </c>
      <c r="E38" s="4">
        <f>SUM(C38:D38)</f>
        <v>1740432</v>
      </c>
      <c r="F38" s="4">
        <v>1489239</v>
      </c>
      <c r="G38" s="4">
        <v>-96906</v>
      </c>
      <c r="H38" s="4">
        <f>SUM(F38:G38)</f>
        <v>1392333</v>
      </c>
      <c r="I38" s="4">
        <f t="shared" ref="I38:K39" si="40">SUM(C38+F38)</f>
        <v>2823780</v>
      </c>
      <c r="J38" s="4">
        <f t="shared" si="40"/>
        <v>308985</v>
      </c>
      <c r="K38" s="4">
        <f t="shared" si="40"/>
        <v>3132765</v>
      </c>
    </row>
    <row r="39" spans="1:11" x14ac:dyDescent="0.25">
      <c r="A39" s="15" t="s">
        <v>211</v>
      </c>
      <c r="B39" s="15" t="s">
        <v>203</v>
      </c>
      <c r="C39" s="6">
        <v>427382</v>
      </c>
      <c r="D39" s="6">
        <f>-95000+587500-32</f>
        <v>492468</v>
      </c>
      <c r="E39" s="6">
        <f>SUM(C39:D39)</f>
        <v>919850</v>
      </c>
      <c r="F39" s="249"/>
      <c r="G39" s="139"/>
      <c r="H39" s="139">
        <f>SUM(F39:G39)</f>
        <v>0</v>
      </c>
      <c r="I39" s="7">
        <f t="shared" si="40"/>
        <v>427382</v>
      </c>
      <c r="J39" s="7">
        <f t="shared" si="40"/>
        <v>492468</v>
      </c>
      <c r="K39" s="7">
        <f t="shared" si="40"/>
        <v>919850</v>
      </c>
    </row>
    <row r="40" spans="1:11" x14ac:dyDescent="0.25">
      <c r="A40" s="15" t="s">
        <v>1297</v>
      </c>
      <c r="B40" s="15" t="s">
        <v>203</v>
      </c>
      <c r="C40" s="6">
        <v>0</v>
      </c>
      <c r="D40" s="6">
        <f>437500+150000</f>
        <v>587500</v>
      </c>
      <c r="E40" s="6">
        <f>SUM(C40:D40)</f>
        <v>587500</v>
      </c>
      <c r="F40" s="249">
        <v>0</v>
      </c>
      <c r="G40" s="139">
        <v>0</v>
      </c>
      <c r="H40" s="139">
        <f>SUM(F40:G40)</f>
        <v>0</v>
      </c>
      <c r="I40" s="7">
        <f t="shared" ref="I40" si="41">SUM(C40+F40)</f>
        <v>0</v>
      </c>
      <c r="J40" s="7">
        <f t="shared" ref="J40" si="42">SUM(D40+G40)</f>
        <v>587500</v>
      </c>
      <c r="K40" s="7">
        <f t="shared" ref="K40" si="43">SUM(E40+H40)</f>
        <v>587500</v>
      </c>
    </row>
    <row r="41" spans="1:11" ht="31.5" x14ac:dyDescent="0.25">
      <c r="A41" s="585" t="s">
        <v>212</v>
      </c>
      <c r="B41" s="15" t="s">
        <v>213</v>
      </c>
      <c r="C41" s="2">
        <v>220596</v>
      </c>
      <c r="D41" s="2">
        <v>-38718</v>
      </c>
      <c r="E41" s="6">
        <f t="shared" ref="E41:E43" si="44">SUM(C41:D41)</f>
        <v>181878</v>
      </c>
      <c r="F41" s="2">
        <v>445866</v>
      </c>
      <c r="G41" s="1">
        <v>-27788</v>
      </c>
      <c r="H41" s="139">
        <f t="shared" ref="H41:H43" si="45">SUM(F41:G41)</f>
        <v>418078</v>
      </c>
      <c r="I41" s="7">
        <f t="shared" ref="I41:I43" si="46">SUM(C41+F41)</f>
        <v>666462</v>
      </c>
      <c r="J41" s="7">
        <f t="shared" ref="J41:J43" si="47">SUM(D41+G41)</f>
        <v>-66506</v>
      </c>
      <c r="K41" s="7">
        <f t="shared" ref="K41:K43" si="48">SUM(E41+H41)</f>
        <v>599956</v>
      </c>
    </row>
    <row r="42" spans="1:11" x14ac:dyDescent="0.25">
      <c r="A42" s="585" t="s">
        <v>214</v>
      </c>
      <c r="B42" s="15" t="s">
        <v>204</v>
      </c>
      <c r="C42" s="2"/>
      <c r="D42" s="2"/>
      <c r="E42" s="6">
        <f t="shared" si="44"/>
        <v>0</v>
      </c>
      <c r="F42" s="2"/>
      <c r="G42" s="1"/>
      <c r="H42" s="139">
        <f t="shared" si="45"/>
        <v>0</v>
      </c>
      <c r="I42" s="7">
        <f t="shared" si="46"/>
        <v>0</v>
      </c>
      <c r="J42" s="7">
        <f t="shared" si="47"/>
        <v>0</v>
      </c>
      <c r="K42" s="7">
        <f t="shared" si="48"/>
        <v>0</v>
      </c>
    </row>
    <row r="43" spans="1:11" ht="30.75" customHeight="1" x14ac:dyDescent="0.25">
      <c r="A43" s="270" t="s">
        <v>531</v>
      </c>
      <c r="B43" s="270" t="s">
        <v>205</v>
      </c>
      <c r="C43" s="586">
        <v>205000</v>
      </c>
      <c r="D43" s="586"/>
      <c r="E43" s="6">
        <f t="shared" si="44"/>
        <v>205000</v>
      </c>
      <c r="F43" s="586"/>
      <c r="G43" s="586"/>
      <c r="H43" s="139">
        <f t="shared" si="45"/>
        <v>0</v>
      </c>
      <c r="I43" s="7">
        <f t="shared" si="46"/>
        <v>205000</v>
      </c>
      <c r="J43" s="7">
        <f t="shared" si="47"/>
        <v>0</v>
      </c>
      <c r="K43" s="7">
        <f t="shared" si="48"/>
        <v>205000</v>
      </c>
    </row>
    <row r="44" spans="1:11" x14ac:dyDescent="0.25">
      <c r="A44" s="271" t="s">
        <v>532</v>
      </c>
      <c r="B44" s="271" t="s">
        <v>169</v>
      </c>
      <c r="C44" s="3">
        <f>SUM(C43:C43)</f>
        <v>205000</v>
      </c>
      <c r="D44" s="3">
        <f t="shared" ref="D44:H44" si="49">SUM(D43:D43)</f>
        <v>0</v>
      </c>
      <c r="E44" s="3">
        <f t="shared" si="49"/>
        <v>205000</v>
      </c>
      <c r="F44" s="3">
        <f>SUM(F43:F43)</f>
        <v>0</v>
      </c>
      <c r="G44" s="3">
        <f t="shared" si="49"/>
        <v>0</v>
      </c>
      <c r="H44" s="3">
        <f t="shared" si="49"/>
        <v>0</v>
      </c>
      <c r="I44" s="3">
        <f>SUM(I43:I43)</f>
        <v>205000</v>
      </c>
      <c r="J44" s="3">
        <f t="shared" ref="J44:K44" si="50">SUM(J43:J43)</f>
        <v>0</v>
      </c>
      <c r="K44" s="3">
        <f t="shared" si="50"/>
        <v>205000</v>
      </c>
    </row>
    <row r="45" spans="1:11" x14ac:dyDescent="0.25">
      <c r="A45" s="272" t="s">
        <v>533</v>
      </c>
      <c r="B45" s="272" t="s">
        <v>170</v>
      </c>
      <c r="C45" s="18">
        <v>67670</v>
      </c>
      <c r="D45" s="18">
        <f>543406-485391</f>
        <v>58015</v>
      </c>
      <c r="E45" s="18">
        <f>SUM(C45:D45)</f>
        <v>125685</v>
      </c>
      <c r="F45" s="18">
        <v>165000</v>
      </c>
      <c r="G45" s="18">
        <v>-164950</v>
      </c>
      <c r="H45" s="18">
        <f>SUM(F45:G45)</f>
        <v>50</v>
      </c>
      <c r="I45" s="3">
        <f>SUM(C45+F45)</f>
        <v>232670</v>
      </c>
      <c r="J45" s="3">
        <f t="shared" ref="J45:K46" si="51">SUM(D45+G45)</f>
        <v>-106935</v>
      </c>
      <c r="K45" s="3">
        <f t="shared" si="51"/>
        <v>125735</v>
      </c>
    </row>
    <row r="46" spans="1:11" ht="16.5" thickBot="1" x14ac:dyDescent="0.3">
      <c r="A46" s="268" t="s">
        <v>534</v>
      </c>
      <c r="B46" s="268" t="s">
        <v>171</v>
      </c>
      <c r="C46" s="79">
        <v>26096</v>
      </c>
      <c r="D46" s="79">
        <v>315</v>
      </c>
      <c r="E46" s="18">
        <f>SUM(C46:D46)</f>
        <v>26411</v>
      </c>
      <c r="F46" s="79">
        <v>0</v>
      </c>
      <c r="G46" s="79"/>
      <c r="H46" s="18">
        <f>SUM(F46:G46)</f>
        <v>0</v>
      </c>
      <c r="I46" s="23">
        <f>SUM(C46+F46)</f>
        <v>26096</v>
      </c>
      <c r="J46" s="23">
        <f t="shared" si="51"/>
        <v>315</v>
      </c>
      <c r="K46" s="23">
        <f t="shared" si="51"/>
        <v>26411</v>
      </c>
    </row>
    <row r="47" spans="1:11" ht="33" thickTop="1" thickBot="1" x14ac:dyDescent="0.3">
      <c r="A47" s="273" t="s">
        <v>535</v>
      </c>
      <c r="B47" s="273"/>
      <c r="C47" s="26">
        <f t="shared" ref="C47:K47" si="52">SUM(C45+C38+C37+C20)</f>
        <v>29283115</v>
      </c>
      <c r="D47" s="26">
        <f t="shared" si="52"/>
        <v>-5746453</v>
      </c>
      <c r="E47" s="26">
        <f t="shared" si="52"/>
        <v>23536662</v>
      </c>
      <c r="F47" s="26">
        <f t="shared" si="52"/>
        <v>2410308</v>
      </c>
      <c r="G47" s="26">
        <f t="shared" si="52"/>
        <v>267318</v>
      </c>
      <c r="H47" s="26">
        <f t="shared" si="52"/>
        <v>2677626</v>
      </c>
      <c r="I47" s="26">
        <f t="shared" si="52"/>
        <v>31693423</v>
      </c>
      <c r="J47" s="26">
        <f t="shared" si="52"/>
        <v>-5479135</v>
      </c>
      <c r="K47" s="26">
        <f t="shared" si="52"/>
        <v>26214288</v>
      </c>
    </row>
    <row r="48" spans="1:11" ht="33" thickTop="1" thickBot="1" x14ac:dyDescent="0.3">
      <c r="A48" s="273" t="s">
        <v>536</v>
      </c>
      <c r="B48" s="273"/>
      <c r="C48" s="26">
        <f t="shared" ref="C48:K48" si="53">SUM(C23+C46+C44)</f>
        <v>10836187</v>
      </c>
      <c r="D48" s="26">
        <f t="shared" si="53"/>
        <v>60</v>
      </c>
      <c r="E48" s="26">
        <f t="shared" si="53"/>
        <v>10836247</v>
      </c>
      <c r="F48" s="26">
        <f t="shared" si="53"/>
        <v>0</v>
      </c>
      <c r="G48" s="26">
        <f t="shared" si="53"/>
        <v>0</v>
      </c>
      <c r="H48" s="26">
        <f t="shared" si="53"/>
        <v>0</v>
      </c>
      <c r="I48" s="26">
        <f t="shared" si="53"/>
        <v>10836187</v>
      </c>
      <c r="J48" s="26">
        <f t="shared" si="53"/>
        <v>60</v>
      </c>
      <c r="K48" s="26">
        <f t="shared" si="53"/>
        <v>10836247</v>
      </c>
    </row>
    <row r="49" spans="1:13" ht="33" thickTop="1" thickBot="1" x14ac:dyDescent="0.3">
      <c r="A49" s="273" t="s">
        <v>537</v>
      </c>
      <c r="B49" s="273" t="s">
        <v>274</v>
      </c>
      <c r="C49" s="20">
        <f>SUM(C47+C48)</f>
        <v>40119302</v>
      </c>
      <c r="D49" s="20">
        <f t="shared" ref="D49:H49" si="54">SUM(D47+D48)</f>
        <v>-5746393</v>
      </c>
      <c r="E49" s="20">
        <f t="shared" si="54"/>
        <v>34372909</v>
      </c>
      <c r="F49" s="20">
        <f t="shared" si="54"/>
        <v>2410308</v>
      </c>
      <c r="G49" s="20">
        <f t="shared" si="54"/>
        <v>267318</v>
      </c>
      <c r="H49" s="20">
        <f t="shared" si="54"/>
        <v>2677626</v>
      </c>
      <c r="I49" s="20">
        <f>SUM(I47+I48)</f>
        <v>42529610</v>
      </c>
      <c r="J49" s="20">
        <f t="shared" ref="J49:K49" si="55">SUM(J47+J48)</f>
        <v>-5479075</v>
      </c>
      <c r="K49" s="20">
        <f t="shared" si="55"/>
        <v>37050535</v>
      </c>
    </row>
    <row r="50" spans="1:13" ht="15.75" customHeight="1" thickTop="1" thickBot="1" x14ac:dyDescent="0.3">
      <c r="A50" s="352"/>
      <c r="B50" s="353"/>
      <c r="C50" s="28"/>
      <c r="D50" s="28"/>
      <c r="E50" s="28"/>
      <c r="F50" s="28"/>
      <c r="G50" s="28"/>
      <c r="H50" s="28"/>
      <c r="I50" s="29"/>
      <c r="J50" s="29"/>
      <c r="K50" s="29"/>
    </row>
    <row r="51" spans="1:13" ht="32.25" thickTop="1" x14ac:dyDescent="0.25">
      <c r="A51" s="275" t="s">
        <v>310</v>
      </c>
      <c r="B51" s="275"/>
      <c r="C51" s="114">
        <f>SUM(C52-C53)</f>
        <v>-11748519</v>
      </c>
      <c r="D51" s="354">
        <f t="shared" ref="D51:H51" si="56">SUM(D52-D53)</f>
        <v>-3883652</v>
      </c>
      <c r="E51" s="114">
        <f t="shared" si="56"/>
        <v>-15632171</v>
      </c>
      <c r="F51" s="138">
        <f t="shared" si="56"/>
        <v>-13232679</v>
      </c>
      <c r="G51" s="354">
        <f t="shared" si="56"/>
        <v>762560</v>
      </c>
      <c r="H51" s="119">
        <f t="shared" si="56"/>
        <v>-12470119</v>
      </c>
      <c r="I51" s="133">
        <f>SUM(I52-I53)</f>
        <v>-24981198</v>
      </c>
      <c r="J51" s="119">
        <f t="shared" ref="J51:K51" si="57">SUM(J52-J53)</f>
        <v>-3121092</v>
      </c>
      <c r="K51" s="119">
        <f t="shared" si="57"/>
        <v>-28102290</v>
      </c>
    </row>
    <row r="52" spans="1:13" s="264" customFormat="1" x14ac:dyDescent="0.25">
      <c r="A52" s="284" t="s">
        <v>216</v>
      </c>
      <c r="B52" s="284" t="s">
        <v>274</v>
      </c>
      <c r="C52" s="115">
        <f>SUM(C49)</f>
        <v>40119302</v>
      </c>
      <c r="D52" s="355">
        <f t="shared" ref="D52:H52" si="58">SUM(D49)</f>
        <v>-5746393</v>
      </c>
      <c r="E52" s="120">
        <f t="shared" si="58"/>
        <v>34372909</v>
      </c>
      <c r="F52" s="115">
        <f t="shared" si="58"/>
        <v>2410308</v>
      </c>
      <c r="G52" s="355">
        <f t="shared" si="58"/>
        <v>267318</v>
      </c>
      <c r="H52" s="120">
        <f t="shared" si="58"/>
        <v>2677626</v>
      </c>
      <c r="I52" s="134">
        <f>SUM(I49)</f>
        <v>42529610</v>
      </c>
      <c r="J52" s="120">
        <f t="shared" ref="J52:K52" si="59">SUM(J49)</f>
        <v>-5479075</v>
      </c>
      <c r="K52" s="120">
        <f t="shared" si="59"/>
        <v>37050535</v>
      </c>
    </row>
    <row r="53" spans="1:13" s="264" customFormat="1" x14ac:dyDescent="0.25">
      <c r="A53" s="284" t="s">
        <v>217</v>
      </c>
      <c r="B53" s="284" t="s">
        <v>270</v>
      </c>
      <c r="C53" s="116">
        <f>'4 kiadás(szűkített)'!C22</f>
        <v>51867821</v>
      </c>
      <c r="D53" s="117">
        <f>'4 kiadás(szűkített)'!D22</f>
        <v>-1862741</v>
      </c>
      <c r="E53" s="121">
        <f>'4 kiadás(szűkített)'!E22</f>
        <v>50005080</v>
      </c>
      <c r="F53" s="129">
        <f>'4 kiadás(szűkített)'!F22</f>
        <v>15642987</v>
      </c>
      <c r="G53" s="117">
        <f>'4 kiadás(szűkített)'!G22</f>
        <v>-495242</v>
      </c>
      <c r="H53" s="121">
        <f>'4 kiadás(szűkített)'!H22</f>
        <v>15147745</v>
      </c>
      <c r="I53" s="135">
        <f>SUM(C53+F53)</f>
        <v>67510808</v>
      </c>
      <c r="J53" s="121">
        <f>SUM(D53+G53)</f>
        <v>-2357983</v>
      </c>
      <c r="K53" s="121">
        <f>SUM(E53+H53)</f>
        <v>65152825</v>
      </c>
    </row>
    <row r="54" spans="1:13" s="264" customFormat="1" x14ac:dyDescent="0.25">
      <c r="A54" s="284"/>
      <c r="B54" s="284"/>
      <c r="C54" s="129"/>
      <c r="D54" s="117"/>
      <c r="E54" s="121"/>
      <c r="F54" s="129"/>
      <c r="G54" s="356"/>
      <c r="H54" s="121"/>
      <c r="I54" s="135"/>
      <c r="J54" s="121"/>
      <c r="K54" s="121"/>
    </row>
    <row r="55" spans="1:13" x14ac:dyDescent="0.25">
      <c r="A55" s="286" t="s">
        <v>457</v>
      </c>
      <c r="B55" s="286"/>
      <c r="C55" s="84">
        <f>SUM(C60-C61)</f>
        <v>11748519</v>
      </c>
      <c r="D55" s="130">
        <f t="shared" ref="D55:K55" si="60">SUM(D60-D61)</f>
        <v>3883652</v>
      </c>
      <c r="E55" s="122">
        <f t="shared" si="60"/>
        <v>15632171</v>
      </c>
      <c r="F55" s="130">
        <f t="shared" si="60"/>
        <v>13232679</v>
      </c>
      <c r="G55" s="357">
        <f t="shared" si="60"/>
        <v>-762560</v>
      </c>
      <c r="H55" s="136">
        <f t="shared" si="60"/>
        <v>12470119</v>
      </c>
      <c r="I55" s="122">
        <f t="shared" si="60"/>
        <v>24981198</v>
      </c>
      <c r="J55" s="122">
        <f t="shared" si="60"/>
        <v>3121092</v>
      </c>
      <c r="K55" s="122">
        <f t="shared" si="60"/>
        <v>28102290</v>
      </c>
    </row>
    <row r="56" spans="1:13" ht="31.5" x14ac:dyDescent="0.25">
      <c r="A56" s="32" t="s">
        <v>180</v>
      </c>
      <c r="B56" s="32"/>
      <c r="C56" s="83">
        <v>8322124</v>
      </c>
      <c r="D56" s="30">
        <v>2482061</v>
      </c>
      <c r="E56" s="101">
        <f>SUM(C56:D56)</f>
        <v>10804185</v>
      </c>
      <c r="F56" s="131">
        <v>179455</v>
      </c>
      <c r="G56" s="358">
        <v>639031</v>
      </c>
      <c r="H56" s="101">
        <f>SUM(F56:G56)</f>
        <v>818486</v>
      </c>
      <c r="I56" s="102">
        <f>SUM(C56)+F56</f>
        <v>8501579</v>
      </c>
      <c r="J56" s="101">
        <f t="shared" ref="J56:K58" si="61">SUM(D56+G56)</f>
        <v>3121092</v>
      </c>
      <c r="K56" s="101">
        <f t="shared" si="61"/>
        <v>11622671</v>
      </c>
      <c r="M56" s="595"/>
    </row>
    <row r="57" spans="1:13" ht="31.5" x14ac:dyDescent="0.25">
      <c r="A57" s="32" t="s">
        <v>172</v>
      </c>
      <c r="B57" s="32"/>
      <c r="C57" s="83">
        <v>16613611</v>
      </c>
      <c r="D57" s="30"/>
      <c r="E57" s="101">
        <f>SUM(C57:D57)</f>
        <v>16613611</v>
      </c>
      <c r="F57" s="131">
        <v>29974</v>
      </c>
      <c r="G57" s="358"/>
      <c r="H57" s="101">
        <f>SUM(F57:G57)</f>
        <v>29974</v>
      </c>
      <c r="I57" s="102">
        <f>SUM(C57)+F57</f>
        <v>16643585</v>
      </c>
      <c r="J57" s="101">
        <f t="shared" si="61"/>
        <v>0</v>
      </c>
      <c r="K57" s="101">
        <f t="shared" si="61"/>
        <v>16643585</v>
      </c>
    </row>
    <row r="58" spans="1:13" x14ac:dyDescent="0.25">
      <c r="A58" s="32" t="s">
        <v>173</v>
      </c>
      <c r="B58" s="32" t="s">
        <v>215</v>
      </c>
      <c r="C58" s="83">
        <f t="shared" ref="C58:H58" si="62">SUM(C56:C57)</f>
        <v>24935735</v>
      </c>
      <c r="D58" s="30">
        <f t="shared" si="62"/>
        <v>2482061</v>
      </c>
      <c r="E58" s="101">
        <f t="shared" si="62"/>
        <v>27417796</v>
      </c>
      <c r="F58" s="131">
        <f t="shared" si="62"/>
        <v>209429</v>
      </c>
      <c r="G58" s="358">
        <f t="shared" si="62"/>
        <v>639031</v>
      </c>
      <c r="H58" s="101">
        <f t="shared" si="62"/>
        <v>848460</v>
      </c>
      <c r="I58" s="102">
        <f>SUM(C58+F58)</f>
        <v>25145164</v>
      </c>
      <c r="J58" s="101">
        <f t="shared" si="61"/>
        <v>3121092</v>
      </c>
      <c r="K58" s="101">
        <f t="shared" si="61"/>
        <v>28266256</v>
      </c>
      <c r="M58" s="595"/>
    </row>
    <row r="59" spans="1:13" x14ac:dyDescent="0.25">
      <c r="A59" s="289" t="s">
        <v>311</v>
      </c>
      <c r="B59" s="289" t="s">
        <v>312</v>
      </c>
      <c r="C59" s="118"/>
      <c r="D59" s="359"/>
      <c r="E59" s="123"/>
      <c r="F59" s="132">
        <v>13023250</v>
      </c>
      <c r="G59" s="360">
        <f>-1381591-20000</f>
        <v>-1401591</v>
      </c>
      <c r="H59" s="123">
        <f>SUM(F59:G59)</f>
        <v>11621659</v>
      </c>
      <c r="I59" s="137">
        <f t="shared" ref="I59:K59" si="63">SUM(C59+F59)</f>
        <v>13023250</v>
      </c>
      <c r="J59" s="123">
        <f t="shared" si="63"/>
        <v>-1401591</v>
      </c>
      <c r="K59" s="123">
        <f t="shared" si="63"/>
        <v>11621659</v>
      </c>
    </row>
    <row r="60" spans="1:13" x14ac:dyDescent="0.25">
      <c r="A60" s="289" t="s">
        <v>832</v>
      </c>
      <c r="B60" s="289" t="s">
        <v>174</v>
      </c>
      <c r="C60" s="118">
        <f>SUM(C58+C59)</f>
        <v>24935735</v>
      </c>
      <c r="D60" s="359">
        <f t="shared" ref="D60:K60" si="64">SUM(D58+D59)</f>
        <v>2482061</v>
      </c>
      <c r="E60" s="123">
        <f t="shared" si="64"/>
        <v>27417796</v>
      </c>
      <c r="F60" s="132">
        <f t="shared" si="64"/>
        <v>13232679</v>
      </c>
      <c r="G60" s="360">
        <f t="shared" si="64"/>
        <v>-762560</v>
      </c>
      <c r="H60" s="123">
        <f t="shared" si="64"/>
        <v>12470119</v>
      </c>
      <c r="I60" s="137">
        <f t="shared" si="64"/>
        <v>38168414</v>
      </c>
      <c r="J60" s="123">
        <f t="shared" si="64"/>
        <v>1719501</v>
      </c>
      <c r="K60" s="123">
        <f t="shared" si="64"/>
        <v>39887915</v>
      </c>
    </row>
    <row r="61" spans="1:13" s="264" customFormat="1" x14ac:dyDescent="0.25">
      <c r="A61" s="290" t="s">
        <v>833</v>
      </c>
      <c r="B61" s="290" t="s">
        <v>210</v>
      </c>
      <c r="C61" s="549">
        <f>'4 kiadás(szűkített)'!C25</f>
        <v>13187216</v>
      </c>
      <c r="D61" s="115">
        <f>'4 kiadás(szűkített)'!D25</f>
        <v>-1401591</v>
      </c>
      <c r="E61" s="120">
        <f>'4 kiadás(szűkített)'!E25</f>
        <v>11785625</v>
      </c>
      <c r="F61" s="115">
        <f>'4 kiadás(szűkített)'!F25</f>
        <v>0</v>
      </c>
      <c r="G61" s="355">
        <f>'4 kiadás(szűkített)'!G25</f>
        <v>0</v>
      </c>
      <c r="H61" s="120">
        <f>'4 kiadás(szűkített)'!H25</f>
        <v>0</v>
      </c>
      <c r="I61" s="134">
        <f>SUM(C61+F61)</f>
        <v>13187216</v>
      </c>
      <c r="J61" s="120">
        <f>SUM(D61+G61)</f>
        <v>-1401591</v>
      </c>
      <c r="K61" s="120">
        <f t="shared" ref="K61" si="65">SUM(E61:H61)</f>
        <v>11785625</v>
      </c>
    </row>
    <row r="62" spans="1:13" s="299" customFormat="1" ht="16.5" thickBot="1" x14ac:dyDescent="0.3">
      <c r="A62" s="291" t="s">
        <v>458</v>
      </c>
      <c r="B62" s="291"/>
      <c r="C62" s="297">
        <f>SUM(C51+C55)</f>
        <v>0</v>
      </c>
      <c r="D62" s="293">
        <f t="shared" ref="D62:K62" si="66">SUM(D51+D55)</f>
        <v>0</v>
      </c>
      <c r="E62" s="295">
        <f t="shared" si="66"/>
        <v>0</v>
      </c>
      <c r="F62" s="297">
        <f t="shared" si="66"/>
        <v>0</v>
      </c>
      <c r="G62" s="293">
        <f t="shared" si="66"/>
        <v>0</v>
      </c>
      <c r="H62" s="295">
        <f t="shared" si="66"/>
        <v>0</v>
      </c>
      <c r="I62" s="297">
        <f t="shared" si="66"/>
        <v>0</v>
      </c>
      <c r="J62" s="297">
        <f t="shared" si="66"/>
        <v>0</v>
      </c>
      <c r="K62" s="291">
        <f t="shared" si="66"/>
        <v>0</v>
      </c>
    </row>
    <row r="63" spans="1:13" s="299" customFormat="1" ht="16.5" thickTop="1" x14ac:dyDescent="0.25"/>
    <row r="64" spans="1:13" s="299" customFormat="1" x14ac:dyDescent="0.25"/>
    <row r="65" spans="1:11" s="299" customFormat="1" x14ac:dyDescent="0.25"/>
    <row r="66" spans="1:11" s="299" customFormat="1" x14ac:dyDescent="0.25">
      <c r="A66" s="301"/>
      <c r="B66" s="301"/>
    </row>
    <row r="67" spans="1:11" s="302" customFormat="1" x14ac:dyDescent="0.25">
      <c r="A67" s="29"/>
      <c r="B67" s="29"/>
      <c r="C67" s="299"/>
      <c r="D67" s="299"/>
      <c r="E67" s="299"/>
      <c r="F67" s="299"/>
      <c r="G67" s="299"/>
      <c r="H67" s="299"/>
      <c r="I67" s="299"/>
      <c r="J67" s="299"/>
      <c r="K67" s="299"/>
    </row>
    <row r="68" spans="1:11" s="302" customFormat="1" x14ac:dyDescent="0.25">
      <c r="A68" s="303"/>
      <c r="B68" s="303"/>
      <c r="C68" s="299"/>
      <c r="D68" s="299"/>
      <c r="E68" s="299"/>
      <c r="F68" s="299"/>
      <c r="G68" s="299"/>
      <c r="H68" s="299"/>
      <c r="I68" s="299"/>
      <c r="J68" s="299"/>
      <c r="K68" s="299"/>
    </row>
    <row r="69" spans="1:11" s="302" customFormat="1" x14ac:dyDescent="0.25">
      <c r="A69" s="304"/>
      <c r="B69" s="304"/>
    </row>
    <row r="70" spans="1:11" s="302" customFormat="1" x14ac:dyDescent="0.25">
      <c r="A70" s="305"/>
      <c r="B70" s="305"/>
    </row>
    <row r="71" spans="1:11" s="302" customFormat="1" x14ac:dyDescent="0.25">
      <c r="A71" s="306"/>
      <c r="B71" s="306"/>
    </row>
    <row r="72" spans="1:11" s="302" customFormat="1" x14ac:dyDescent="0.25">
      <c r="A72" s="304"/>
      <c r="B72" s="304"/>
    </row>
    <row r="73" spans="1:11" s="302" customFormat="1" x14ac:dyDescent="0.25">
      <c r="A73" s="305"/>
      <c r="B73" s="305"/>
    </row>
    <row r="74" spans="1:11" s="302" customFormat="1" x14ac:dyDescent="0.25">
      <c r="A74" s="305"/>
      <c r="B74" s="305"/>
    </row>
    <row r="75" spans="1:11" s="302" customFormat="1" x14ac:dyDescent="0.25">
      <c r="A75" s="304"/>
      <c r="B75" s="304"/>
    </row>
    <row r="76" spans="1:11" s="302" customFormat="1" x14ac:dyDescent="0.25">
      <c r="A76" s="305"/>
      <c r="B76" s="305"/>
    </row>
    <row r="77" spans="1:11" s="302" customFormat="1" x14ac:dyDescent="0.25">
      <c r="A77" s="305"/>
      <c r="B77" s="305"/>
    </row>
    <row r="78" spans="1:11" s="302" customFormat="1" x14ac:dyDescent="0.25">
      <c r="A78" s="305"/>
      <c r="B78" s="305"/>
    </row>
    <row r="79" spans="1:11" s="302" customFormat="1" x14ac:dyDescent="0.25">
      <c r="A79" s="305"/>
      <c r="B79" s="305"/>
    </row>
    <row r="80" spans="1:11" s="302" customFormat="1" x14ac:dyDescent="0.25">
      <c r="A80" s="304"/>
      <c r="B80" s="304"/>
    </row>
    <row r="81" spans="1:11" s="302" customFormat="1" x14ac:dyDescent="0.25">
      <c r="A81" s="305"/>
      <c r="B81" s="305"/>
    </row>
    <row r="82" spans="1:11" s="302" customFormat="1" x14ac:dyDescent="0.25">
      <c r="A82" s="305"/>
      <c r="B82" s="305"/>
    </row>
    <row r="83" spans="1:11" s="302" customFormat="1" x14ac:dyDescent="0.25">
      <c r="A83" s="305"/>
      <c r="B83" s="305"/>
    </row>
    <row r="84" spans="1:11" s="302" customFormat="1" x14ac:dyDescent="0.25">
      <c r="A84" s="305"/>
      <c r="B84" s="305"/>
    </row>
    <row r="85" spans="1:11" s="302" customFormat="1" x14ac:dyDescent="0.25">
      <c r="A85" s="305"/>
      <c r="B85" s="305"/>
    </row>
    <row r="86" spans="1:11" x14ac:dyDescent="0.25">
      <c r="A86" s="305"/>
      <c r="B86" s="305"/>
      <c r="C86" s="302"/>
      <c r="D86" s="302"/>
      <c r="E86" s="302"/>
      <c r="F86" s="302"/>
      <c r="G86" s="302"/>
      <c r="H86" s="302"/>
      <c r="I86" s="302"/>
      <c r="J86" s="302"/>
      <c r="K86" s="302"/>
    </row>
    <row r="87" spans="1:11" x14ac:dyDescent="0.25">
      <c r="A87" s="305"/>
      <c r="B87" s="305"/>
      <c r="C87" s="302"/>
      <c r="D87" s="302"/>
      <c r="E87" s="302"/>
      <c r="F87" s="302"/>
      <c r="G87" s="302"/>
      <c r="H87" s="302"/>
      <c r="I87" s="302"/>
      <c r="J87" s="302"/>
      <c r="K87" s="302"/>
    </row>
    <row r="88" spans="1:11" x14ac:dyDescent="0.25">
      <c r="A88" s="307"/>
      <c r="B88" s="307"/>
    </row>
    <row r="89" spans="1:11" x14ac:dyDescent="0.25">
      <c r="A89" s="307"/>
      <c r="B89" s="307"/>
    </row>
    <row r="90" spans="1:11" x14ac:dyDescent="0.25">
      <c r="A90" s="307"/>
      <c r="B90" s="307"/>
    </row>
    <row r="91" spans="1:11" x14ac:dyDescent="0.25">
      <c r="A91" s="307"/>
      <c r="B91" s="307"/>
    </row>
    <row r="92" spans="1:11" x14ac:dyDescent="0.25">
      <c r="A92" s="307"/>
      <c r="B92" s="307"/>
    </row>
    <row r="93" spans="1:11" x14ac:dyDescent="0.25">
      <c r="A93" s="307"/>
      <c r="B93" s="307"/>
    </row>
    <row r="94" spans="1:11" x14ac:dyDescent="0.25">
      <c r="A94" s="307"/>
      <c r="B94" s="307"/>
    </row>
    <row r="95" spans="1:11" x14ac:dyDescent="0.25">
      <c r="A95" s="307"/>
      <c r="B95" s="307"/>
    </row>
    <row r="96" spans="1:11" x14ac:dyDescent="0.25">
      <c r="A96" s="307"/>
      <c r="B96" s="307"/>
    </row>
    <row r="97" spans="1:2" x14ac:dyDescent="0.25">
      <c r="A97" s="307"/>
      <c r="B97" s="307"/>
    </row>
    <row r="98" spans="1:2" x14ac:dyDescent="0.25">
      <c r="A98" s="307"/>
      <c r="B98" s="307"/>
    </row>
    <row r="99" spans="1:2" x14ac:dyDescent="0.25">
      <c r="A99" s="307"/>
      <c r="B99" s="307"/>
    </row>
    <row r="100" spans="1:2" x14ac:dyDescent="0.25">
      <c r="A100" s="307"/>
      <c r="B100" s="307"/>
    </row>
    <row r="101" spans="1:2" x14ac:dyDescent="0.25">
      <c r="A101" s="307"/>
      <c r="B101" s="307"/>
    </row>
    <row r="102" spans="1:2" x14ac:dyDescent="0.25">
      <c r="A102" s="307"/>
      <c r="B102" s="307"/>
    </row>
    <row r="103" spans="1:2" x14ac:dyDescent="0.25">
      <c r="A103" s="307"/>
      <c r="B103" s="307"/>
    </row>
    <row r="104" spans="1:2" x14ac:dyDescent="0.25">
      <c r="A104" s="307"/>
      <c r="B104" s="307"/>
    </row>
    <row r="105" spans="1:2" x14ac:dyDescent="0.25">
      <c r="A105" s="307"/>
      <c r="B105" s="307"/>
    </row>
    <row r="106" spans="1:2" x14ac:dyDescent="0.25">
      <c r="A106" s="307"/>
      <c r="B106" s="307"/>
    </row>
    <row r="107" spans="1:2" x14ac:dyDescent="0.25">
      <c r="A107" s="307"/>
      <c r="B107" s="307"/>
    </row>
    <row r="108" spans="1:2" x14ac:dyDescent="0.25">
      <c r="A108" s="307"/>
      <c r="B108" s="307"/>
    </row>
    <row r="109" spans="1:2" x14ac:dyDescent="0.25">
      <c r="A109" s="307"/>
      <c r="B109" s="307"/>
    </row>
    <row r="110" spans="1:2" x14ac:dyDescent="0.25">
      <c r="A110" s="307"/>
      <c r="B110" s="307"/>
    </row>
    <row r="111" spans="1:2" x14ac:dyDescent="0.25">
      <c r="A111" s="307"/>
      <c r="B111" s="307"/>
    </row>
    <row r="112" spans="1:2" x14ac:dyDescent="0.25">
      <c r="A112" s="307"/>
      <c r="B112" s="307"/>
    </row>
    <row r="113" spans="1:2" x14ac:dyDescent="0.25">
      <c r="A113" s="307"/>
      <c r="B113" s="307"/>
    </row>
    <row r="114" spans="1:2" x14ac:dyDescent="0.25">
      <c r="A114" s="307"/>
      <c r="B114" s="307"/>
    </row>
    <row r="115" spans="1:2" x14ac:dyDescent="0.25">
      <c r="A115" s="307"/>
      <c r="B115" s="307"/>
    </row>
    <row r="116" spans="1:2" x14ac:dyDescent="0.25">
      <c r="A116" s="307"/>
      <c r="B116" s="307"/>
    </row>
    <row r="117" spans="1:2" x14ac:dyDescent="0.25">
      <c r="A117" s="307"/>
      <c r="B117" s="307"/>
    </row>
    <row r="118" spans="1:2" x14ac:dyDescent="0.25">
      <c r="A118" s="307"/>
      <c r="B118" s="307"/>
    </row>
    <row r="119" spans="1:2" x14ac:dyDescent="0.25">
      <c r="A119" s="307"/>
      <c r="B119" s="307"/>
    </row>
    <row r="120" spans="1:2" x14ac:dyDescent="0.25">
      <c r="A120" s="307"/>
      <c r="B120" s="307"/>
    </row>
    <row r="121" spans="1:2" x14ac:dyDescent="0.25">
      <c r="A121" s="307"/>
      <c r="B121" s="307"/>
    </row>
    <row r="122" spans="1:2" x14ac:dyDescent="0.25">
      <c r="A122" s="307"/>
      <c r="B122" s="307"/>
    </row>
    <row r="123" spans="1:2" x14ac:dyDescent="0.25">
      <c r="A123" s="307"/>
      <c r="B123" s="307"/>
    </row>
    <row r="124" spans="1:2" x14ac:dyDescent="0.25">
      <c r="A124" s="307"/>
      <c r="B124" s="307"/>
    </row>
    <row r="125" spans="1:2" x14ac:dyDescent="0.25">
      <c r="A125" s="307"/>
      <c r="B125" s="307"/>
    </row>
    <row r="126" spans="1:2" x14ac:dyDescent="0.25">
      <c r="A126" s="307"/>
      <c r="B126" s="307"/>
    </row>
    <row r="127" spans="1:2" x14ac:dyDescent="0.25">
      <c r="A127" s="307"/>
      <c r="B127" s="307"/>
    </row>
    <row r="128" spans="1:2" x14ac:dyDescent="0.25">
      <c r="A128" s="307"/>
      <c r="B128" s="307"/>
    </row>
    <row r="129" spans="1:2" x14ac:dyDescent="0.25">
      <c r="A129" s="307"/>
      <c r="B129" s="307"/>
    </row>
    <row r="130" spans="1:2" x14ac:dyDescent="0.25">
      <c r="A130" s="307"/>
      <c r="B130" s="307"/>
    </row>
    <row r="131" spans="1:2" x14ac:dyDescent="0.25">
      <c r="A131" s="307"/>
      <c r="B131" s="307"/>
    </row>
    <row r="132" spans="1:2" x14ac:dyDescent="0.25">
      <c r="A132" s="307"/>
      <c r="B132" s="307"/>
    </row>
    <row r="133" spans="1:2" x14ac:dyDescent="0.25">
      <c r="A133" s="307"/>
      <c r="B133" s="307"/>
    </row>
    <row r="134" spans="1:2" x14ac:dyDescent="0.25">
      <c r="A134" s="307"/>
      <c r="B134" s="307"/>
    </row>
    <row r="135" spans="1:2" x14ac:dyDescent="0.25">
      <c r="A135" s="307"/>
      <c r="B135" s="307"/>
    </row>
    <row r="136" spans="1:2" x14ac:dyDescent="0.25">
      <c r="A136" s="307"/>
      <c r="B136" s="307"/>
    </row>
    <row r="137" spans="1:2" x14ac:dyDescent="0.25">
      <c r="A137" s="307"/>
      <c r="B137" s="307"/>
    </row>
    <row r="138" spans="1:2" x14ac:dyDescent="0.25">
      <c r="A138" s="307"/>
      <c r="B138" s="307"/>
    </row>
    <row r="139" spans="1:2" x14ac:dyDescent="0.25">
      <c r="A139" s="307"/>
      <c r="B139" s="307"/>
    </row>
    <row r="140" spans="1:2" x14ac:dyDescent="0.25">
      <c r="A140" s="307"/>
      <c r="B140" s="307"/>
    </row>
    <row r="141" spans="1:2" x14ac:dyDescent="0.25">
      <c r="A141" s="307"/>
      <c r="B141" s="307"/>
    </row>
    <row r="142" spans="1:2" x14ac:dyDescent="0.25">
      <c r="A142" s="307"/>
      <c r="B142" s="307"/>
    </row>
    <row r="143" spans="1:2" x14ac:dyDescent="0.25">
      <c r="A143" s="307"/>
      <c r="B143" s="307"/>
    </row>
    <row r="144" spans="1:2" x14ac:dyDescent="0.25">
      <c r="A144" s="307"/>
      <c r="B144" s="307"/>
    </row>
    <row r="145" spans="1:2" x14ac:dyDescent="0.25">
      <c r="A145" s="307"/>
      <c r="B145" s="307"/>
    </row>
    <row r="146" spans="1:2" x14ac:dyDescent="0.25">
      <c r="A146" s="307"/>
      <c r="B146" s="307"/>
    </row>
    <row r="147" spans="1:2" x14ac:dyDescent="0.25">
      <c r="A147" s="307"/>
      <c r="B147" s="307"/>
    </row>
    <row r="148" spans="1:2" x14ac:dyDescent="0.25">
      <c r="A148" s="307"/>
      <c r="B148" s="307"/>
    </row>
    <row r="149" spans="1:2" x14ac:dyDescent="0.25">
      <c r="A149" s="307"/>
      <c r="B149" s="307"/>
    </row>
    <row r="150" spans="1:2" x14ac:dyDescent="0.25">
      <c r="A150" s="307"/>
      <c r="B150" s="307"/>
    </row>
    <row r="151" spans="1:2" x14ac:dyDescent="0.25">
      <c r="A151" s="307"/>
      <c r="B151" s="307"/>
    </row>
    <row r="152" spans="1:2" x14ac:dyDescent="0.25">
      <c r="A152" s="307"/>
      <c r="B152" s="307"/>
    </row>
    <row r="153" spans="1:2" x14ac:dyDescent="0.25">
      <c r="A153" s="307"/>
      <c r="B153" s="307"/>
    </row>
    <row r="154" spans="1:2" x14ac:dyDescent="0.25">
      <c r="A154" s="307"/>
      <c r="B154" s="307"/>
    </row>
    <row r="155" spans="1:2" x14ac:dyDescent="0.25">
      <c r="A155" s="307"/>
      <c r="B155" s="307"/>
    </row>
    <row r="156" spans="1:2" x14ac:dyDescent="0.25">
      <c r="A156" s="307"/>
      <c r="B156" s="307"/>
    </row>
    <row r="157" spans="1:2" x14ac:dyDescent="0.25">
      <c r="A157" s="307"/>
      <c r="B157" s="307"/>
    </row>
    <row r="158" spans="1:2" x14ac:dyDescent="0.25">
      <c r="A158" s="307"/>
      <c r="B158" s="307"/>
    </row>
    <row r="159" spans="1:2" x14ac:dyDescent="0.25">
      <c r="A159" s="307"/>
      <c r="B159" s="307"/>
    </row>
    <row r="160" spans="1:2" x14ac:dyDescent="0.25">
      <c r="A160" s="307"/>
      <c r="B160" s="307"/>
    </row>
    <row r="161" spans="1:2" x14ac:dyDescent="0.25">
      <c r="A161" s="307"/>
      <c r="B161" s="307"/>
    </row>
    <row r="162" spans="1:2" x14ac:dyDescent="0.25">
      <c r="A162" s="307"/>
      <c r="B162" s="307"/>
    </row>
    <row r="163" spans="1:2" x14ac:dyDescent="0.25">
      <c r="A163" s="307"/>
      <c r="B163" s="307"/>
    </row>
    <row r="164" spans="1:2" x14ac:dyDescent="0.25">
      <c r="A164" s="307"/>
      <c r="B164" s="307"/>
    </row>
    <row r="165" spans="1:2" x14ac:dyDescent="0.25">
      <c r="A165" s="307"/>
      <c r="B165" s="307"/>
    </row>
    <row r="166" spans="1:2" x14ac:dyDescent="0.25">
      <c r="A166" s="307"/>
      <c r="B166" s="307"/>
    </row>
    <row r="167" spans="1:2" x14ac:dyDescent="0.25">
      <c r="A167" s="307"/>
      <c r="B167" s="307"/>
    </row>
    <row r="168" spans="1:2" x14ac:dyDescent="0.25">
      <c r="A168" s="307"/>
      <c r="B168" s="307"/>
    </row>
    <row r="169" spans="1:2" x14ac:dyDescent="0.25">
      <c r="A169" s="307"/>
      <c r="B169" s="307"/>
    </row>
    <row r="170" spans="1:2" x14ac:dyDescent="0.25">
      <c r="A170" s="307"/>
      <c r="B170" s="307"/>
    </row>
    <row r="171" spans="1:2" x14ac:dyDescent="0.25">
      <c r="A171" s="307"/>
      <c r="B171" s="307"/>
    </row>
    <row r="172" spans="1:2" x14ac:dyDescent="0.25">
      <c r="A172" s="307"/>
      <c r="B172" s="307"/>
    </row>
    <row r="173" spans="1:2" x14ac:dyDescent="0.25">
      <c r="A173" s="307"/>
      <c r="B173" s="307"/>
    </row>
    <row r="174" spans="1:2" x14ac:dyDescent="0.25">
      <c r="A174" s="307"/>
      <c r="B174" s="307"/>
    </row>
    <row r="175" spans="1:2" x14ac:dyDescent="0.25">
      <c r="A175" s="307"/>
      <c r="B175" s="307"/>
    </row>
    <row r="176" spans="1:2" x14ac:dyDescent="0.25">
      <c r="A176" s="307"/>
      <c r="B176" s="307"/>
    </row>
    <row r="177" spans="1:2" x14ac:dyDescent="0.25">
      <c r="A177" s="307"/>
      <c r="B177" s="307"/>
    </row>
    <row r="178" spans="1:2" x14ac:dyDescent="0.25">
      <c r="A178" s="307"/>
      <c r="B178" s="307"/>
    </row>
    <row r="179" spans="1:2" x14ac:dyDescent="0.25">
      <c r="A179" s="307"/>
      <c r="B179" s="307"/>
    </row>
    <row r="180" spans="1:2" x14ac:dyDescent="0.25">
      <c r="A180" s="307"/>
      <c r="B180" s="307"/>
    </row>
    <row r="181" spans="1:2" x14ac:dyDescent="0.25">
      <c r="A181" s="307"/>
      <c r="B181" s="307"/>
    </row>
    <row r="182" spans="1:2" x14ac:dyDescent="0.25">
      <c r="A182" s="307"/>
      <c r="B182" s="307"/>
    </row>
    <row r="183" spans="1:2" x14ac:dyDescent="0.25">
      <c r="A183" s="307"/>
      <c r="B183" s="307"/>
    </row>
    <row r="184" spans="1:2" x14ac:dyDescent="0.25">
      <c r="A184" s="307"/>
      <c r="B184" s="307"/>
    </row>
    <row r="185" spans="1:2" x14ac:dyDescent="0.25">
      <c r="A185" s="307"/>
      <c r="B185" s="307"/>
    </row>
    <row r="186" spans="1:2" x14ac:dyDescent="0.25">
      <c r="A186" s="307"/>
      <c r="B186" s="307"/>
    </row>
    <row r="187" spans="1:2" x14ac:dyDescent="0.25">
      <c r="A187" s="307"/>
      <c r="B187" s="307"/>
    </row>
    <row r="188" spans="1:2" x14ac:dyDescent="0.25">
      <c r="A188" s="307"/>
      <c r="B188" s="307"/>
    </row>
    <row r="189" spans="1:2" x14ac:dyDescent="0.25">
      <c r="A189" s="307"/>
      <c r="B189" s="307"/>
    </row>
    <row r="190" spans="1:2" x14ac:dyDescent="0.25">
      <c r="A190" s="307"/>
      <c r="B190" s="307"/>
    </row>
    <row r="191" spans="1:2" x14ac:dyDescent="0.25">
      <c r="A191" s="307"/>
      <c r="B191" s="307"/>
    </row>
    <row r="192" spans="1:2" x14ac:dyDescent="0.25">
      <c r="A192" s="307"/>
      <c r="B192" s="307"/>
    </row>
    <row r="193" spans="1:2" x14ac:dyDescent="0.25">
      <c r="A193" s="307"/>
      <c r="B193" s="307"/>
    </row>
    <row r="194" spans="1:2" x14ac:dyDescent="0.25">
      <c r="A194" s="307"/>
      <c r="B194" s="307"/>
    </row>
    <row r="195" spans="1:2" x14ac:dyDescent="0.25">
      <c r="A195" s="307"/>
      <c r="B195" s="307"/>
    </row>
    <row r="196" spans="1:2" x14ac:dyDescent="0.25">
      <c r="A196" s="307"/>
      <c r="B196" s="307"/>
    </row>
    <row r="197" spans="1:2" x14ac:dyDescent="0.25">
      <c r="A197" s="307"/>
      <c r="B197" s="307"/>
    </row>
    <row r="198" spans="1:2" x14ac:dyDescent="0.25">
      <c r="A198" s="307"/>
      <c r="B198" s="307"/>
    </row>
    <row r="199" spans="1:2" x14ac:dyDescent="0.25">
      <c r="A199" s="307"/>
      <c r="B199" s="307"/>
    </row>
    <row r="200" spans="1:2" x14ac:dyDescent="0.25">
      <c r="A200" s="307"/>
      <c r="B200" s="307"/>
    </row>
    <row r="201" spans="1:2" x14ac:dyDescent="0.25">
      <c r="A201" s="307"/>
      <c r="B201" s="307"/>
    </row>
    <row r="202" spans="1:2" x14ac:dyDescent="0.25">
      <c r="A202" s="307"/>
      <c r="B202" s="307"/>
    </row>
    <row r="203" spans="1:2" x14ac:dyDescent="0.25">
      <c r="A203" s="307"/>
      <c r="B203" s="307"/>
    </row>
    <row r="204" spans="1:2" x14ac:dyDescent="0.25">
      <c r="A204" s="307"/>
      <c r="B204" s="307"/>
    </row>
    <row r="205" spans="1:2" x14ac:dyDescent="0.25">
      <c r="A205" s="307"/>
      <c r="B205" s="307"/>
    </row>
    <row r="206" spans="1:2" x14ac:dyDescent="0.25">
      <c r="A206" s="307"/>
      <c r="B206" s="307"/>
    </row>
    <row r="207" spans="1:2" x14ac:dyDescent="0.25">
      <c r="A207" s="307"/>
      <c r="B207" s="307"/>
    </row>
    <row r="208" spans="1:2" x14ac:dyDescent="0.25">
      <c r="A208" s="307"/>
      <c r="B208" s="307"/>
    </row>
    <row r="209" spans="1:2" x14ac:dyDescent="0.25">
      <c r="A209" s="307"/>
      <c r="B209" s="307"/>
    </row>
    <row r="210" spans="1:2" x14ac:dyDescent="0.25">
      <c r="A210" s="307"/>
      <c r="B210" s="307"/>
    </row>
    <row r="211" spans="1:2" x14ac:dyDescent="0.25">
      <c r="A211" s="307"/>
      <c r="B211" s="307"/>
    </row>
    <row r="212" spans="1:2" x14ac:dyDescent="0.25">
      <c r="A212" s="307"/>
      <c r="B212" s="307"/>
    </row>
    <row r="213" spans="1:2" x14ac:dyDescent="0.25">
      <c r="A213" s="307"/>
      <c r="B213" s="307"/>
    </row>
    <row r="214" spans="1:2" x14ac:dyDescent="0.25">
      <c r="A214" s="307"/>
      <c r="B214" s="307"/>
    </row>
    <row r="215" spans="1:2" x14ac:dyDescent="0.25">
      <c r="A215" s="307"/>
      <c r="B215" s="307"/>
    </row>
    <row r="216" spans="1:2" x14ac:dyDescent="0.25">
      <c r="A216" s="307"/>
      <c r="B216" s="307"/>
    </row>
    <row r="217" spans="1:2" x14ac:dyDescent="0.25">
      <c r="A217" s="307"/>
      <c r="B217" s="307"/>
    </row>
    <row r="218" spans="1:2" x14ac:dyDescent="0.25">
      <c r="A218" s="307"/>
      <c r="B218" s="307"/>
    </row>
    <row r="219" spans="1:2" x14ac:dyDescent="0.25">
      <c r="A219" s="307"/>
      <c r="B219" s="307"/>
    </row>
    <row r="220" spans="1:2" x14ac:dyDescent="0.25">
      <c r="A220" s="307"/>
      <c r="B220" s="307"/>
    </row>
    <row r="221" spans="1:2" x14ac:dyDescent="0.25">
      <c r="A221" s="307"/>
      <c r="B221" s="307"/>
    </row>
    <row r="222" spans="1:2" x14ac:dyDescent="0.25">
      <c r="A222" s="307"/>
      <c r="B222" s="307"/>
    </row>
    <row r="223" spans="1:2" x14ac:dyDescent="0.25">
      <c r="A223" s="307"/>
      <c r="B223" s="307"/>
    </row>
    <row r="224" spans="1:2" x14ac:dyDescent="0.25">
      <c r="A224" s="307"/>
      <c r="B224" s="307"/>
    </row>
    <row r="225" spans="1:2" x14ac:dyDescent="0.25">
      <c r="A225" s="307"/>
      <c r="B225" s="307"/>
    </row>
    <row r="226" spans="1:2" x14ac:dyDescent="0.25">
      <c r="A226" s="307"/>
      <c r="B226" s="307"/>
    </row>
    <row r="227" spans="1:2" x14ac:dyDescent="0.25">
      <c r="A227" s="307"/>
      <c r="B227" s="307"/>
    </row>
    <row r="228" spans="1:2" x14ac:dyDescent="0.25">
      <c r="A228" s="307"/>
      <c r="B228" s="307"/>
    </row>
    <row r="229" spans="1:2" x14ac:dyDescent="0.25">
      <c r="A229" s="307"/>
      <c r="B229" s="307"/>
    </row>
    <row r="230" spans="1:2" x14ac:dyDescent="0.25">
      <c r="A230" s="307"/>
      <c r="B230" s="307"/>
    </row>
    <row r="231" spans="1:2" x14ac:dyDescent="0.25">
      <c r="A231" s="307"/>
      <c r="B231" s="307"/>
    </row>
    <row r="232" spans="1:2" x14ac:dyDescent="0.25">
      <c r="A232" s="307"/>
      <c r="B232" s="307"/>
    </row>
    <row r="233" spans="1:2" x14ac:dyDescent="0.25">
      <c r="A233" s="307"/>
      <c r="B233" s="307"/>
    </row>
    <row r="234" spans="1:2" x14ac:dyDescent="0.25">
      <c r="A234" s="307"/>
      <c r="B234" s="307"/>
    </row>
    <row r="235" spans="1:2" x14ac:dyDescent="0.25">
      <c r="A235" s="307"/>
      <c r="B235" s="307"/>
    </row>
    <row r="236" spans="1:2" x14ac:dyDescent="0.25">
      <c r="A236" s="307"/>
      <c r="B236" s="307"/>
    </row>
    <row r="237" spans="1:2" x14ac:dyDescent="0.25">
      <c r="A237" s="307"/>
      <c r="B237" s="307"/>
    </row>
    <row r="238" spans="1:2" x14ac:dyDescent="0.25">
      <c r="A238" s="307"/>
      <c r="B238" s="307"/>
    </row>
    <row r="239" spans="1:2" x14ac:dyDescent="0.25">
      <c r="A239" s="307"/>
      <c r="B239" s="307"/>
    </row>
    <row r="240" spans="1:2" x14ac:dyDescent="0.25">
      <c r="A240" s="307"/>
      <c r="B240" s="307"/>
    </row>
    <row r="241" spans="1:2" x14ac:dyDescent="0.25">
      <c r="A241" s="307"/>
      <c r="B241" s="307"/>
    </row>
    <row r="242" spans="1:2" x14ac:dyDescent="0.25">
      <c r="A242" s="307"/>
      <c r="B242" s="307"/>
    </row>
    <row r="243" spans="1:2" x14ac:dyDescent="0.25">
      <c r="A243" s="307"/>
      <c r="B243" s="307"/>
    </row>
    <row r="244" spans="1:2" x14ac:dyDescent="0.25">
      <c r="A244" s="307"/>
      <c r="B244" s="307"/>
    </row>
    <row r="245" spans="1:2" x14ac:dyDescent="0.25">
      <c r="A245" s="307"/>
      <c r="B245" s="307"/>
    </row>
    <row r="246" spans="1:2" x14ac:dyDescent="0.25">
      <c r="A246" s="307"/>
      <c r="B246" s="307"/>
    </row>
    <row r="247" spans="1:2" x14ac:dyDescent="0.25">
      <c r="A247" s="307"/>
      <c r="B247" s="307"/>
    </row>
    <row r="248" spans="1:2" x14ac:dyDescent="0.25">
      <c r="A248" s="307"/>
      <c r="B248" s="307"/>
    </row>
    <row r="249" spans="1:2" x14ac:dyDescent="0.25">
      <c r="A249" s="307"/>
      <c r="B249" s="307"/>
    </row>
    <row r="250" spans="1:2" x14ac:dyDescent="0.25">
      <c r="A250" s="307"/>
      <c r="B250" s="307"/>
    </row>
    <row r="251" spans="1:2" x14ac:dyDescent="0.25">
      <c r="A251" s="307"/>
      <c r="B251" s="307"/>
    </row>
    <row r="252" spans="1:2" x14ac:dyDescent="0.25">
      <c r="A252" s="307"/>
      <c r="B252" s="307"/>
    </row>
    <row r="253" spans="1:2" x14ac:dyDescent="0.25">
      <c r="A253" s="307"/>
      <c r="B253" s="307"/>
    </row>
    <row r="254" spans="1:2" x14ac:dyDescent="0.25">
      <c r="A254" s="307"/>
      <c r="B254" s="307"/>
    </row>
    <row r="255" spans="1:2" x14ac:dyDescent="0.25">
      <c r="A255" s="307"/>
      <c r="B255" s="307"/>
    </row>
    <row r="256" spans="1:2" x14ac:dyDescent="0.25">
      <c r="A256" s="307"/>
      <c r="B256" s="307"/>
    </row>
    <row r="257" spans="1:2" x14ac:dyDescent="0.25">
      <c r="A257" s="307"/>
      <c r="B257" s="307"/>
    </row>
    <row r="258" spans="1:2" x14ac:dyDescent="0.25">
      <c r="A258" s="307"/>
      <c r="B258" s="307"/>
    </row>
    <row r="259" spans="1:2" x14ac:dyDescent="0.25">
      <c r="A259" s="307"/>
      <c r="B259" s="307"/>
    </row>
    <row r="260" spans="1:2" x14ac:dyDescent="0.25">
      <c r="A260" s="307"/>
      <c r="B260" s="307"/>
    </row>
    <row r="261" spans="1:2" x14ac:dyDescent="0.25">
      <c r="A261" s="307"/>
      <c r="B261" s="307"/>
    </row>
    <row r="262" spans="1:2" x14ac:dyDescent="0.25">
      <c r="A262" s="307"/>
      <c r="B262" s="307"/>
    </row>
    <row r="263" spans="1:2" x14ac:dyDescent="0.25">
      <c r="A263" s="307"/>
      <c r="B263" s="307"/>
    </row>
    <row r="264" spans="1:2" x14ac:dyDescent="0.25">
      <c r="A264" s="307"/>
      <c r="B264" s="307"/>
    </row>
    <row r="265" spans="1:2" x14ac:dyDescent="0.25">
      <c r="A265" s="307"/>
      <c r="B265" s="307"/>
    </row>
    <row r="266" spans="1:2" x14ac:dyDescent="0.25">
      <c r="A266" s="307"/>
      <c r="B266" s="307"/>
    </row>
    <row r="267" spans="1:2" x14ac:dyDescent="0.25">
      <c r="A267" s="307"/>
      <c r="B267" s="307"/>
    </row>
    <row r="268" spans="1:2" x14ac:dyDescent="0.25">
      <c r="A268" s="307"/>
      <c r="B268" s="307"/>
    </row>
    <row r="269" spans="1:2" x14ac:dyDescent="0.25">
      <c r="A269" s="307"/>
      <c r="B269" s="307"/>
    </row>
    <row r="270" spans="1:2" x14ac:dyDescent="0.25">
      <c r="A270" s="307"/>
      <c r="B270" s="307"/>
    </row>
    <row r="271" spans="1:2" x14ac:dyDescent="0.25">
      <c r="A271" s="307"/>
      <c r="B271" s="307"/>
    </row>
    <row r="272" spans="1:2" x14ac:dyDescent="0.25">
      <c r="A272" s="307"/>
      <c r="B272" s="307"/>
    </row>
    <row r="273" spans="1:2" x14ac:dyDescent="0.25">
      <c r="A273" s="307"/>
      <c r="B273" s="307"/>
    </row>
    <row r="274" spans="1:2" x14ac:dyDescent="0.25">
      <c r="A274" s="307"/>
      <c r="B274" s="307"/>
    </row>
    <row r="275" spans="1:2" x14ac:dyDescent="0.25">
      <c r="A275" s="307"/>
      <c r="B275" s="307"/>
    </row>
    <row r="276" spans="1:2" x14ac:dyDescent="0.25">
      <c r="A276" s="307"/>
      <c r="B276" s="307"/>
    </row>
    <row r="277" spans="1:2" x14ac:dyDescent="0.25">
      <c r="A277" s="307"/>
      <c r="B277" s="307"/>
    </row>
    <row r="278" spans="1:2" x14ac:dyDescent="0.25">
      <c r="A278" s="307"/>
      <c r="B278" s="307"/>
    </row>
    <row r="279" spans="1:2" x14ac:dyDescent="0.25">
      <c r="A279" s="307"/>
      <c r="B279" s="307"/>
    </row>
    <row r="280" spans="1:2" x14ac:dyDescent="0.25">
      <c r="A280" s="307"/>
      <c r="B280" s="307"/>
    </row>
    <row r="281" spans="1:2" x14ac:dyDescent="0.25">
      <c r="A281" s="307"/>
      <c r="B281" s="307"/>
    </row>
    <row r="282" spans="1:2" x14ac:dyDescent="0.25">
      <c r="A282" s="307"/>
      <c r="B282" s="307"/>
    </row>
    <row r="283" spans="1:2" x14ac:dyDescent="0.25">
      <c r="A283" s="307"/>
      <c r="B283" s="307"/>
    </row>
    <row r="284" spans="1:2" x14ac:dyDescent="0.25">
      <c r="A284" s="307"/>
      <c r="B284" s="307"/>
    </row>
    <row r="285" spans="1:2" x14ac:dyDescent="0.25">
      <c r="A285" s="307"/>
      <c r="B285" s="307"/>
    </row>
    <row r="286" spans="1:2" x14ac:dyDescent="0.25">
      <c r="A286" s="307"/>
      <c r="B286" s="307"/>
    </row>
    <row r="287" spans="1:2" x14ac:dyDescent="0.25">
      <c r="A287" s="307"/>
      <c r="B287" s="307"/>
    </row>
    <row r="288" spans="1:2" x14ac:dyDescent="0.25">
      <c r="A288" s="307"/>
      <c r="B288" s="307"/>
    </row>
    <row r="289" spans="1:2" x14ac:dyDescent="0.25">
      <c r="A289" s="307"/>
      <c r="B289" s="307"/>
    </row>
    <row r="290" spans="1:2" x14ac:dyDescent="0.25">
      <c r="A290" s="307"/>
      <c r="B290" s="307"/>
    </row>
    <row r="291" spans="1:2" x14ac:dyDescent="0.25">
      <c r="A291" s="307"/>
      <c r="B291" s="307"/>
    </row>
    <row r="292" spans="1:2" x14ac:dyDescent="0.25">
      <c r="A292" s="307"/>
      <c r="B292" s="307"/>
    </row>
    <row r="293" spans="1:2" x14ac:dyDescent="0.25">
      <c r="A293" s="307"/>
      <c r="B293" s="307"/>
    </row>
    <row r="294" spans="1:2" x14ac:dyDescent="0.25">
      <c r="A294" s="307"/>
      <c r="B294" s="307"/>
    </row>
    <row r="295" spans="1:2" x14ac:dyDescent="0.25">
      <c r="A295" s="307"/>
      <c r="B295" s="307"/>
    </row>
    <row r="296" spans="1:2" x14ac:dyDescent="0.25">
      <c r="A296" s="307"/>
      <c r="B296" s="307"/>
    </row>
    <row r="297" spans="1:2" x14ac:dyDescent="0.25">
      <c r="A297" s="307"/>
      <c r="B297" s="307"/>
    </row>
    <row r="298" spans="1:2" x14ac:dyDescent="0.25">
      <c r="A298" s="307"/>
      <c r="B298" s="307"/>
    </row>
    <row r="299" spans="1:2" x14ac:dyDescent="0.25">
      <c r="A299" s="307"/>
      <c r="B299" s="307"/>
    </row>
    <row r="300" spans="1:2" x14ac:dyDescent="0.25">
      <c r="A300" s="307"/>
      <c r="B300" s="307"/>
    </row>
    <row r="301" spans="1:2" x14ac:dyDescent="0.25">
      <c r="A301" s="307"/>
      <c r="B301" s="307"/>
    </row>
    <row r="302" spans="1:2" x14ac:dyDescent="0.25">
      <c r="A302" s="307"/>
      <c r="B302" s="307"/>
    </row>
    <row r="303" spans="1:2" x14ac:dyDescent="0.25">
      <c r="A303" s="307"/>
      <c r="B303" s="307"/>
    </row>
    <row r="304" spans="1:2" x14ac:dyDescent="0.25">
      <c r="A304" s="307"/>
      <c r="B304" s="307"/>
    </row>
    <row r="305" spans="1:2" x14ac:dyDescent="0.25">
      <c r="A305" s="307"/>
      <c r="B305" s="307"/>
    </row>
    <row r="306" spans="1:2" x14ac:dyDescent="0.25">
      <c r="A306" s="307"/>
      <c r="B306" s="307"/>
    </row>
    <row r="307" spans="1:2" x14ac:dyDescent="0.25">
      <c r="A307" s="307"/>
      <c r="B307" s="307"/>
    </row>
    <row r="308" spans="1:2" x14ac:dyDescent="0.25">
      <c r="A308" s="307"/>
      <c r="B308" s="307"/>
    </row>
    <row r="309" spans="1:2" x14ac:dyDescent="0.25">
      <c r="A309" s="307"/>
      <c r="B309" s="307"/>
    </row>
    <row r="310" spans="1:2" x14ac:dyDescent="0.25">
      <c r="A310" s="307"/>
      <c r="B310" s="307"/>
    </row>
    <row r="311" spans="1:2" x14ac:dyDescent="0.25">
      <c r="A311" s="307"/>
      <c r="B311" s="307"/>
    </row>
    <row r="312" spans="1:2" x14ac:dyDescent="0.25">
      <c r="A312" s="307"/>
      <c r="B312" s="307"/>
    </row>
    <row r="313" spans="1:2" x14ac:dyDescent="0.25">
      <c r="A313" s="307"/>
      <c r="B313" s="307"/>
    </row>
    <row r="314" spans="1:2" x14ac:dyDescent="0.25">
      <c r="A314" s="307"/>
      <c r="B314" s="307"/>
    </row>
    <row r="315" spans="1:2" x14ac:dyDescent="0.25">
      <c r="A315" s="307"/>
      <c r="B315" s="307"/>
    </row>
    <row r="316" spans="1:2" x14ac:dyDescent="0.25">
      <c r="A316" s="307"/>
      <c r="B316" s="307"/>
    </row>
    <row r="317" spans="1:2" x14ac:dyDescent="0.25">
      <c r="A317" s="307"/>
      <c r="B317" s="307"/>
    </row>
    <row r="318" spans="1:2" x14ac:dyDescent="0.25">
      <c r="A318" s="307"/>
      <c r="B318" s="307"/>
    </row>
    <row r="319" spans="1:2" x14ac:dyDescent="0.25">
      <c r="A319" s="307"/>
      <c r="B319" s="307"/>
    </row>
    <row r="320" spans="1:2" x14ac:dyDescent="0.25">
      <c r="A320" s="307"/>
      <c r="B320" s="307"/>
    </row>
    <row r="321" spans="1:2" x14ac:dyDescent="0.25">
      <c r="A321" s="307"/>
      <c r="B321" s="307"/>
    </row>
    <row r="322" spans="1:2" x14ac:dyDescent="0.25">
      <c r="A322" s="307"/>
      <c r="B322" s="307"/>
    </row>
    <row r="323" spans="1:2" x14ac:dyDescent="0.25">
      <c r="A323" s="307"/>
      <c r="B323" s="307"/>
    </row>
    <row r="324" spans="1:2" x14ac:dyDescent="0.25">
      <c r="A324" s="307"/>
      <c r="B324" s="307"/>
    </row>
    <row r="325" spans="1:2" x14ac:dyDescent="0.25">
      <c r="A325" s="307"/>
      <c r="B325" s="307"/>
    </row>
    <row r="326" spans="1:2" x14ac:dyDescent="0.25">
      <c r="A326" s="307"/>
      <c r="B326" s="307"/>
    </row>
    <row r="327" spans="1:2" x14ac:dyDescent="0.25">
      <c r="A327" s="307"/>
      <c r="B327" s="307"/>
    </row>
    <row r="328" spans="1:2" x14ac:dyDescent="0.25">
      <c r="A328" s="307"/>
      <c r="B328" s="307"/>
    </row>
    <row r="329" spans="1:2" x14ac:dyDescent="0.25">
      <c r="A329" s="307"/>
      <c r="B329" s="307"/>
    </row>
    <row r="330" spans="1:2" x14ac:dyDescent="0.25">
      <c r="A330" s="307"/>
      <c r="B330" s="307"/>
    </row>
    <row r="331" spans="1:2" x14ac:dyDescent="0.25">
      <c r="A331" s="307"/>
      <c r="B331" s="307"/>
    </row>
    <row r="332" spans="1:2" x14ac:dyDescent="0.25">
      <c r="A332" s="307"/>
      <c r="B332" s="307"/>
    </row>
    <row r="333" spans="1:2" x14ac:dyDescent="0.25">
      <c r="A333" s="307"/>
      <c r="B333" s="307"/>
    </row>
    <row r="334" spans="1:2" x14ac:dyDescent="0.25">
      <c r="A334" s="307"/>
      <c r="B334" s="307"/>
    </row>
    <row r="335" spans="1:2" x14ac:dyDescent="0.25">
      <c r="A335" s="307"/>
      <c r="B335" s="307"/>
    </row>
    <row r="336" spans="1:2" x14ac:dyDescent="0.25">
      <c r="A336" s="307"/>
      <c r="B336" s="307"/>
    </row>
    <row r="337" spans="1:2" x14ac:dyDescent="0.25">
      <c r="A337" s="307"/>
      <c r="B337" s="307"/>
    </row>
    <row r="338" spans="1:2" x14ac:dyDescent="0.25">
      <c r="A338" s="307"/>
      <c r="B338" s="307"/>
    </row>
    <row r="339" spans="1:2" x14ac:dyDescent="0.25">
      <c r="A339" s="307"/>
      <c r="B339" s="307"/>
    </row>
    <row r="340" spans="1:2" x14ac:dyDescent="0.25">
      <c r="A340" s="307"/>
      <c r="B340" s="307"/>
    </row>
    <row r="341" spans="1:2" x14ac:dyDescent="0.25">
      <c r="A341" s="307"/>
      <c r="B341" s="307"/>
    </row>
    <row r="342" spans="1:2" x14ac:dyDescent="0.25">
      <c r="A342" s="307"/>
      <c r="B342" s="307"/>
    </row>
    <row r="343" spans="1:2" x14ac:dyDescent="0.25">
      <c r="A343" s="307"/>
      <c r="B343" s="307"/>
    </row>
    <row r="344" spans="1:2" x14ac:dyDescent="0.25">
      <c r="A344" s="307"/>
      <c r="B344" s="307"/>
    </row>
    <row r="345" spans="1:2" x14ac:dyDescent="0.25">
      <c r="A345" s="307"/>
      <c r="B345" s="307"/>
    </row>
    <row r="346" spans="1:2" x14ac:dyDescent="0.25">
      <c r="A346" s="307"/>
      <c r="B346" s="307"/>
    </row>
    <row r="347" spans="1:2" x14ac:dyDescent="0.25">
      <c r="A347" s="307"/>
      <c r="B347" s="307"/>
    </row>
    <row r="348" spans="1:2" x14ac:dyDescent="0.25">
      <c r="A348" s="307"/>
      <c r="B348" s="307"/>
    </row>
    <row r="349" spans="1:2" x14ac:dyDescent="0.25">
      <c r="A349" s="307"/>
      <c r="B349" s="307"/>
    </row>
    <row r="350" spans="1:2" x14ac:dyDescent="0.25">
      <c r="A350" s="307"/>
      <c r="B350" s="307"/>
    </row>
    <row r="351" spans="1:2" x14ac:dyDescent="0.25">
      <c r="A351" s="307"/>
      <c r="B351" s="307"/>
    </row>
    <row r="352" spans="1:2" x14ac:dyDescent="0.25">
      <c r="A352" s="307"/>
      <c r="B352" s="307"/>
    </row>
    <row r="353" spans="1:2" x14ac:dyDescent="0.25">
      <c r="A353" s="307"/>
      <c r="B353" s="307"/>
    </row>
    <row r="354" spans="1:2" x14ac:dyDescent="0.25">
      <c r="A354" s="307"/>
      <c r="B354" s="307"/>
    </row>
    <row r="355" spans="1:2" x14ac:dyDescent="0.25">
      <c r="A355" s="307"/>
      <c r="B355" s="307"/>
    </row>
    <row r="356" spans="1:2" x14ac:dyDescent="0.25">
      <c r="A356" s="307"/>
      <c r="B356" s="307"/>
    </row>
    <row r="357" spans="1:2" x14ac:dyDescent="0.25">
      <c r="A357" s="307"/>
      <c r="B357" s="307"/>
    </row>
    <row r="358" spans="1:2" x14ac:dyDescent="0.25">
      <c r="A358" s="307"/>
      <c r="B358" s="307"/>
    </row>
    <row r="359" spans="1:2" x14ac:dyDescent="0.25">
      <c r="A359" s="307"/>
      <c r="B359" s="307"/>
    </row>
    <row r="360" spans="1:2" x14ac:dyDescent="0.25">
      <c r="A360" s="307"/>
      <c r="B360" s="307"/>
    </row>
    <row r="361" spans="1:2" x14ac:dyDescent="0.25">
      <c r="A361" s="307"/>
      <c r="B361" s="307"/>
    </row>
    <row r="362" spans="1:2" x14ac:dyDescent="0.25">
      <c r="A362" s="307"/>
      <c r="B362" s="307"/>
    </row>
    <row r="363" spans="1:2" x14ac:dyDescent="0.25">
      <c r="A363" s="307"/>
      <c r="B363" s="307"/>
    </row>
    <row r="364" spans="1:2" x14ac:dyDescent="0.25">
      <c r="A364" s="307"/>
      <c r="B364" s="307"/>
    </row>
    <row r="365" spans="1:2" x14ac:dyDescent="0.25">
      <c r="A365" s="307"/>
      <c r="B365" s="307"/>
    </row>
    <row r="366" spans="1:2" x14ac:dyDescent="0.25">
      <c r="A366" s="307"/>
      <c r="B366" s="307"/>
    </row>
    <row r="367" spans="1:2" x14ac:dyDescent="0.25">
      <c r="A367" s="307"/>
      <c r="B367" s="307"/>
    </row>
    <row r="368" spans="1:2" x14ac:dyDescent="0.25">
      <c r="A368" s="307"/>
      <c r="B368" s="307"/>
    </row>
    <row r="369" spans="1:2" x14ac:dyDescent="0.25">
      <c r="A369" s="307"/>
      <c r="B369" s="307"/>
    </row>
    <row r="370" spans="1:2" x14ac:dyDescent="0.25">
      <c r="A370" s="307"/>
      <c r="B370" s="307"/>
    </row>
    <row r="371" spans="1:2" x14ac:dyDescent="0.25">
      <c r="A371" s="307"/>
      <c r="B371" s="307"/>
    </row>
    <row r="372" spans="1:2" x14ac:dyDescent="0.25">
      <c r="A372" s="307"/>
      <c r="B372" s="307"/>
    </row>
    <row r="373" spans="1:2" x14ac:dyDescent="0.25">
      <c r="A373" s="307"/>
      <c r="B373" s="307"/>
    </row>
    <row r="374" spans="1:2" x14ac:dyDescent="0.25">
      <c r="A374" s="307"/>
      <c r="B374" s="307"/>
    </row>
    <row r="375" spans="1:2" x14ac:dyDescent="0.25">
      <c r="A375" s="307"/>
      <c r="B375" s="307"/>
    </row>
    <row r="376" spans="1:2" x14ac:dyDescent="0.25">
      <c r="A376" s="307"/>
      <c r="B376" s="307"/>
    </row>
    <row r="377" spans="1:2" x14ac:dyDescent="0.25">
      <c r="A377" s="307"/>
      <c r="B377" s="307"/>
    </row>
    <row r="378" spans="1:2" x14ac:dyDescent="0.25">
      <c r="A378" s="307"/>
      <c r="B378" s="307"/>
    </row>
    <row r="379" spans="1:2" x14ac:dyDescent="0.25">
      <c r="A379" s="307"/>
      <c r="B379" s="307"/>
    </row>
    <row r="380" spans="1:2" x14ac:dyDescent="0.25">
      <c r="A380" s="307"/>
      <c r="B380" s="307"/>
    </row>
    <row r="381" spans="1:2" x14ac:dyDescent="0.25">
      <c r="A381" s="307"/>
      <c r="B381" s="307"/>
    </row>
    <row r="382" spans="1:2" x14ac:dyDescent="0.25">
      <c r="A382" s="307"/>
      <c r="B382" s="307"/>
    </row>
    <row r="383" spans="1:2" x14ac:dyDescent="0.25">
      <c r="A383" s="307"/>
      <c r="B383" s="307"/>
    </row>
    <row r="384" spans="1:2" x14ac:dyDescent="0.25">
      <c r="A384" s="307"/>
      <c r="B384" s="307"/>
    </row>
    <row r="385" spans="1:2" x14ac:dyDescent="0.25">
      <c r="A385" s="307"/>
      <c r="B385" s="307"/>
    </row>
    <row r="386" spans="1:2" x14ac:dyDescent="0.25">
      <c r="A386" s="307"/>
      <c r="B386" s="307"/>
    </row>
    <row r="387" spans="1:2" x14ac:dyDescent="0.25">
      <c r="A387" s="307"/>
      <c r="B387" s="307"/>
    </row>
    <row r="388" spans="1:2" x14ac:dyDescent="0.25">
      <c r="A388" s="307"/>
      <c r="B388" s="307"/>
    </row>
    <row r="389" spans="1:2" x14ac:dyDescent="0.25">
      <c r="A389" s="307"/>
      <c r="B389" s="307"/>
    </row>
    <row r="390" spans="1:2" x14ac:dyDescent="0.25">
      <c r="A390" s="307"/>
      <c r="B390" s="307"/>
    </row>
    <row r="391" spans="1:2" x14ac:dyDescent="0.25">
      <c r="A391" s="307"/>
      <c r="B391" s="307"/>
    </row>
    <row r="392" spans="1:2" x14ac:dyDescent="0.25">
      <c r="A392" s="307"/>
      <c r="B392" s="307"/>
    </row>
    <row r="393" spans="1:2" x14ac:dyDescent="0.25">
      <c r="A393" s="307"/>
      <c r="B393" s="307"/>
    </row>
    <row r="394" spans="1:2" x14ac:dyDescent="0.25">
      <c r="A394" s="307"/>
      <c r="B394" s="307"/>
    </row>
    <row r="395" spans="1:2" x14ac:dyDescent="0.25">
      <c r="A395" s="307"/>
      <c r="B395" s="307"/>
    </row>
    <row r="396" spans="1:2" x14ac:dyDescent="0.25">
      <c r="A396" s="307"/>
      <c r="B396" s="307"/>
    </row>
    <row r="397" spans="1:2" x14ac:dyDescent="0.25">
      <c r="A397" s="307"/>
      <c r="B397" s="307"/>
    </row>
    <row r="398" spans="1:2" x14ac:dyDescent="0.25">
      <c r="A398" s="307"/>
      <c r="B398" s="307"/>
    </row>
    <row r="399" spans="1:2" x14ac:dyDescent="0.25">
      <c r="A399" s="307"/>
      <c r="B399" s="307"/>
    </row>
    <row r="400" spans="1:2" x14ac:dyDescent="0.25">
      <c r="A400" s="307"/>
      <c r="B400" s="307"/>
    </row>
    <row r="401" spans="1:2" x14ac:dyDescent="0.25">
      <c r="A401" s="307"/>
      <c r="B401" s="307"/>
    </row>
    <row r="402" spans="1:2" x14ac:dyDescent="0.25">
      <c r="A402" s="307"/>
      <c r="B402" s="307"/>
    </row>
    <row r="403" spans="1:2" x14ac:dyDescent="0.25">
      <c r="A403" s="307"/>
      <c r="B403" s="307"/>
    </row>
    <row r="404" spans="1:2" x14ac:dyDescent="0.25">
      <c r="A404" s="307"/>
      <c r="B404" s="307"/>
    </row>
    <row r="405" spans="1:2" x14ac:dyDescent="0.25">
      <c r="A405" s="307"/>
      <c r="B405" s="307"/>
    </row>
    <row r="406" spans="1:2" x14ac:dyDescent="0.25">
      <c r="A406" s="307"/>
      <c r="B406" s="307"/>
    </row>
    <row r="407" spans="1:2" x14ac:dyDescent="0.25">
      <c r="A407" s="307"/>
      <c r="B407" s="307"/>
    </row>
    <row r="408" spans="1:2" x14ac:dyDescent="0.25">
      <c r="A408" s="307"/>
      <c r="B408" s="307"/>
    </row>
    <row r="409" spans="1:2" x14ac:dyDescent="0.25">
      <c r="A409" s="307"/>
      <c r="B409" s="307"/>
    </row>
    <row r="410" spans="1:2" x14ac:dyDescent="0.25">
      <c r="A410" s="307"/>
      <c r="B410" s="307"/>
    </row>
    <row r="411" spans="1:2" x14ac:dyDescent="0.25">
      <c r="A411" s="307"/>
      <c r="B411" s="307"/>
    </row>
    <row r="412" spans="1:2" x14ac:dyDescent="0.25">
      <c r="A412" s="307"/>
      <c r="B412" s="307"/>
    </row>
    <row r="413" spans="1:2" x14ac:dyDescent="0.25">
      <c r="A413" s="307"/>
      <c r="B413" s="307"/>
    </row>
    <row r="414" spans="1:2" x14ac:dyDescent="0.25">
      <c r="A414" s="307"/>
      <c r="B414" s="307"/>
    </row>
    <row r="415" spans="1:2" x14ac:dyDescent="0.25">
      <c r="A415" s="307"/>
      <c r="B415" s="307"/>
    </row>
    <row r="416" spans="1:2" x14ac:dyDescent="0.25">
      <c r="A416" s="307"/>
      <c r="B416" s="307"/>
    </row>
    <row r="417" spans="1:2" x14ac:dyDescent="0.25">
      <c r="A417" s="307"/>
      <c r="B417" s="307"/>
    </row>
    <row r="418" spans="1:2" x14ac:dyDescent="0.25">
      <c r="A418" s="307"/>
      <c r="B418" s="307"/>
    </row>
    <row r="419" spans="1:2" x14ac:dyDescent="0.25">
      <c r="A419" s="307"/>
      <c r="B419" s="307"/>
    </row>
    <row r="420" spans="1:2" x14ac:dyDescent="0.25">
      <c r="A420" s="307"/>
      <c r="B420" s="307"/>
    </row>
    <row r="421" spans="1:2" x14ac:dyDescent="0.25">
      <c r="A421" s="307"/>
      <c r="B421" s="307"/>
    </row>
    <row r="422" spans="1:2" x14ac:dyDescent="0.25">
      <c r="A422" s="307"/>
      <c r="B422" s="307"/>
    </row>
    <row r="423" spans="1:2" x14ac:dyDescent="0.25">
      <c r="A423" s="307"/>
      <c r="B423" s="307"/>
    </row>
    <row r="424" spans="1:2" x14ac:dyDescent="0.25">
      <c r="A424" s="307"/>
      <c r="B424" s="307"/>
    </row>
    <row r="425" spans="1:2" x14ac:dyDescent="0.25">
      <c r="A425" s="307"/>
      <c r="B425" s="307"/>
    </row>
    <row r="426" spans="1:2" x14ac:dyDescent="0.25">
      <c r="A426" s="307"/>
      <c r="B426" s="307"/>
    </row>
    <row r="427" spans="1:2" x14ac:dyDescent="0.25">
      <c r="A427" s="307"/>
      <c r="B427" s="307"/>
    </row>
    <row r="428" spans="1:2" x14ac:dyDescent="0.25">
      <c r="A428" s="307"/>
      <c r="B428" s="307"/>
    </row>
    <row r="429" spans="1:2" x14ac:dyDescent="0.25">
      <c r="A429" s="307"/>
      <c r="B429" s="307"/>
    </row>
    <row r="430" spans="1:2" x14ac:dyDescent="0.25">
      <c r="A430" s="307"/>
      <c r="B430" s="307"/>
    </row>
    <row r="431" spans="1:2" x14ac:dyDescent="0.25">
      <c r="A431" s="307"/>
      <c r="B431" s="307"/>
    </row>
    <row r="432" spans="1:2" x14ac:dyDescent="0.25">
      <c r="A432" s="307"/>
      <c r="B432" s="307"/>
    </row>
    <row r="433" spans="1:2" x14ac:dyDescent="0.25">
      <c r="A433" s="307"/>
      <c r="B433" s="307"/>
    </row>
    <row r="434" spans="1:2" x14ac:dyDescent="0.25">
      <c r="A434" s="307"/>
      <c r="B434" s="307"/>
    </row>
    <row r="435" spans="1:2" x14ac:dyDescent="0.25">
      <c r="A435" s="307"/>
      <c r="B435" s="307"/>
    </row>
    <row r="436" spans="1:2" x14ac:dyDescent="0.25">
      <c r="A436" s="307"/>
      <c r="B436" s="307"/>
    </row>
    <row r="437" spans="1:2" x14ac:dyDescent="0.25">
      <c r="A437" s="307"/>
      <c r="B437" s="307"/>
    </row>
    <row r="438" spans="1:2" x14ac:dyDescent="0.25">
      <c r="A438" s="307"/>
      <c r="B438" s="307"/>
    </row>
    <row r="439" spans="1:2" x14ac:dyDescent="0.25">
      <c r="A439" s="307"/>
      <c r="B439" s="307"/>
    </row>
    <row r="440" spans="1:2" x14ac:dyDescent="0.25">
      <c r="A440" s="307"/>
      <c r="B440" s="307"/>
    </row>
    <row r="441" spans="1:2" x14ac:dyDescent="0.25">
      <c r="A441" s="307"/>
      <c r="B441" s="307"/>
    </row>
    <row r="442" spans="1:2" x14ac:dyDescent="0.25">
      <c r="A442" s="307"/>
      <c r="B442" s="307"/>
    </row>
    <row r="443" spans="1:2" x14ac:dyDescent="0.25">
      <c r="A443" s="307"/>
      <c r="B443" s="307"/>
    </row>
    <row r="444" spans="1:2" x14ac:dyDescent="0.25">
      <c r="A444" s="307"/>
      <c r="B444" s="307"/>
    </row>
    <row r="445" spans="1:2" x14ac:dyDescent="0.25">
      <c r="A445" s="307"/>
      <c r="B445" s="307"/>
    </row>
    <row r="446" spans="1:2" x14ac:dyDescent="0.25">
      <c r="A446" s="307"/>
      <c r="B446" s="307"/>
    </row>
    <row r="447" spans="1:2" x14ac:dyDescent="0.25">
      <c r="A447" s="307"/>
      <c r="B447" s="307"/>
    </row>
    <row r="448" spans="1:2" x14ac:dyDescent="0.25">
      <c r="A448" s="307"/>
      <c r="B448" s="307"/>
    </row>
    <row r="449" spans="1:2" x14ac:dyDescent="0.25">
      <c r="A449" s="307"/>
      <c r="B449" s="307"/>
    </row>
    <row r="450" spans="1:2" x14ac:dyDescent="0.25">
      <c r="A450" s="307"/>
      <c r="B450" s="307"/>
    </row>
    <row r="451" spans="1:2" x14ac:dyDescent="0.25">
      <c r="A451" s="307"/>
      <c r="B451" s="307"/>
    </row>
    <row r="452" spans="1:2" x14ac:dyDescent="0.25">
      <c r="A452" s="307"/>
      <c r="B452" s="307"/>
    </row>
    <row r="453" spans="1:2" x14ac:dyDescent="0.25">
      <c r="A453" s="307"/>
      <c r="B453" s="307"/>
    </row>
    <row r="454" spans="1:2" x14ac:dyDescent="0.25">
      <c r="A454" s="307"/>
      <c r="B454" s="307"/>
    </row>
    <row r="455" spans="1:2" x14ac:dyDescent="0.25">
      <c r="A455" s="307"/>
      <c r="B455" s="307"/>
    </row>
    <row r="456" spans="1:2" x14ac:dyDescent="0.25">
      <c r="A456" s="307"/>
      <c r="B456" s="307"/>
    </row>
    <row r="457" spans="1:2" x14ac:dyDescent="0.25">
      <c r="A457" s="307"/>
      <c r="B457" s="307"/>
    </row>
    <row r="458" spans="1:2" x14ac:dyDescent="0.25">
      <c r="A458" s="307"/>
      <c r="B458" s="307"/>
    </row>
    <row r="459" spans="1:2" x14ac:dyDescent="0.25">
      <c r="A459" s="307"/>
      <c r="B459" s="307"/>
    </row>
    <row r="460" spans="1:2" x14ac:dyDescent="0.25">
      <c r="A460" s="307"/>
      <c r="B460" s="307"/>
    </row>
    <row r="461" spans="1:2" x14ac:dyDescent="0.25">
      <c r="A461" s="307"/>
      <c r="B461" s="307"/>
    </row>
    <row r="462" spans="1:2" x14ac:dyDescent="0.25">
      <c r="A462" s="307"/>
      <c r="B462" s="307"/>
    </row>
    <row r="463" spans="1:2" x14ac:dyDescent="0.25">
      <c r="A463" s="307"/>
      <c r="B463" s="307"/>
    </row>
    <row r="464" spans="1:2" x14ac:dyDescent="0.25">
      <c r="A464" s="307"/>
      <c r="B464" s="307"/>
    </row>
    <row r="465" spans="1:2" x14ac:dyDescent="0.25">
      <c r="A465" s="307"/>
      <c r="B465" s="307"/>
    </row>
    <row r="466" spans="1:2" x14ac:dyDescent="0.25">
      <c r="A466" s="307"/>
      <c r="B466" s="307"/>
    </row>
    <row r="467" spans="1:2" x14ac:dyDescent="0.25">
      <c r="A467" s="307"/>
      <c r="B467" s="307"/>
    </row>
    <row r="468" spans="1:2" x14ac:dyDescent="0.25">
      <c r="A468" s="307"/>
      <c r="B468" s="307"/>
    </row>
    <row r="469" spans="1:2" x14ac:dyDescent="0.25">
      <c r="A469" s="307"/>
      <c r="B469" s="307"/>
    </row>
    <row r="470" spans="1:2" x14ac:dyDescent="0.25">
      <c r="A470" s="307"/>
      <c r="B470" s="307"/>
    </row>
    <row r="471" spans="1:2" x14ac:dyDescent="0.25">
      <c r="A471" s="307"/>
      <c r="B471" s="307"/>
    </row>
    <row r="472" spans="1:2" x14ac:dyDescent="0.25">
      <c r="A472" s="307"/>
      <c r="B472" s="307"/>
    </row>
    <row r="473" spans="1:2" x14ac:dyDescent="0.25">
      <c r="A473" s="307"/>
      <c r="B473" s="307"/>
    </row>
    <row r="474" spans="1:2" x14ac:dyDescent="0.25">
      <c r="A474" s="307"/>
      <c r="B474" s="307"/>
    </row>
    <row r="475" spans="1:2" x14ac:dyDescent="0.25">
      <c r="A475" s="307"/>
      <c r="B475" s="307"/>
    </row>
    <row r="476" spans="1:2" x14ac:dyDescent="0.25">
      <c r="A476" s="307"/>
      <c r="B476" s="307"/>
    </row>
    <row r="477" spans="1:2" x14ac:dyDescent="0.25">
      <c r="A477" s="307"/>
      <c r="B477" s="307"/>
    </row>
    <row r="478" spans="1:2" x14ac:dyDescent="0.25">
      <c r="A478" s="307"/>
      <c r="B478" s="307"/>
    </row>
    <row r="479" spans="1:2" x14ac:dyDescent="0.25">
      <c r="A479" s="307"/>
      <c r="B479" s="307"/>
    </row>
    <row r="480" spans="1:2" x14ac:dyDescent="0.25">
      <c r="A480" s="307"/>
      <c r="B480" s="307"/>
    </row>
    <row r="481" spans="1:2" x14ac:dyDescent="0.25">
      <c r="A481" s="307"/>
      <c r="B481" s="307"/>
    </row>
    <row r="482" spans="1:2" x14ac:dyDescent="0.25">
      <c r="A482" s="307"/>
      <c r="B482" s="307"/>
    </row>
    <row r="483" spans="1:2" x14ac:dyDescent="0.25">
      <c r="A483" s="307"/>
      <c r="B483" s="307"/>
    </row>
    <row r="484" spans="1:2" x14ac:dyDescent="0.25">
      <c r="A484" s="307"/>
      <c r="B484" s="307"/>
    </row>
    <row r="485" spans="1:2" x14ac:dyDescent="0.25">
      <c r="A485" s="307"/>
      <c r="B485" s="307"/>
    </row>
    <row r="486" spans="1:2" x14ac:dyDescent="0.25">
      <c r="A486" s="307"/>
      <c r="B486" s="307"/>
    </row>
    <row r="487" spans="1:2" x14ac:dyDescent="0.25">
      <c r="A487" s="307"/>
      <c r="B487" s="307"/>
    </row>
    <row r="488" spans="1:2" x14ac:dyDescent="0.25">
      <c r="A488" s="307"/>
      <c r="B488" s="307"/>
    </row>
    <row r="489" spans="1:2" x14ac:dyDescent="0.25">
      <c r="A489" s="307"/>
      <c r="B489" s="307"/>
    </row>
    <row r="490" spans="1:2" x14ac:dyDescent="0.25">
      <c r="A490" s="307"/>
      <c r="B490" s="307"/>
    </row>
    <row r="491" spans="1:2" x14ac:dyDescent="0.25">
      <c r="A491" s="307"/>
      <c r="B491" s="307"/>
    </row>
    <row r="492" spans="1:2" x14ac:dyDescent="0.25">
      <c r="A492" s="307"/>
      <c r="B492" s="307"/>
    </row>
    <row r="493" spans="1:2" x14ac:dyDescent="0.25">
      <c r="A493" s="307"/>
      <c r="B493" s="307"/>
    </row>
    <row r="494" spans="1:2" x14ac:dyDescent="0.25">
      <c r="A494" s="307"/>
      <c r="B494" s="307"/>
    </row>
    <row r="495" spans="1:2" x14ac:dyDescent="0.25">
      <c r="A495" s="307"/>
      <c r="B495" s="307"/>
    </row>
    <row r="496" spans="1:2" x14ac:dyDescent="0.25">
      <c r="A496" s="307"/>
      <c r="B496" s="307"/>
    </row>
    <row r="497" spans="1:2" x14ac:dyDescent="0.25">
      <c r="A497" s="307"/>
      <c r="B497" s="307"/>
    </row>
    <row r="498" spans="1:2" x14ac:dyDescent="0.25">
      <c r="A498" s="307"/>
      <c r="B498" s="307"/>
    </row>
    <row r="499" spans="1:2" x14ac:dyDescent="0.25">
      <c r="A499" s="307"/>
      <c r="B499" s="307"/>
    </row>
    <row r="500" spans="1:2" x14ac:dyDescent="0.25">
      <c r="A500" s="307"/>
      <c r="B500" s="307"/>
    </row>
    <row r="501" spans="1:2" x14ac:dyDescent="0.25">
      <c r="A501" s="307"/>
      <c r="B501" s="307"/>
    </row>
    <row r="502" spans="1:2" x14ac:dyDescent="0.25">
      <c r="A502" s="307"/>
      <c r="B502" s="307"/>
    </row>
    <row r="503" spans="1:2" x14ac:dyDescent="0.25">
      <c r="A503" s="307"/>
      <c r="B503" s="307"/>
    </row>
    <row r="504" spans="1:2" x14ac:dyDescent="0.25">
      <c r="A504" s="307"/>
      <c r="B504" s="307"/>
    </row>
    <row r="505" spans="1:2" x14ac:dyDescent="0.25">
      <c r="A505" s="307"/>
      <c r="B505" s="307"/>
    </row>
    <row r="506" spans="1:2" x14ac:dyDescent="0.25">
      <c r="A506" s="307"/>
      <c r="B506" s="307"/>
    </row>
    <row r="507" spans="1:2" x14ac:dyDescent="0.25">
      <c r="A507" s="307"/>
      <c r="B507" s="307"/>
    </row>
    <row r="508" spans="1:2" x14ac:dyDescent="0.25">
      <c r="A508" s="307"/>
      <c r="B508" s="307"/>
    </row>
    <row r="509" spans="1:2" x14ac:dyDescent="0.25">
      <c r="A509" s="307"/>
      <c r="B509" s="307"/>
    </row>
    <row r="510" spans="1:2" x14ac:dyDescent="0.25">
      <c r="A510" s="307"/>
      <c r="B510" s="307"/>
    </row>
    <row r="511" spans="1:2" x14ac:dyDescent="0.25">
      <c r="A511" s="307"/>
      <c r="B511" s="307"/>
    </row>
    <row r="512" spans="1:2" x14ac:dyDescent="0.25">
      <c r="A512" s="307"/>
      <c r="B512" s="307"/>
    </row>
    <row r="513" spans="1:2" x14ac:dyDescent="0.25">
      <c r="A513" s="307"/>
      <c r="B513" s="307"/>
    </row>
    <row r="514" spans="1:2" x14ac:dyDescent="0.25">
      <c r="A514" s="307"/>
      <c r="B514" s="307"/>
    </row>
    <row r="515" spans="1:2" x14ac:dyDescent="0.25">
      <c r="A515" s="307"/>
      <c r="B515" s="307"/>
    </row>
    <row r="516" spans="1:2" x14ac:dyDescent="0.25">
      <c r="A516" s="307"/>
      <c r="B516" s="307"/>
    </row>
    <row r="517" spans="1:2" x14ac:dyDescent="0.25">
      <c r="A517" s="307"/>
      <c r="B517" s="307"/>
    </row>
    <row r="518" spans="1:2" x14ac:dyDescent="0.25">
      <c r="A518" s="307"/>
      <c r="B518" s="307"/>
    </row>
    <row r="519" spans="1:2" x14ac:dyDescent="0.25">
      <c r="A519" s="307"/>
      <c r="B519" s="307"/>
    </row>
    <row r="520" spans="1:2" x14ac:dyDescent="0.25">
      <c r="A520" s="307"/>
      <c r="B520" s="307"/>
    </row>
    <row r="521" spans="1:2" x14ac:dyDescent="0.25">
      <c r="A521" s="307"/>
      <c r="B521" s="307"/>
    </row>
    <row r="522" spans="1:2" x14ac:dyDescent="0.25">
      <c r="A522" s="307"/>
      <c r="B522" s="307"/>
    </row>
    <row r="523" spans="1:2" x14ac:dyDescent="0.25">
      <c r="A523" s="307"/>
      <c r="B523" s="307"/>
    </row>
    <row r="524" spans="1:2" x14ac:dyDescent="0.25">
      <c r="A524" s="307"/>
      <c r="B524" s="307"/>
    </row>
    <row r="525" spans="1:2" x14ac:dyDescent="0.25">
      <c r="A525" s="307"/>
      <c r="B525" s="307"/>
    </row>
    <row r="526" spans="1:2" x14ac:dyDescent="0.25">
      <c r="A526" s="307"/>
      <c r="B526" s="307"/>
    </row>
    <row r="527" spans="1:2" x14ac:dyDescent="0.25">
      <c r="A527" s="307"/>
      <c r="B527" s="307"/>
    </row>
    <row r="528" spans="1:2" x14ac:dyDescent="0.25">
      <c r="A528" s="307"/>
      <c r="B528" s="307"/>
    </row>
    <row r="529" spans="1:2" x14ac:dyDescent="0.25">
      <c r="A529" s="307"/>
      <c r="B529" s="307"/>
    </row>
    <row r="530" spans="1:2" x14ac:dyDescent="0.25">
      <c r="A530" s="307"/>
      <c r="B530" s="307"/>
    </row>
    <row r="531" spans="1:2" x14ac:dyDescent="0.25">
      <c r="A531" s="307"/>
      <c r="B531" s="307"/>
    </row>
    <row r="532" spans="1:2" x14ac:dyDescent="0.25">
      <c r="A532" s="307"/>
      <c r="B532" s="307"/>
    </row>
    <row r="533" spans="1:2" x14ac:dyDescent="0.25">
      <c r="A533" s="307"/>
      <c r="B533" s="307"/>
    </row>
    <row r="534" spans="1:2" x14ac:dyDescent="0.25">
      <c r="A534" s="307"/>
      <c r="B534" s="307"/>
    </row>
    <row r="535" spans="1:2" x14ac:dyDescent="0.25">
      <c r="A535" s="307"/>
      <c r="B535" s="307"/>
    </row>
    <row r="536" spans="1:2" x14ac:dyDescent="0.25">
      <c r="A536" s="307"/>
      <c r="B536" s="307"/>
    </row>
    <row r="537" spans="1:2" x14ac:dyDescent="0.25">
      <c r="A537" s="307"/>
      <c r="B537" s="307"/>
    </row>
    <row r="538" spans="1:2" x14ac:dyDescent="0.25">
      <c r="A538" s="307"/>
      <c r="B538" s="307"/>
    </row>
    <row r="539" spans="1:2" x14ac:dyDescent="0.25">
      <c r="A539" s="307"/>
      <c r="B539" s="307"/>
    </row>
    <row r="540" spans="1:2" x14ac:dyDescent="0.25">
      <c r="A540" s="307"/>
      <c r="B540" s="307"/>
    </row>
    <row r="541" spans="1:2" x14ac:dyDescent="0.25">
      <c r="A541" s="307"/>
      <c r="B541" s="307"/>
    </row>
    <row r="542" spans="1:2" x14ac:dyDescent="0.25">
      <c r="A542" s="307"/>
      <c r="B542" s="307"/>
    </row>
    <row r="543" spans="1:2" x14ac:dyDescent="0.25">
      <c r="A543" s="307"/>
      <c r="B543" s="307"/>
    </row>
    <row r="544" spans="1:2" x14ac:dyDescent="0.25">
      <c r="A544" s="307"/>
      <c r="B544" s="307"/>
    </row>
    <row r="545" spans="1:2" x14ac:dyDescent="0.25">
      <c r="A545" s="307"/>
      <c r="B545" s="307"/>
    </row>
    <row r="546" spans="1:2" x14ac:dyDescent="0.25">
      <c r="A546" s="307"/>
      <c r="B546" s="307"/>
    </row>
    <row r="547" spans="1:2" x14ac:dyDescent="0.25">
      <c r="A547" s="307"/>
      <c r="B547" s="307"/>
    </row>
    <row r="548" spans="1:2" x14ac:dyDescent="0.25">
      <c r="A548" s="307"/>
      <c r="B548" s="307"/>
    </row>
    <row r="549" spans="1:2" x14ac:dyDescent="0.25">
      <c r="A549" s="307"/>
      <c r="B549" s="307"/>
    </row>
    <row r="550" spans="1:2" x14ac:dyDescent="0.25">
      <c r="A550" s="307"/>
      <c r="B550" s="307"/>
    </row>
    <row r="551" spans="1:2" x14ac:dyDescent="0.25">
      <c r="A551" s="307"/>
      <c r="B551" s="307"/>
    </row>
    <row r="552" spans="1:2" x14ac:dyDescent="0.25">
      <c r="A552" s="307"/>
      <c r="B552" s="307"/>
    </row>
    <row r="553" spans="1:2" x14ac:dyDescent="0.25">
      <c r="A553" s="307"/>
      <c r="B553" s="307"/>
    </row>
    <row r="554" spans="1:2" x14ac:dyDescent="0.25">
      <c r="A554" s="307"/>
      <c r="B554" s="307"/>
    </row>
    <row r="555" spans="1:2" x14ac:dyDescent="0.25">
      <c r="A555" s="307"/>
      <c r="B555" s="307"/>
    </row>
    <row r="556" spans="1:2" x14ac:dyDescent="0.25">
      <c r="A556" s="307"/>
      <c r="B556" s="307"/>
    </row>
    <row r="557" spans="1:2" x14ac:dyDescent="0.25">
      <c r="A557" s="307"/>
      <c r="B557" s="307"/>
    </row>
    <row r="558" spans="1:2" x14ac:dyDescent="0.25">
      <c r="A558" s="307"/>
      <c r="B558" s="307"/>
    </row>
    <row r="559" spans="1:2" x14ac:dyDescent="0.25">
      <c r="A559" s="307"/>
      <c r="B559" s="307"/>
    </row>
    <row r="560" spans="1:2" x14ac:dyDescent="0.25">
      <c r="A560" s="307"/>
      <c r="B560" s="307"/>
    </row>
    <row r="561" spans="1:2" x14ac:dyDescent="0.25">
      <c r="A561" s="307"/>
      <c r="B561" s="307"/>
    </row>
    <row r="562" spans="1:2" x14ac:dyDescent="0.25">
      <c r="A562" s="307"/>
      <c r="B562" s="307"/>
    </row>
    <row r="563" spans="1:2" x14ac:dyDescent="0.25">
      <c r="A563" s="307"/>
      <c r="B563" s="307"/>
    </row>
    <row r="564" spans="1:2" x14ac:dyDescent="0.25">
      <c r="A564" s="307"/>
      <c r="B564" s="307"/>
    </row>
    <row r="565" spans="1:2" x14ac:dyDescent="0.25">
      <c r="A565" s="307"/>
      <c r="B565" s="307"/>
    </row>
    <row r="566" spans="1:2" x14ac:dyDescent="0.25">
      <c r="A566" s="307"/>
      <c r="B566" s="307"/>
    </row>
    <row r="567" spans="1:2" x14ac:dyDescent="0.25">
      <c r="A567" s="307"/>
      <c r="B567" s="307"/>
    </row>
    <row r="568" spans="1:2" x14ac:dyDescent="0.25">
      <c r="A568" s="307"/>
      <c r="B568" s="307"/>
    </row>
    <row r="569" spans="1:2" x14ac:dyDescent="0.25">
      <c r="A569" s="307"/>
      <c r="B569" s="307"/>
    </row>
    <row r="570" spans="1:2" x14ac:dyDescent="0.25">
      <c r="A570" s="307"/>
      <c r="B570" s="307"/>
    </row>
    <row r="571" spans="1:2" x14ac:dyDescent="0.25">
      <c r="A571" s="307"/>
      <c r="B571" s="307"/>
    </row>
    <row r="572" spans="1:2" x14ac:dyDescent="0.25">
      <c r="A572" s="307"/>
      <c r="B572" s="307"/>
    </row>
    <row r="573" spans="1:2" x14ac:dyDescent="0.25">
      <c r="A573" s="307"/>
      <c r="B573" s="307"/>
    </row>
    <row r="574" spans="1:2" x14ac:dyDescent="0.25">
      <c r="A574" s="307"/>
      <c r="B574" s="307"/>
    </row>
    <row r="575" spans="1:2" x14ac:dyDescent="0.25">
      <c r="A575" s="307"/>
      <c r="B575" s="307"/>
    </row>
    <row r="576" spans="1:2" x14ac:dyDescent="0.25">
      <c r="A576" s="307"/>
      <c r="B576" s="307"/>
    </row>
    <row r="577" spans="1:2" x14ac:dyDescent="0.25">
      <c r="A577" s="307"/>
      <c r="B577" s="307"/>
    </row>
    <row r="578" spans="1:2" x14ac:dyDescent="0.25">
      <c r="A578" s="307"/>
      <c r="B578" s="307"/>
    </row>
    <row r="579" spans="1:2" x14ac:dyDescent="0.25">
      <c r="A579" s="307"/>
      <c r="B579" s="307"/>
    </row>
    <row r="580" spans="1:2" x14ac:dyDescent="0.25">
      <c r="A580" s="307"/>
      <c r="B580" s="307"/>
    </row>
    <row r="581" spans="1:2" x14ac:dyDescent="0.25">
      <c r="A581" s="307"/>
      <c r="B581" s="307"/>
    </row>
    <row r="582" spans="1:2" x14ac:dyDescent="0.25">
      <c r="A582" s="307"/>
      <c r="B582" s="307"/>
    </row>
    <row r="583" spans="1:2" x14ac:dyDescent="0.25">
      <c r="A583" s="307"/>
      <c r="B583" s="307"/>
    </row>
    <row r="584" spans="1:2" x14ac:dyDescent="0.25">
      <c r="A584" s="307"/>
      <c r="B584" s="307"/>
    </row>
    <row r="585" spans="1:2" x14ac:dyDescent="0.25">
      <c r="A585" s="307"/>
      <c r="B585" s="307"/>
    </row>
    <row r="586" spans="1:2" x14ac:dyDescent="0.25">
      <c r="A586" s="307"/>
      <c r="B586" s="307"/>
    </row>
    <row r="587" spans="1:2" x14ac:dyDescent="0.25">
      <c r="A587" s="307"/>
      <c r="B587" s="307"/>
    </row>
    <row r="588" spans="1:2" x14ac:dyDescent="0.25">
      <c r="A588" s="307"/>
      <c r="B588" s="307"/>
    </row>
    <row r="589" spans="1:2" x14ac:dyDescent="0.25">
      <c r="A589" s="307"/>
      <c r="B589" s="307"/>
    </row>
    <row r="590" spans="1:2" x14ac:dyDescent="0.25">
      <c r="A590" s="307"/>
      <c r="B590" s="307"/>
    </row>
    <row r="591" spans="1:2" x14ac:dyDescent="0.25">
      <c r="A591" s="307"/>
      <c r="B591" s="307"/>
    </row>
    <row r="592" spans="1:2" x14ac:dyDescent="0.25">
      <c r="A592" s="307"/>
      <c r="B592" s="307"/>
    </row>
    <row r="593" spans="1:2" x14ac:dyDescent="0.25">
      <c r="A593" s="307"/>
      <c r="B593" s="307"/>
    </row>
    <row r="594" spans="1:2" x14ac:dyDescent="0.25">
      <c r="A594" s="307"/>
      <c r="B594" s="307"/>
    </row>
    <row r="595" spans="1:2" x14ac:dyDescent="0.25">
      <c r="A595" s="307"/>
      <c r="B595" s="307"/>
    </row>
    <row r="596" spans="1:2" x14ac:dyDescent="0.25">
      <c r="A596" s="307"/>
      <c r="B596" s="307"/>
    </row>
    <row r="597" spans="1:2" x14ac:dyDescent="0.25">
      <c r="A597" s="307"/>
      <c r="B597" s="307"/>
    </row>
    <row r="598" spans="1:2" x14ac:dyDescent="0.25">
      <c r="A598" s="307"/>
      <c r="B598" s="307"/>
    </row>
    <row r="599" spans="1:2" x14ac:dyDescent="0.25">
      <c r="A599" s="307"/>
      <c r="B599" s="307"/>
    </row>
    <row r="600" spans="1:2" x14ac:dyDescent="0.25">
      <c r="A600" s="307"/>
      <c r="B600" s="307"/>
    </row>
    <row r="601" spans="1:2" x14ac:dyDescent="0.25">
      <c r="A601" s="307"/>
      <c r="B601" s="307"/>
    </row>
    <row r="602" spans="1:2" x14ac:dyDescent="0.25">
      <c r="A602" s="307"/>
      <c r="B602" s="307"/>
    </row>
    <row r="603" spans="1:2" x14ac:dyDescent="0.25">
      <c r="A603" s="307"/>
      <c r="B603" s="307"/>
    </row>
    <row r="604" spans="1:2" x14ac:dyDescent="0.25">
      <c r="A604" s="307"/>
      <c r="B604" s="307"/>
    </row>
    <row r="605" spans="1:2" x14ac:dyDescent="0.25">
      <c r="A605" s="307"/>
      <c r="B605" s="307"/>
    </row>
    <row r="606" spans="1:2" x14ac:dyDescent="0.25">
      <c r="A606" s="307"/>
      <c r="B606" s="307"/>
    </row>
    <row r="607" spans="1:2" x14ac:dyDescent="0.25">
      <c r="A607" s="307"/>
      <c r="B607" s="307"/>
    </row>
    <row r="608" spans="1:2" x14ac:dyDescent="0.25">
      <c r="A608" s="307"/>
      <c r="B608" s="307"/>
    </row>
    <row r="609" spans="1:2" x14ac:dyDescent="0.25">
      <c r="A609" s="307"/>
      <c r="B609" s="307"/>
    </row>
    <row r="610" spans="1:2" x14ac:dyDescent="0.25">
      <c r="A610" s="307"/>
      <c r="B610" s="307"/>
    </row>
    <row r="611" spans="1:2" x14ac:dyDescent="0.25">
      <c r="A611" s="307"/>
      <c r="B611" s="307"/>
    </row>
    <row r="612" spans="1:2" x14ac:dyDescent="0.25">
      <c r="A612" s="307"/>
      <c r="B612" s="307"/>
    </row>
    <row r="613" spans="1:2" x14ac:dyDescent="0.25">
      <c r="A613" s="307"/>
      <c r="B613" s="307"/>
    </row>
    <row r="614" spans="1:2" x14ac:dyDescent="0.25">
      <c r="A614" s="307"/>
      <c r="B614" s="307"/>
    </row>
    <row r="615" spans="1:2" x14ac:dyDescent="0.25">
      <c r="A615" s="307"/>
      <c r="B615" s="307"/>
    </row>
    <row r="616" spans="1:2" x14ac:dyDescent="0.25">
      <c r="A616" s="307"/>
      <c r="B616" s="307"/>
    </row>
    <row r="617" spans="1:2" x14ac:dyDescent="0.25">
      <c r="A617" s="307"/>
      <c r="B617" s="307"/>
    </row>
    <row r="618" spans="1:2" x14ac:dyDescent="0.25">
      <c r="A618" s="307"/>
      <c r="B618" s="307"/>
    </row>
    <row r="619" spans="1:2" x14ac:dyDescent="0.25">
      <c r="A619" s="307"/>
      <c r="B619" s="307"/>
    </row>
    <row r="620" spans="1:2" x14ac:dyDescent="0.25">
      <c r="A620" s="307"/>
      <c r="B620" s="307"/>
    </row>
    <row r="621" spans="1:2" x14ac:dyDescent="0.25">
      <c r="A621" s="307"/>
      <c r="B621" s="307"/>
    </row>
    <row r="622" spans="1:2" x14ac:dyDescent="0.25">
      <c r="A622" s="307"/>
      <c r="B622" s="307"/>
    </row>
    <row r="623" spans="1:2" x14ac:dyDescent="0.25">
      <c r="A623" s="307"/>
      <c r="B623" s="307"/>
    </row>
    <row r="624" spans="1:2" x14ac:dyDescent="0.25">
      <c r="A624" s="307"/>
      <c r="B624" s="307"/>
    </row>
    <row r="625" spans="1:2" x14ac:dyDescent="0.25">
      <c r="A625" s="307"/>
      <c r="B625" s="307"/>
    </row>
    <row r="626" spans="1:2" x14ac:dyDescent="0.25">
      <c r="A626" s="307"/>
      <c r="B626" s="307"/>
    </row>
    <row r="627" spans="1:2" x14ac:dyDescent="0.25">
      <c r="A627" s="307"/>
      <c r="B627" s="307"/>
    </row>
    <row r="628" spans="1:2" x14ac:dyDescent="0.25">
      <c r="A628" s="307"/>
      <c r="B628" s="307"/>
    </row>
    <row r="629" spans="1:2" x14ac:dyDescent="0.25">
      <c r="A629" s="307"/>
      <c r="B629" s="307"/>
    </row>
    <row r="630" spans="1:2" x14ac:dyDescent="0.25">
      <c r="A630" s="307"/>
      <c r="B630" s="307"/>
    </row>
    <row r="631" spans="1:2" x14ac:dyDescent="0.25">
      <c r="A631" s="307"/>
      <c r="B631" s="307"/>
    </row>
    <row r="632" spans="1:2" x14ac:dyDescent="0.25">
      <c r="A632" s="307"/>
      <c r="B632" s="307"/>
    </row>
    <row r="633" spans="1:2" x14ac:dyDescent="0.25">
      <c r="A633" s="307"/>
      <c r="B633" s="307"/>
    </row>
    <row r="634" spans="1:2" x14ac:dyDescent="0.25">
      <c r="A634" s="307"/>
      <c r="B634" s="307"/>
    </row>
    <row r="635" spans="1:2" x14ac:dyDescent="0.25">
      <c r="A635" s="307"/>
      <c r="B635" s="307"/>
    </row>
    <row r="636" spans="1:2" x14ac:dyDescent="0.25">
      <c r="A636" s="307"/>
      <c r="B636" s="307"/>
    </row>
    <row r="637" spans="1:2" x14ac:dyDescent="0.25">
      <c r="A637" s="307"/>
      <c r="B637" s="307"/>
    </row>
    <row r="638" spans="1:2" x14ac:dyDescent="0.25">
      <c r="A638" s="307"/>
      <c r="B638" s="307"/>
    </row>
    <row r="639" spans="1:2" x14ac:dyDescent="0.25">
      <c r="A639" s="307"/>
      <c r="B639" s="307"/>
    </row>
    <row r="640" spans="1:2" x14ac:dyDescent="0.25">
      <c r="A640" s="307"/>
      <c r="B640" s="307"/>
    </row>
    <row r="641" spans="1:2" x14ac:dyDescent="0.25">
      <c r="A641" s="307"/>
      <c r="B641" s="307"/>
    </row>
    <row r="642" spans="1:2" x14ac:dyDescent="0.25">
      <c r="A642" s="307"/>
      <c r="B642" s="307"/>
    </row>
    <row r="643" spans="1:2" x14ac:dyDescent="0.25">
      <c r="A643" s="307"/>
      <c r="B643" s="307"/>
    </row>
    <row r="644" spans="1:2" x14ac:dyDescent="0.25">
      <c r="A644" s="307"/>
      <c r="B644" s="307"/>
    </row>
    <row r="645" spans="1:2" x14ac:dyDescent="0.25">
      <c r="A645" s="307"/>
      <c r="B645" s="307"/>
    </row>
    <row r="646" spans="1:2" x14ac:dyDescent="0.25">
      <c r="A646" s="307"/>
      <c r="B646" s="307"/>
    </row>
    <row r="647" spans="1:2" x14ac:dyDescent="0.25">
      <c r="A647" s="307"/>
      <c r="B647" s="307"/>
    </row>
    <row r="648" spans="1:2" x14ac:dyDescent="0.25">
      <c r="A648" s="307"/>
      <c r="B648" s="307"/>
    </row>
    <row r="649" spans="1:2" x14ac:dyDescent="0.25">
      <c r="A649" s="307"/>
      <c r="B649" s="307"/>
    </row>
    <row r="650" spans="1:2" x14ac:dyDescent="0.25">
      <c r="A650" s="307"/>
      <c r="B650" s="307"/>
    </row>
    <row r="651" spans="1:2" x14ac:dyDescent="0.25">
      <c r="A651" s="307"/>
      <c r="B651" s="307"/>
    </row>
    <row r="652" spans="1:2" x14ac:dyDescent="0.25">
      <c r="A652" s="307"/>
      <c r="B652" s="307"/>
    </row>
    <row r="653" spans="1:2" x14ac:dyDescent="0.25">
      <c r="A653" s="307"/>
      <c r="B653" s="307"/>
    </row>
    <row r="654" spans="1:2" x14ac:dyDescent="0.25">
      <c r="A654" s="307"/>
      <c r="B654" s="307"/>
    </row>
    <row r="655" spans="1:2" x14ac:dyDescent="0.25">
      <c r="A655" s="307"/>
      <c r="B655" s="307"/>
    </row>
    <row r="656" spans="1:2" x14ac:dyDescent="0.25">
      <c r="A656" s="307"/>
      <c r="B656" s="307"/>
    </row>
    <row r="657" spans="1:2" x14ac:dyDescent="0.25">
      <c r="A657" s="307"/>
      <c r="B657" s="307"/>
    </row>
    <row r="658" spans="1:2" x14ac:dyDescent="0.25">
      <c r="A658" s="307"/>
      <c r="B658" s="307"/>
    </row>
    <row r="659" spans="1:2" x14ac:dyDescent="0.25">
      <c r="A659" s="307"/>
      <c r="B659" s="307"/>
    </row>
    <row r="660" spans="1:2" x14ac:dyDescent="0.25">
      <c r="A660" s="307"/>
      <c r="B660" s="307"/>
    </row>
    <row r="661" spans="1:2" x14ac:dyDescent="0.25">
      <c r="A661" s="307"/>
      <c r="B661" s="307"/>
    </row>
    <row r="662" spans="1:2" x14ac:dyDescent="0.25">
      <c r="A662" s="307"/>
      <c r="B662" s="307"/>
    </row>
    <row r="663" spans="1:2" x14ac:dyDescent="0.25">
      <c r="A663" s="307"/>
      <c r="B663" s="307"/>
    </row>
    <row r="664" spans="1:2" x14ac:dyDescent="0.25">
      <c r="A664" s="307"/>
      <c r="B664" s="307"/>
    </row>
    <row r="665" spans="1:2" x14ac:dyDescent="0.25">
      <c r="A665" s="307"/>
      <c r="B665" s="307"/>
    </row>
    <row r="666" spans="1:2" x14ac:dyDescent="0.25">
      <c r="A666" s="307"/>
      <c r="B666" s="307"/>
    </row>
    <row r="667" spans="1:2" x14ac:dyDescent="0.25">
      <c r="A667" s="307"/>
      <c r="B667" s="307"/>
    </row>
    <row r="668" spans="1:2" x14ac:dyDescent="0.25">
      <c r="A668" s="307"/>
      <c r="B668" s="307"/>
    </row>
    <row r="669" spans="1:2" x14ac:dyDescent="0.25">
      <c r="A669" s="307"/>
      <c r="B669" s="307"/>
    </row>
    <row r="670" spans="1:2" x14ac:dyDescent="0.25">
      <c r="A670" s="307"/>
      <c r="B670" s="307"/>
    </row>
    <row r="671" spans="1:2" x14ac:dyDescent="0.25">
      <c r="A671" s="307"/>
      <c r="B671" s="307"/>
    </row>
    <row r="672" spans="1:2" x14ac:dyDescent="0.25">
      <c r="A672" s="307"/>
      <c r="B672" s="307"/>
    </row>
    <row r="673" spans="1:2" x14ac:dyDescent="0.25">
      <c r="A673" s="307"/>
      <c r="B673" s="307"/>
    </row>
    <row r="674" spans="1:2" x14ac:dyDescent="0.25">
      <c r="A674" s="307"/>
      <c r="B674" s="307"/>
    </row>
    <row r="675" spans="1:2" x14ac:dyDescent="0.25">
      <c r="A675" s="307"/>
      <c r="B675" s="307"/>
    </row>
    <row r="676" spans="1:2" x14ac:dyDescent="0.25">
      <c r="A676" s="307"/>
      <c r="B676" s="307"/>
    </row>
    <row r="677" spans="1:2" x14ac:dyDescent="0.25">
      <c r="A677" s="307"/>
      <c r="B677" s="307"/>
    </row>
    <row r="678" spans="1:2" x14ac:dyDescent="0.25">
      <c r="A678" s="307"/>
      <c r="B678" s="307"/>
    </row>
    <row r="679" spans="1:2" x14ac:dyDescent="0.25">
      <c r="A679" s="307"/>
      <c r="B679" s="307"/>
    </row>
    <row r="680" spans="1:2" x14ac:dyDescent="0.25">
      <c r="A680" s="307"/>
      <c r="B680" s="307"/>
    </row>
    <row r="681" spans="1:2" x14ac:dyDescent="0.25">
      <c r="A681" s="307"/>
      <c r="B681" s="307"/>
    </row>
    <row r="682" spans="1:2" x14ac:dyDescent="0.25">
      <c r="A682" s="307"/>
      <c r="B682" s="307"/>
    </row>
    <row r="683" spans="1:2" x14ac:dyDescent="0.25">
      <c r="A683" s="307"/>
      <c r="B683" s="307"/>
    </row>
    <row r="684" spans="1:2" x14ac:dyDescent="0.25">
      <c r="A684" s="307"/>
      <c r="B684" s="307"/>
    </row>
    <row r="685" spans="1:2" x14ac:dyDescent="0.25">
      <c r="A685" s="307"/>
      <c r="B685" s="307"/>
    </row>
    <row r="686" spans="1:2" x14ac:dyDescent="0.25">
      <c r="A686" s="307"/>
      <c r="B686" s="307"/>
    </row>
    <row r="687" spans="1:2" x14ac:dyDescent="0.25">
      <c r="A687" s="307"/>
      <c r="B687" s="307"/>
    </row>
    <row r="688" spans="1:2" x14ac:dyDescent="0.25">
      <c r="A688" s="307"/>
      <c r="B688" s="307"/>
    </row>
    <row r="689" spans="1:2" x14ac:dyDescent="0.25">
      <c r="A689" s="307"/>
      <c r="B689" s="307"/>
    </row>
    <row r="690" spans="1:2" x14ac:dyDescent="0.25">
      <c r="A690" s="307"/>
      <c r="B690" s="307"/>
    </row>
    <row r="691" spans="1:2" x14ac:dyDescent="0.25">
      <c r="A691" s="307"/>
      <c r="B691" s="307"/>
    </row>
    <row r="692" spans="1:2" x14ac:dyDescent="0.25">
      <c r="A692" s="307"/>
      <c r="B692" s="307"/>
    </row>
    <row r="693" spans="1:2" x14ac:dyDescent="0.25">
      <c r="A693" s="307"/>
      <c r="B693" s="307"/>
    </row>
    <row r="694" spans="1:2" x14ac:dyDescent="0.25">
      <c r="A694" s="307"/>
      <c r="B694" s="307"/>
    </row>
    <row r="695" spans="1:2" x14ac:dyDescent="0.25">
      <c r="A695" s="307"/>
      <c r="B695" s="307"/>
    </row>
    <row r="696" spans="1:2" x14ac:dyDescent="0.25">
      <c r="A696" s="307"/>
      <c r="B696" s="307"/>
    </row>
    <row r="697" spans="1:2" x14ac:dyDescent="0.25">
      <c r="A697" s="307"/>
      <c r="B697" s="307"/>
    </row>
    <row r="698" spans="1:2" x14ac:dyDescent="0.25">
      <c r="A698" s="307"/>
      <c r="B698" s="307"/>
    </row>
    <row r="699" spans="1:2" x14ac:dyDescent="0.25">
      <c r="A699" s="307"/>
      <c r="B699" s="307"/>
    </row>
    <row r="700" spans="1:2" x14ac:dyDescent="0.25">
      <c r="A700" s="307"/>
      <c r="B700" s="307"/>
    </row>
    <row r="701" spans="1:2" x14ac:dyDescent="0.25">
      <c r="A701" s="307"/>
      <c r="B701" s="307"/>
    </row>
    <row r="702" spans="1:2" x14ac:dyDescent="0.25">
      <c r="A702" s="307"/>
      <c r="B702" s="307"/>
    </row>
    <row r="703" spans="1:2" x14ac:dyDescent="0.25">
      <c r="A703" s="307"/>
      <c r="B703" s="307"/>
    </row>
    <row r="704" spans="1:2" x14ac:dyDescent="0.25">
      <c r="A704" s="307"/>
      <c r="B704" s="307"/>
    </row>
    <row r="705" spans="1:2" x14ac:dyDescent="0.25">
      <c r="A705" s="307"/>
      <c r="B705" s="307"/>
    </row>
    <row r="706" spans="1:2" x14ac:dyDescent="0.25">
      <c r="A706" s="307"/>
      <c r="B706" s="307"/>
    </row>
    <row r="707" spans="1:2" x14ac:dyDescent="0.25">
      <c r="A707" s="307"/>
      <c r="B707" s="307"/>
    </row>
    <row r="708" spans="1:2" x14ac:dyDescent="0.25">
      <c r="A708" s="307"/>
      <c r="B708" s="307"/>
    </row>
    <row r="709" spans="1:2" x14ac:dyDescent="0.25">
      <c r="A709" s="307"/>
      <c r="B709" s="307"/>
    </row>
    <row r="710" spans="1:2" x14ac:dyDescent="0.25">
      <c r="A710" s="307"/>
      <c r="B710" s="307"/>
    </row>
    <row r="711" spans="1:2" x14ac:dyDescent="0.25">
      <c r="A711" s="307"/>
      <c r="B711" s="307"/>
    </row>
    <row r="712" spans="1:2" x14ac:dyDescent="0.25">
      <c r="A712" s="307"/>
      <c r="B712" s="307"/>
    </row>
    <row r="713" spans="1:2" x14ac:dyDescent="0.25">
      <c r="A713" s="307"/>
      <c r="B713" s="307"/>
    </row>
    <row r="714" spans="1:2" x14ac:dyDescent="0.25">
      <c r="A714" s="307"/>
      <c r="B714" s="307"/>
    </row>
    <row r="715" spans="1:2" x14ac:dyDescent="0.25">
      <c r="A715" s="307"/>
      <c r="B715" s="307"/>
    </row>
    <row r="716" spans="1:2" x14ac:dyDescent="0.25">
      <c r="A716" s="307"/>
      <c r="B716" s="307"/>
    </row>
    <row r="717" spans="1:2" x14ac:dyDescent="0.25">
      <c r="A717" s="307"/>
      <c r="B717" s="307"/>
    </row>
    <row r="718" spans="1:2" x14ac:dyDescent="0.25">
      <c r="A718" s="307"/>
      <c r="B718" s="307"/>
    </row>
    <row r="719" spans="1:2" x14ac:dyDescent="0.25">
      <c r="A719" s="307"/>
      <c r="B719" s="307"/>
    </row>
    <row r="720" spans="1:2" x14ac:dyDescent="0.25">
      <c r="A720" s="307"/>
      <c r="B720" s="307"/>
    </row>
    <row r="721" spans="1:2" x14ac:dyDescent="0.25">
      <c r="A721" s="307"/>
      <c r="B721" s="307"/>
    </row>
    <row r="722" spans="1:2" x14ac:dyDescent="0.25">
      <c r="A722" s="307"/>
      <c r="B722" s="307"/>
    </row>
    <row r="723" spans="1:2" x14ac:dyDescent="0.25">
      <c r="A723" s="307"/>
      <c r="B723" s="307"/>
    </row>
    <row r="724" spans="1:2" x14ac:dyDescent="0.25">
      <c r="A724" s="307"/>
      <c r="B724" s="307"/>
    </row>
    <row r="725" spans="1:2" x14ac:dyDescent="0.25">
      <c r="A725" s="307"/>
      <c r="B725" s="307"/>
    </row>
    <row r="726" spans="1:2" x14ac:dyDescent="0.25">
      <c r="A726" s="307"/>
      <c r="B726" s="307"/>
    </row>
    <row r="727" spans="1:2" x14ac:dyDescent="0.25">
      <c r="A727" s="307"/>
      <c r="B727" s="307"/>
    </row>
    <row r="728" spans="1:2" x14ac:dyDescent="0.25">
      <c r="A728" s="307"/>
      <c r="B728" s="307"/>
    </row>
    <row r="729" spans="1:2" x14ac:dyDescent="0.25">
      <c r="A729" s="307"/>
      <c r="B729" s="307"/>
    </row>
    <row r="730" spans="1:2" x14ac:dyDescent="0.25">
      <c r="A730" s="307"/>
      <c r="B730" s="307"/>
    </row>
    <row r="731" spans="1:2" x14ac:dyDescent="0.25">
      <c r="A731" s="307"/>
      <c r="B731" s="307"/>
    </row>
    <row r="732" spans="1:2" x14ac:dyDescent="0.25">
      <c r="A732" s="307"/>
      <c r="B732" s="307"/>
    </row>
    <row r="733" spans="1:2" x14ac:dyDescent="0.25">
      <c r="A733" s="307"/>
      <c r="B733" s="307"/>
    </row>
    <row r="734" spans="1:2" x14ac:dyDescent="0.25">
      <c r="A734" s="307"/>
      <c r="B734" s="307"/>
    </row>
    <row r="735" spans="1:2" x14ac:dyDescent="0.25">
      <c r="A735" s="307"/>
      <c r="B735" s="307"/>
    </row>
    <row r="736" spans="1:2" x14ac:dyDescent="0.25">
      <c r="A736" s="307"/>
      <c r="B736" s="307"/>
    </row>
    <row r="737" spans="1:2" x14ac:dyDescent="0.25">
      <c r="A737" s="307"/>
      <c r="B737" s="307"/>
    </row>
    <row r="738" spans="1:2" x14ac:dyDescent="0.25">
      <c r="A738" s="307"/>
      <c r="B738" s="307"/>
    </row>
    <row r="739" spans="1:2" x14ac:dyDescent="0.25">
      <c r="A739" s="307"/>
      <c r="B739" s="307"/>
    </row>
    <row r="740" spans="1:2" x14ac:dyDescent="0.25">
      <c r="A740" s="307"/>
      <c r="B740" s="307"/>
    </row>
    <row r="741" spans="1:2" x14ac:dyDescent="0.25">
      <c r="A741" s="307"/>
      <c r="B741" s="307"/>
    </row>
    <row r="742" spans="1:2" x14ac:dyDescent="0.25">
      <c r="A742" s="307"/>
      <c r="B742" s="307"/>
    </row>
    <row r="743" spans="1:2" x14ac:dyDescent="0.25">
      <c r="A743" s="307"/>
      <c r="B743" s="307"/>
    </row>
    <row r="744" spans="1:2" x14ac:dyDescent="0.25">
      <c r="A744" s="307"/>
      <c r="B744" s="307"/>
    </row>
    <row r="745" spans="1:2" x14ac:dyDescent="0.25">
      <c r="A745" s="307"/>
      <c r="B745" s="307"/>
    </row>
    <row r="746" spans="1:2" x14ac:dyDescent="0.25">
      <c r="A746" s="307"/>
      <c r="B746" s="307"/>
    </row>
    <row r="747" spans="1:2" x14ac:dyDescent="0.25">
      <c r="A747" s="307"/>
      <c r="B747" s="307"/>
    </row>
    <row r="748" spans="1:2" x14ac:dyDescent="0.25">
      <c r="A748" s="307"/>
      <c r="B748" s="307"/>
    </row>
    <row r="749" spans="1:2" x14ac:dyDescent="0.25">
      <c r="A749" s="307"/>
      <c r="B749" s="307"/>
    </row>
    <row r="750" spans="1:2" x14ac:dyDescent="0.25">
      <c r="A750" s="307"/>
      <c r="B750" s="307"/>
    </row>
    <row r="751" spans="1:2" x14ac:dyDescent="0.25">
      <c r="A751" s="307"/>
      <c r="B751" s="307"/>
    </row>
    <row r="752" spans="1:2" x14ac:dyDescent="0.25">
      <c r="A752" s="307"/>
      <c r="B752" s="307"/>
    </row>
    <row r="753" spans="1:2" x14ac:dyDescent="0.25">
      <c r="A753" s="307"/>
      <c r="B753" s="307"/>
    </row>
    <row r="754" spans="1:2" x14ac:dyDescent="0.25">
      <c r="A754" s="307"/>
      <c r="B754" s="307"/>
    </row>
    <row r="755" spans="1:2" x14ac:dyDescent="0.25">
      <c r="A755" s="307"/>
      <c r="B755" s="307"/>
    </row>
    <row r="756" spans="1:2" x14ac:dyDescent="0.25">
      <c r="A756" s="307"/>
      <c r="B756" s="307"/>
    </row>
    <row r="757" spans="1:2" x14ac:dyDescent="0.25">
      <c r="A757" s="307"/>
      <c r="B757" s="307"/>
    </row>
    <row r="758" spans="1:2" x14ac:dyDescent="0.25">
      <c r="A758" s="307"/>
      <c r="B758" s="307"/>
    </row>
    <row r="759" spans="1:2" x14ac:dyDescent="0.25">
      <c r="A759" s="307"/>
      <c r="B759" s="307"/>
    </row>
    <row r="760" spans="1:2" x14ac:dyDescent="0.25">
      <c r="A760" s="307"/>
      <c r="B760" s="307"/>
    </row>
    <row r="761" spans="1:2" x14ac:dyDescent="0.25">
      <c r="A761" s="307"/>
      <c r="B761" s="307"/>
    </row>
    <row r="762" spans="1:2" x14ac:dyDescent="0.25">
      <c r="A762" s="307"/>
      <c r="B762" s="307"/>
    </row>
    <row r="763" spans="1:2" x14ac:dyDescent="0.25">
      <c r="A763" s="307"/>
      <c r="B763" s="307"/>
    </row>
    <row r="764" spans="1:2" x14ac:dyDescent="0.25">
      <c r="A764" s="307"/>
      <c r="B764" s="307"/>
    </row>
    <row r="765" spans="1:2" x14ac:dyDescent="0.25">
      <c r="A765" s="307"/>
      <c r="B765" s="307"/>
    </row>
    <row r="766" spans="1:2" x14ac:dyDescent="0.25">
      <c r="A766" s="307"/>
      <c r="B766" s="307"/>
    </row>
    <row r="767" spans="1:2" x14ac:dyDescent="0.25">
      <c r="A767" s="307"/>
      <c r="B767" s="307"/>
    </row>
    <row r="768" spans="1:2" x14ac:dyDescent="0.25">
      <c r="A768" s="307"/>
      <c r="B768" s="307"/>
    </row>
    <row r="769" spans="1:2" x14ac:dyDescent="0.25">
      <c r="A769" s="307"/>
      <c r="B769" s="307"/>
    </row>
    <row r="770" spans="1:2" x14ac:dyDescent="0.25">
      <c r="A770" s="307"/>
      <c r="B770" s="307"/>
    </row>
    <row r="771" spans="1:2" x14ac:dyDescent="0.25">
      <c r="A771" s="307"/>
      <c r="B771" s="307"/>
    </row>
    <row r="772" spans="1:2" x14ac:dyDescent="0.25">
      <c r="A772" s="307"/>
      <c r="B772" s="307"/>
    </row>
    <row r="773" spans="1:2" x14ac:dyDescent="0.25">
      <c r="A773" s="307"/>
      <c r="B773" s="307"/>
    </row>
    <row r="774" spans="1:2" x14ac:dyDescent="0.25">
      <c r="A774" s="307"/>
      <c r="B774" s="307"/>
    </row>
    <row r="775" spans="1:2" x14ac:dyDescent="0.25">
      <c r="A775" s="307"/>
      <c r="B775" s="307"/>
    </row>
    <row r="776" spans="1:2" x14ac:dyDescent="0.25">
      <c r="A776" s="307"/>
      <c r="B776" s="307"/>
    </row>
    <row r="777" spans="1:2" x14ac:dyDescent="0.25">
      <c r="A777" s="307"/>
      <c r="B777" s="307"/>
    </row>
    <row r="778" spans="1:2" x14ac:dyDescent="0.25">
      <c r="A778" s="307"/>
      <c r="B778" s="307"/>
    </row>
    <row r="779" spans="1:2" x14ac:dyDescent="0.25">
      <c r="A779" s="307"/>
      <c r="B779" s="307"/>
    </row>
    <row r="780" spans="1:2" x14ac:dyDescent="0.25">
      <c r="A780" s="307"/>
      <c r="B780" s="307"/>
    </row>
    <row r="781" spans="1:2" x14ac:dyDescent="0.25">
      <c r="A781" s="307"/>
      <c r="B781" s="307"/>
    </row>
    <row r="782" spans="1:2" x14ac:dyDescent="0.25">
      <c r="A782" s="307"/>
      <c r="B782" s="307"/>
    </row>
    <row r="783" spans="1:2" x14ac:dyDescent="0.25">
      <c r="A783" s="307"/>
      <c r="B783" s="307"/>
    </row>
    <row r="784" spans="1:2" x14ac:dyDescent="0.25">
      <c r="A784" s="307"/>
      <c r="B784" s="307"/>
    </row>
    <row r="785" spans="1:2" x14ac:dyDescent="0.25">
      <c r="A785" s="307"/>
      <c r="B785" s="307"/>
    </row>
    <row r="786" spans="1:2" x14ac:dyDescent="0.25">
      <c r="A786" s="307"/>
      <c r="B786" s="307"/>
    </row>
    <row r="787" spans="1:2" x14ac:dyDescent="0.25">
      <c r="A787" s="307"/>
      <c r="B787" s="307"/>
    </row>
    <row r="788" spans="1:2" x14ac:dyDescent="0.25">
      <c r="A788" s="307"/>
      <c r="B788" s="307"/>
    </row>
    <row r="789" spans="1:2" x14ac:dyDescent="0.25">
      <c r="A789" s="307"/>
      <c r="B789" s="307"/>
    </row>
    <row r="790" spans="1:2" x14ac:dyDescent="0.25">
      <c r="A790" s="307"/>
      <c r="B790" s="307"/>
    </row>
    <row r="791" spans="1:2" x14ac:dyDescent="0.25">
      <c r="A791" s="307"/>
      <c r="B791" s="307"/>
    </row>
    <row r="792" spans="1:2" x14ac:dyDescent="0.25">
      <c r="A792" s="307"/>
      <c r="B792" s="307"/>
    </row>
    <row r="793" spans="1:2" x14ac:dyDescent="0.25">
      <c r="A793" s="307"/>
      <c r="B793" s="307"/>
    </row>
    <row r="794" spans="1:2" x14ac:dyDescent="0.25">
      <c r="A794" s="307"/>
      <c r="B794" s="307"/>
    </row>
    <row r="795" spans="1:2" x14ac:dyDescent="0.25">
      <c r="A795" s="307"/>
      <c r="B795" s="307"/>
    </row>
    <row r="796" spans="1:2" x14ac:dyDescent="0.25">
      <c r="A796" s="307"/>
      <c r="B796" s="307"/>
    </row>
    <row r="797" spans="1:2" x14ac:dyDescent="0.25">
      <c r="A797" s="307"/>
      <c r="B797" s="307"/>
    </row>
    <row r="798" spans="1:2" x14ac:dyDescent="0.25">
      <c r="A798" s="307"/>
      <c r="B798" s="307"/>
    </row>
    <row r="799" spans="1:2" x14ac:dyDescent="0.25">
      <c r="A799" s="307"/>
      <c r="B799" s="307"/>
    </row>
    <row r="800" spans="1:2" x14ac:dyDescent="0.25">
      <c r="A800" s="307"/>
      <c r="B800" s="307"/>
    </row>
    <row r="801" spans="1:2" x14ac:dyDescent="0.25">
      <c r="A801" s="307"/>
      <c r="B801" s="307"/>
    </row>
    <row r="802" spans="1:2" x14ac:dyDescent="0.25">
      <c r="A802" s="307"/>
      <c r="B802" s="307"/>
    </row>
    <row r="803" spans="1:2" x14ac:dyDescent="0.25">
      <c r="A803" s="307"/>
      <c r="B803" s="307"/>
    </row>
    <row r="804" spans="1:2" x14ac:dyDescent="0.25">
      <c r="A804" s="307"/>
      <c r="B804" s="307"/>
    </row>
    <row r="805" spans="1:2" x14ac:dyDescent="0.25">
      <c r="A805" s="307"/>
      <c r="B805" s="307"/>
    </row>
    <row r="806" spans="1:2" x14ac:dyDescent="0.25">
      <c r="A806" s="307"/>
      <c r="B806" s="307"/>
    </row>
    <row r="807" spans="1:2" x14ac:dyDescent="0.25">
      <c r="A807" s="307"/>
      <c r="B807" s="307"/>
    </row>
    <row r="808" spans="1:2" x14ac:dyDescent="0.25">
      <c r="A808" s="307"/>
      <c r="B808" s="307"/>
    </row>
    <row r="809" spans="1:2" x14ac:dyDescent="0.25">
      <c r="A809" s="307"/>
      <c r="B809" s="307"/>
    </row>
    <row r="810" spans="1:2" x14ac:dyDescent="0.25">
      <c r="A810" s="307"/>
      <c r="B810" s="307"/>
    </row>
    <row r="811" spans="1:2" x14ac:dyDescent="0.25">
      <c r="A811" s="307"/>
      <c r="B811" s="307"/>
    </row>
    <row r="812" spans="1:2" x14ac:dyDescent="0.25">
      <c r="A812" s="307"/>
      <c r="B812" s="307"/>
    </row>
    <row r="813" spans="1:2" x14ac:dyDescent="0.25">
      <c r="A813" s="307"/>
      <c r="B813" s="307"/>
    </row>
    <row r="814" spans="1:2" x14ac:dyDescent="0.25">
      <c r="A814" s="307"/>
      <c r="B814" s="307"/>
    </row>
    <row r="815" spans="1:2" x14ac:dyDescent="0.25">
      <c r="A815" s="307"/>
      <c r="B815" s="307"/>
    </row>
    <row r="816" spans="1:2" x14ac:dyDescent="0.25">
      <c r="A816" s="307"/>
      <c r="B816" s="307"/>
    </row>
    <row r="817" spans="1:2" x14ac:dyDescent="0.25">
      <c r="A817" s="307"/>
      <c r="B817" s="307"/>
    </row>
    <row r="818" spans="1:2" x14ac:dyDescent="0.25">
      <c r="A818" s="307"/>
      <c r="B818" s="307"/>
    </row>
    <row r="819" spans="1:2" x14ac:dyDescent="0.25">
      <c r="A819" s="307"/>
      <c r="B819" s="307"/>
    </row>
    <row r="820" spans="1:2" x14ac:dyDescent="0.25">
      <c r="A820" s="307"/>
      <c r="B820" s="307"/>
    </row>
    <row r="821" spans="1:2" x14ac:dyDescent="0.25">
      <c r="A821" s="307"/>
      <c r="B821" s="307"/>
    </row>
    <row r="822" spans="1:2" x14ac:dyDescent="0.25">
      <c r="A822" s="307"/>
      <c r="B822" s="307"/>
    </row>
    <row r="823" spans="1:2" x14ac:dyDescent="0.25">
      <c r="A823" s="307"/>
      <c r="B823" s="307"/>
    </row>
    <row r="824" spans="1:2" x14ac:dyDescent="0.25">
      <c r="A824" s="307"/>
      <c r="B824" s="307"/>
    </row>
    <row r="825" spans="1:2" x14ac:dyDescent="0.25">
      <c r="A825" s="307"/>
      <c r="B825" s="307"/>
    </row>
    <row r="826" spans="1:2" x14ac:dyDescent="0.25">
      <c r="A826" s="307"/>
      <c r="B826" s="307"/>
    </row>
    <row r="827" spans="1:2" x14ac:dyDescent="0.25">
      <c r="A827" s="307"/>
      <c r="B827" s="307"/>
    </row>
    <row r="828" spans="1:2" x14ac:dyDescent="0.25">
      <c r="A828" s="307"/>
      <c r="B828" s="307"/>
    </row>
    <row r="829" spans="1:2" x14ac:dyDescent="0.25">
      <c r="A829" s="307"/>
      <c r="B829" s="307"/>
    </row>
    <row r="830" spans="1:2" x14ac:dyDescent="0.25">
      <c r="A830" s="307"/>
      <c r="B830" s="307"/>
    </row>
    <row r="831" spans="1:2" x14ac:dyDescent="0.25">
      <c r="A831" s="307"/>
      <c r="B831" s="307"/>
    </row>
    <row r="832" spans="1:2" x14ac:dyDescent="0.25">
      <c r="A832" s="307"/>
      <c r="B832" s="307"/>
    </row>
    <row r="833" spans="1:2" x14ac:dyDescent="0.25">
      <c r="A833" s="307"/>
      <c r="B833" s="307"/>
    </row>
    <row r="834" spans="1:2" x14ac:dyDescent="0.25">
      <c r="A834" s="307"/>
      <c r="B834" s="307"/>
    </row>
    <row r="835" spans="1:2" x14ac:dyDescent="0.25">
      <c r="A835" s="307"/>
      <c r="B835" s="307"/>
    </row>
    <row r="836" spans="1:2" x14ac:dyDescent="0.25">
      <c r="A836" s="307"/>
      <c r="B836" s="307"/>
    </row>
    <row r="837" spans="1:2" x14ac:dyDescent="0.25">
      <c r="A837" s="307"/>
      <c r="B837" s="307"/>
    </row>
    <row r="838" spans="1:2" x14ac:dyDescent="0.25">
      <c r="A838" s="307"/>
      <c r="B838" s="307"/>
    </row>
    <row r="839" spans="1:2" x14ac:dyDescent="0.25">
      <c r="A839" s="307"/>
      <c r="B839" s="307"/>
    </row>
    <row r="840" spans="1:2" x14ac:dyDescent="0.25">
      <c r="A840" s="307"/>
      <c r="B840" s="307"/>
    </row>
    <row r="841" spans="1:2" x14ac:dyDescent="0.25">
      <c r="A841" s="307"/>
      <c r="B841" s="307"/>
    </row>
    <row r="842" spans="1:2" x14ac:dyDescent="0.25">
      <c r="A842" s="307"/>
      <c r="B842" s="307"/>
    </row>
    <row r="843" spans="1:2" x14ac:dyDescent="0.25">
      <c r="A843" s="307"/>
      <c r="B843" s="307"/>
    </row>
    <row r="844" spans="1:2" x14ac:dyDescent="0.25">
      <c r="A844" s="307"/>
      <c r="B844" s="307"/>
    </row>
    <row r="845" spans="1:2" x14ac:dyDescent="0.25">
      <c r="A845" s="307"/>
      <c r="B845" s="307"/>
    </row>
    <row r="846" spans="1:2" x14ac:dyDescent="0.25">
      <c r="A846" s="307"/>
      <c r="B846" s="307"/>
    </row>
    <row r="847" spans="1:2" x14ac:dyDescent="0.25">
      <c r="A847" s="307"/>
      <c r="B847" s="307"/>
    </row>
    <row r="848" spans="1:2" x14ac:dyDescent="0.25">
      <c r="A848" s="307"/>
      <c r="B848" s="307"/>
    </row>
    <row r="849" spans="1:2" x14ac:dyDescent="0.25">
      <c r="A849" s="307"/>
      <c r="B849" s="307"/>
    </row>
    <row r="850" spans="1:2" x14ac:dyDescent="0.25">
      <c r="A850" s="307"/>
      <c r="B850" s="307"/>
    </row>
    <row r="851" spans="1:2" x14ac:dyDescent="0.25">
      <c r="A851" s="307"/>
      <c r="B851" s="307"/>
    </row>
    <row r="852" spans="1:2" x14ac:dyDescent="0.25">
      <c r="A852" s="307"/>
      <c r="B852" s="307"/>
    </row>
    <row r="853" spans="1:2" x14ac:dyDescent="0.25">
      <c r="A853" s="307"/>
      <c r="B853" s="307"/>
    </row>
    <row r="854" spans="1:2" x14ac:dyDescent="0.25">
      <c r="A854" s="307"/>
      <c r="B854" s="307"/>
    </row>
    <row r="855" spans="1:2" x14ac:dyDescent="0.25">
      <c r="A855" s="307"/>
      <c r="B855" s="307"/>
    </row>
    <row r="856" spans="1:2" x14ac:dyDescent="0.25">
      <c r="A856" s="307"/>
      <c r="B856" s="307"/>
    </row>
    <row r="857" spans="1:2" x14ac:dyDescent="0.25">
      <c r="A857" s="307"/>
      <c r="B857" s="307"/>
    </row>
    <row r="858" spans="1:2" x14ac:dyDescent="0.25">
      <c r="A858" s="307"/>
      <c r="B858" s="307"/>
    </row>
    <row r="859" spans="1:2" x14ac:dyDescent="0.25">
      <c r="A859" s="307"/>
      <c r="B859" s="307"/>
    </row>
    <row r="860" spans="1:2" x14ac:dyDescent="0.25">
      <c r="A860" s="307"/>
      <c r="B860" s="307"/>
    </row>
    <row r="861" spans="1:2" x14ac:dyDescent="0.25">
      <c r="A861" s="307"/>
      <c r="B861" s="307"/>
    </row>
    <row r="862" spans="1:2" x14ac:dyDescent="0.25">
      <c r="A862" s="307"/>
      <c r="B862" s="307"/>
    </row>
    <row r="863" spans="1:2" x14ac:dyDescent="0.25">
      <c r="A863" s="307"/>
      <c r="B863" s="307"/>
    </row>
    <row r="864" spans="1:2" x14ac:dyDescent="0.25">
      <c r="A864" s="307"/>
      <c r="B864" s="307"/>
    </row>
    <row r="865" spans="1:2" x14ac:dyDescent="0.25">
      <c r="A865" s="307"/>
      <c r="B865" s="307"/>
    </row>
    <row r="866" spans="1:2" x14ac:dyDescent="0.25">
      <c r="A866" s="307"/>
      <c r="B866" s="307"/>
    </row>
    <row r="867" spans="1:2" x14ac:dyDescent="0.25">
      <c r="A867" s="307"/>
      <c r="B867" s="307"/>
    </row>
    <row r="868" spans="1:2" x14ac:dyDescent="0.25">
      <c r="A868" s="307"/>
      <c r="B868" s="307"/>
    </row>
    <row r="869" spans="1:2" x14ac:dyDescent="0.25">
      <c r="A869" s="307"/>
      <c r="B869" s="307"/>
    </row>
    <row r="870" spans="1:2" x14ac:dyDescent="0.25">
      <c r="A870" s="307"/>
      <c r="B870" s="307"/>
    </row>
    <row r="871" spans="1:2" x14ac:dyDescent="0.25">
      <c r="A871" s="307"/>
      <c r="B871" s="307"/>
    </row>
    <row r="872" spans="1:2" x14ac:dyDescent="0.25">
      <c r="A872" s="307"/>
      <c r="B872" s="307"/>
    </row>
    <row r="873" spans="1:2" x14ac:dyDescent="0.25">
      <c r="A873" s="307"/>
      <c r="B873" s="307"/>
    </row>
    <row r="874" spans="1:2" x14ac:dyDescent="0.25">
      <c r="A874" s="307"/>
      <c r="B874" s="307"/>
    </row>
    <row r="875" spans="1:2" x14ac:dyDescent="0.25">
      <c r="A875" s="307"/>
      <c r="B875" s="307"/>
    </row>
    <row r="876" spans="1:2" x14ac:dyDescent="0.25">
      <c r="A876" s="307"/>
      <c r="B876" s="307"/>
    </row>
    <row r="877" spans="1:2" x14ac:dyDescent="0.25">
      <c r="A877" s="307"/>
      <c r="B877" s="307"/>
    </row>
    <row r="878" spans="1:2" x14ac:dyDescent="0.25">
      <c r="A878" s="307"/>
      <c r="B878" s="307"/>
    </row>
    <row r="879" spans="1:2" x14ac:dyDescent="0.25">
      <c r="A879" s="307"/>
      <c r="B879" s="307"/>
    </row>
    <row r="880" spans="1:2" x14ac:dyDescent="0.25">
      <c r="A880" s="307"/>
      <c r="B880" s="307"/>
    </row>
    <row r="881" spans="1:2" x14ac:dyDescent="0.25">
      <c r="A881" s="307"/>
      <c r="B881" s="307"/>
    </row>
    <row r="882" spans="1:2" x14ac:dyDescent="0.25">
      <c r="A882" s="307"/>
      <c r="B882" s="307"/>
    </row>
    <row r="883" spans="1:2" x14ac:dyDescent="0.25">
      <c r="A883" s="307"/>
      <c r="B883" s="307"/>
    </row>
    <row r="884" spans="1:2" x14ac:dyDescent="0.25">
      <c r="A884" s="307"/>
      <c r="B884" s="307"/>
    </row>
    <row r="885" spans="1:2" x14ac:dyDescent="0.25">
      <c r="A885" s="307"/>
      <c r="B885" s="307"/>
    </row>
    <row r="886" spans="1:2" x14ac:dyDescent="0.25">
      <c r="A886" s="307"/>
      <c r="B886" s="307"/>
    </row>
    <row r="887" spans="1:2" x14ac:dyDescent="0.25">
      <c r="A887" s="307"/>
      <c r="B887" s="307"/>
    </row>
    <row r="888" spans="1:2" x14ac:dyDescent="0.25">
      <c r="A888" s="307"/>
      <c r="B888" s="307"/>
    </row>
    <row r="889" spans="1:2" x14ac:dyDescent="0.25">
      <c r="A889" s="307"/>
      <c r="B889" s="307"/>
    </row>
    <row r="890" spans="1:2" x14ac:dyDescent="0.25">
      <c r="A890" s="307"/>
      <c r="B890" s="307"/>
    </row>
    <row r="891" spans="1:2" x14ac:dyDescent="0.25">
      <c r="A891" s="307"/>
      <c r="B891" s="307"/>
    </row>
    <row r="892" spans="1:2" x14ac:dyDescent="0.25">
      <c r="A892" s="307"/>
      <c r="B892" s="307"/>
    </row>
    <row r="893" spans="1:2" x14ac:dyDescent="0.25">
      <c r="A893" s="307"/>
      <c r="B893" s="307"/>
    </row>
    <row r="894" spans="1:2" x14ac:dyDescent="0.25">
      <c r="A894" s="307"/>
      <c r="B894" s="307"/>
    </row>
    <row r="895" spans="1:2" x14ac:dyDescent="0.25">
      <c r="A895" s="307"/>
      <c r="B895" s="307"/>
    </row>
    <row r="896" spans="1:2" x14ac:dyDescent="0.25">
      <c r="A896" s="307"/>
      <c r="B896" s="307"/>
    </row>
    <row r="897" spans="1:2" x14ac:dyDescent="0.25">
      <c r="A897" s="307"/>
      <c r="B897" s="307"/>
    </row>
    <row r="898" spans="1:2" x14ac:dyDescent="0.25">
      <c r="A898" s="307"/>
      <c r="B898" s="307"/>
    </row>
    <row r="899" spans="1:2" x14ac:dyDescent="0.25">
      <c r="A899" s="307"/>
      <c r="B899" s="307"/>
    </row>
    <row r="900" spans="1:2" x14ac:dyDescent="0.25">
      <c r="A900" s="307"/>
      <c r="B900" s="307"/>
    </row>
    <row r="901" spans="1:2" x14ac:dyDescent="0.25">
      <c r="A901" s="307"/>
      <c r="B901" s="307"/>
    </row>
    <row r="902" spans="1:2" x14ac:dyDescent="0.25">
      <c r="A902" s="307"/>
      <c r="B902" s="307"/>
    </row>
    <row r="903" spans="1:2" x14ac:dyDescent="0.25">
      <c r="A903" s="307"/>
      <c r="B903" s="307"/>
    </row>
    <row r="904" spans="1:2" x14ac:dyDescent="0.25">
      <c r="A904" s="307"/>
      <c r="B904" s="307"/>
    </row>
    <row r="905" spans="1:2" x14ac:dyDescent="0.25">
      <c r="A905" s="307"/>
      <c r="B905" s="307"/>
    </row>
    <row r="906" spans="1:2" x14ac:dyDescent="0.25">
      <c r="A906" s="307"/>
      <c r="B906" s="307"/>
    </row>
    <row r="907" spans="1:2" x14ac:dyDescent="0.25">
      <c r="A907" s="307"/>
      <c r="B907" s="307"/>
    </row>
    <row r="908" spans="1:2" x14ac:dyDescent="0.25">
      <c r="A908" s="307"/>
      <c r="B908" s="307"/>
    </row>
    <row r="909" spans="1:2" x14ac:dyDescent="0.25">
      <c r="A909" s="307"/>
      <c r="B909" s="307"/>
    </row>
    <row r="910" spans="1:2" x14ac:dyDescent="0.25">
      <c r="A910" s="307"/>
      <c r="B910" s="307"/>
    </row>
    <row r="911" spans="1:2" x14ac:dyDescent="0.25">
      <c r="A911" s="307"/>
      <c r="B911" s="307"/>
    </row>
    <row r="912" spans="1:2" x14ac:dyDescent="0.25">
      <c r="A912" s="307"/>
      <c r="B912" s="307"/>
    </row>
    <row r="913" spans="1:2" x14ac:dyDescent="0.25">
      <c r="A913" s="307"/>
      <c r="B913" s="307"/>
    </row>
    <row r="914" spans="1:2" x14ac:dyDescent="0.25">
      <c r="A914" s="307"/>
      <c r="B914" s="307"/>
    </row>
    <row r="915" spans="1:2" x14ac:dyDescent="0.25">
      <c r="A915" s="307"/>
      <c r="B915" s="307"/>
    </row>
    <row r="916" spans="1:2" x14ac:dyDescent="0.25">
      <c r="A916" s="307"/>
      <c r="B916" s="307"/>
    </row>
    <row r="917" spans="1:2" x14ac:dyDescent="0.25">
      <c r="A917" s="307"/>
      <c r="B917" s="307"/>
    </row>
    <row r="918" spans="1:2" x14ac:dyDescent="0.25">
      <c r="A918" s="307"/>
      <c r="B918" s="307"/>
    </row>
    <row r="919" spans="1:2" x14ac:dyDescent="0.25">
      <c r="A919" s="307"/>
      <c r="B919" s="307"/>
    </row>
    <row r="920" spans="1:2" x14ac:dyDescent="0.25">
      <c r="A920" s="307"/>
      <c r="B920" s="307"/>
    </row>
    <row r="921" spans="1:2" x14ac:dyDescent="0.25">
      <c r="A921" s="307"/>
      <c r="B921" s="307"/>
    </row>
    <row r="922" spans="1:2" x14ac:dyDescent="0.25">
      <c r="A922" s="307"/>
      <c r="B922" s="307"/>
    </row>
    <row r="923" spans="1:2" x14ac:dyDescent="0.25">
      <c r="A923" s="307"/>
      <c r="B923" s="307"/>
    </row>
    <row r="924" spans="1:2" x14ac:dyDescent="0.25">
      <c r="A924" s="307"/>
      <c r="B924" s="307"/>
    </row>
    <row r="925" spans="1:2" x14ac:dyDescent="0.25">
      <c r="A925" s="307"/>
      <c r="B925" s="307"/>
    </row>
    <row r="926" spans="1:2" x14ac:dyDescent="0.25">
      <c r="A926" s="307"/>
      <c r="B926" s="307"/>
    </row>
    <row r="927" spans="1:2" x14ac:dyDescent="0.25">
      <c r="A927" s="307"/>
      <c r="B927" s="307"/>
    </row>
    <row r="928" spans="1:2" x14ac:dyDescent="0.25">
      <c r="A928" s="307"/>
      <c r="B928" s="307"/>
    </row>
    <row r="929" spans="1:2" x14ac:dyDescent="0.25">
      <c r="A929" s="307"/>
      <c r="B929" s="307"/>
    </row>
    <row r="930" spans="1:2" x14ac:dyDescent="0.25">
      <c r="A930" s="307"/>
      <c r="B930" s="307"/>
    </row>
    <row r="931" spans="1:2" x14ac:dyDescent="0.25">
      <c r="A931" s="307"/>
      <c r="B931" s="307"/>
    </row>
    <row r="932" spans="1:2" x14ac:dyDescent="0.25">
      <c r="A932" s="307"/>
      <c r="B932" s="307"/>
    </row>
    <row r="933" spans="1:2" x14ac:dyDescent="0.25">
      <c r="A933" s="307"/>
      <c r="B933" s="307"/>
    </row>
    <row r="934" spans="1:2" x14ac:dyDescent="0.25">
      <c r="A934" s="307"/>
      <c r="B934" s="307"/>
    </row>
    <row r="935" spans="1:2" x14ac:dyDescent="0.25">
      <c r="A935" s="307"/>
      <c r="B935" s="307"/>
    </row>
    <row r="936" spans="1:2" x14ac:dyDescent="0.25">
      <c r="A936" s="307"/>
      <c r="B936" s="307"/>
    </row>
    <row r="937" spans="1:2" x14ac:dyDescent="0.25">
      <c r="A937" s="307"/>
      <c r="B937" s="307"/>
    </row>
    <row r="938" spans="1:2" x14ac:dyDescent="0.25">
      <c r="A938" s="307"/>
      <c r="B938" s="307"/>
    </row>
    <row r="939" spans="1:2" x14ac:dyDescent="0.25">
      <c r="A939" s="307"/>
      <c r="B939" s="307"/>
    </row>
    <row r="940" spans="1:2" x14ac:dyDescent="0.25">
      <c r="A940" s="307"/>
      <c r="B940" s="307"/>
    </row>
    <row r="941" spans="1:2" x14ac:dyDescent="0.25">
      <c r="A941" s="307"/>
      <c r="B941" s="307"/>
    </row>
    <row r="942" spans="1:2" x14ac:dyDescent="0.25">
      <c r="A942" s="307"/>
      <c r="B942" s="307"/>
    </row>
    <row r="943" spans="1:2" x14ac:dyDescent="0.25">
      <c r="A943" s="307"/>
      <c r="B943" s="307"/>
    </row>
    <row r="944" spans="1:2" x14ac:dyDescent="0.25">
      <c r="A944" s="307"/>
      <c r="B944" s="307"/>
    </row>
    <row r="945" spans="1:2" x14ac:dyDescent="0.25">
      <c r="A945" s="307"/>
      <c r="B945" s="307"/>
    </row>
    <row r="946" spans="1:2" x14ac:dyDescent="0.25">
      <c r="A946" s="307"/>
      <c r="B946" s="307"/>
    </row>
    <row r="947" spans="1:2" x14ac:dyDescent="0.25">
      <c r="A947" s="307"/>
      <c r="B947" s="307"/>
    </row>
    <row r="948" spans="1:2" x14ac:dyDescent="0.25">
      <c r="A948" s="307"/>
      <c r="B948" s="307"/>
    </row>
    <row r="949" spans="1:2" x14ac:dyDescent="0.25">
      <c r="A949" s="307"/>
      <c r="B949" s="307"/>
    </row>
    <row r="950" spans="1:2" x14ac:dyDescent="0.25">
      <c r="A950" s="307"/>
      <c r="B950" s="307"/>
    </row>
    <row r="951" spans="1:2" x14ac:dyDescent="0.25">
      <c r="A951" s="307"/>
      <c r="B951" s="307"/>
    </row>
    <row r="952" spans="1:2" x14ac:dyDescent="0.25">
      <c r="A952" s="307"/>
      <c r="B952" s="307"/>
    </row>
    <row r="953" spans="1:2" x14ac:dyDescent="0.25">
      <c r="A953" s="307"/>
      <c r="B953" s="307"/>
    </row>
    <row r="954" spans="1:2" x14ac:dyDescent="0.25">
      <c r="A954" s="307"/>
      <c r="B954" s="307"/>
    </row>
    <row r="955" spans="1:2" x14ac:dyDescent="0.25">
      <c r="A955" s="307"/>
      <c r="B955" s="307"/>
    </row>
    <row r="956" spans="1:2" x14ac:dyDescent="0.25">
      <c r="A956" s="307"/>
      <c r="B956" s="307"/>
    </row>
    <row r="957" spans="1:2" x14ac:dyDescent="0.25">
      <c r="A957" s="307"/>
      <c r="B957" s="307"/>
    </row>
    <row r="958" spans="1:2" x14ac:dyDescent="0.25">
      <c r="A958" s="307"/>
      <c r="B958" s="307"/>
    </row>
    <row r="959" spans="1:2" x14ac:dyDescent="0.25">
      <c r="A959" s="307"/>
      <c r="B959" s="307"/>
    </row>
    <row r="960" spans="1:2" x14ac:dyDescent="0.25">
      <c r="A960" s="307"/>
      <c r="B960" s="307"/>
    </row>
    <row r="961" spans="1:2" x14ac:dyDescent="0.25">
      <c r="A961" s="307"/>
      <c r="B961" s="307"/>
    </row>
    <row r="962" spans="1:2" x14ac:dyDescent="0.25">
      <c r="A962" s="307"/>
      <c r="B962" s="307"/>
    </row>
    <row r="963" spans="1:2" x14ac:dyDescent="0.25">
      <c r="A963" s="307"/>
      <c r="B963" s="307"/>
    </row>
    <row r="964" spans="1:2" x14ac:dyDescent="0.25">
      <c r="A964" s="307"/>
      <c r="B964" s="307"/>
    </row>
    <row r="965" spans="1:2" x14ac:dyDescent="0.25">
      <c r="A965" s="307"/>
      <c r="B965" s="307"/>
    </row>
    <row r="966" spans="1:2" x14ac:dyDescent="0.25">
      <c r="A966" s="307"/>
      <c r="B966" s="307"/>
    </row>
    <row r="967" spans="1:2" x14ac:dyDescent="0.25">
      <c r="A967" s="307"/>
      <c r="B967" s="307"/>
    </row>
    <row r="968" spans="1:2" x14ac:dyDescent="0.25">
      <c r="A968" s="307"/>
      <c r="B968" s="307"/>
    </row>
    <row r="969" spans="1:2" x14ac:dyDescent="0.25">
      <c r="A969" s="307"/>
      <c r="B969" s="307"/>
    </row>
    <row r="970" spans="1:2" x14ac:dyDescent="0.25">
      <c r="A970" s="307"/>
      <c r="B970" s="307"/>
    </row>
    <row r="971" spans="1:2" x14ac:dyDescent="0.25">
      <c r="A971" s="307"/>
      <c r="B971" s="307"/>
    </row>
    <row r="972" spans="1:2" x14ac:dyDescent="0.25">
      <c r="A972" s="307"/>
      <c r="B972" s="307"/>
    </row>
    <row r="973" spans="1:2" x14ac:dyDescent="0.25">
      <c r="A973" s="307"/>
      <c r="B973" s="307"/>
    </row>
    <row r="974" spans="1:2" x14ac:dyDescent="0.25">
      <c r="A974" s="307"/>
      <c r="B974" s="307"/>
    </row>
    <row r="975" spans="1:2" x14ac:dyDescent="0.25">
      <c r="A975" s="307"/>
      <c r="B975" s="307"/>
    </row>
    <row r="976" spans="1:2" x14ac:dyDescent="0.25">
      <c r="A976" s="307"/>
      <c r="B976" s="307"/>
    </row>
    <row r="977" spans="1:2" x14ac:dyDescent="0.25">
      <c r="A977" s="307"/>
      <c r="B977" s="307"/>
    </row>
    <row r="978" spans="1:2" x14ac:dyDescent="0.25">
      <c r="A978" s="307"/>
      <c r="B978" s="307"/>
    </row>
    <row r="979" spans="1:2" x14ac:dyDescent="0.25">
      <c r="A979" s="307"/>
      <c r="B979" s="307"/>
    </row>
    <row r="980" spans="1:2" x14ac:dyDescent="0.25">
      <c r="A980" s="307"/>
      <c r="B980" s="307"/>
    </row>
    <row r="981" spans="1:2" x14ac:dyDescent="0.25">
      <c r="A981" s="307"/>
      <c r="B981" s="307"/>
    </row>
    <row r="982" spans="1:2" x14ac:dyDescent="0.25">
      <c r="A982" s="307"/>
      <c r="B982" s="307"/>
    </row>
    <row r="983" spans="1:2" x14ac:dyDescent="0.25">
      <c r="A983" s="307"/>
      <c r="B983" s="307"/>
    </row>
    <row r="984" spans="1:2" x14ac:dyDescent="0.25">
      <c r="A984" s="307"/>
      <c r="B984" s="307"/>
    </row>
    <row r="985" spans="1:2" x14ac:dyDescent="0.25">
      <c r="A985" s="307"/>
      <c r="B985" s="307"/>
    </row>
    <row r="986" spans="1:2" x14ac:dyDescent="0.25">
      <c r="A986" s="307"/>
      <c r="B986" s="307"/>
    </row>
    <row r="987" spans="1:2" x14ac:dyDescent="0.25">
      <c r="A987" s="307"/>
      <c r="B987" s="307"/>
    </row>
    <row r="988" spans="1:2" x14ac:dyDescent="0.25">
      <c r="A988" s="307"/>
      <c r="B988" s="307"/>
    </row>
    <row r="989" spans="1:2" x14ac:dyDescent="0.25">
      <c r="A989" s="307"/>
      <c r="B989" s="307"/>
    </row>
    <row r="990" spans="1:2" x14ac:dyDescent="0.25">
      <c r="A990" s="307"/>
      <c r="B990" s="307"/>
    </row>
    <row r="991" spans="1:2" x14ac:dyDescent="0.25">
      <c r="A991" s="307"/>
      <c r="B991" s="307"/>
    </row>
    <row r="992" spans="1:2" x14ac:dyDescent="0.25">
      <c r="A992" s="307"/>
      <c r="B992" s="307"/>
    </row>
    <row r="993" spans="1:2" x14ac:dyDescent="0.25">
      <c r="A993" s="307"/>
      <c r="B993" s="307"/>
    </row>
    <row r="994" spans="1:2" x14ac:dyDescent="0.25">
      <c r="A994" s="307"/>
      <c r="B994" s="307"/>
    </row>
    <row r="995" spans="1:2" x14ac:dyDescent="0.25">
      <c r="A995" s="307"/>
      <c r="B995" s="307"/>
    </row>
    <row r="996" spans="1:2" x14ac:dyDescent="0.25">
      <c r="A996" s="307"/>
      <c r="B996" s="307"/>
    </row>
    <row r="997" spans="1:2" x14ac:dyDescent="0.25">
      <c r="A997" s="307"/>
      <c r="B997" s="307"/>
    </row>
    <row r="998" spans="1:2" x14ac:dyDescent="0.25">
      <c r="A998" s="307"/>
      <c r="B998" s="307"/>
    </row>
    <row r="999" spans="1:2" x14ac:dyDescent="0.25">
      <c r="A999" s="307"/>
      <c r="B999" s="307"/>
    </row>
    <row r="1000" spans="1:2" x14ac:dyDescent="0.25">
      <c r="A1000" s="307"/>
      <c r="B1000" s="307"/>
    </row>
    <row r="1001" spans="1:2" x14ac:dyDescent="0.25">
      <c r="A1001" s="307"/>
      <c r="B1001" s="307"/>
    </row>
    <row r="1002" spans="1:2" x14ac:dyDescent="0.25">
      <c r="A1002" s="307"/>
      <c r="B1002" s="307"/>
    </row>
    <row r="1003" spans="1:2" x14ac:dyDescent="0.25">
      <c r="A1003" s="307"/>
      <c r="B1003" s="307"/>
    </row>
    <row r="1004" spans="1:2" x14ac:dyDescent="0.25">
      <c r="A1004" s="307"/>
      <c r="B1004" s="307"/>
    </row>
    <row r="1005" spans="1:2" x14ac:dyDescent="0.25">
      <c r="A1005" s="307"/>
      <c r="B1005" s="307"/>
    </row>
    <row r="1006" spans="1:2" x14ac:dyDescent="0.25">
      <c r="A1006" s="307"/>
      <c r="B1006" s="307"/>
    </row>
    <row r="1007" spans="1:2" x14ac:dyDescent="0.25">
      <c r="A1007" s="307"/>
      <c r="B1007" s="307"/>
    </row>
    <row r="1008" spans="1:2" x14ac:dyDescent="0.25">
      <c r="A1008" s="307"/>
      <c r="B1008" s="307"/>
    </row>
    <row r="1009" spans="1:2" x14ac:dyDescent="0.25">
      <c r="A1009" s="307"/>
      <c r="B1009" s="307"/>
    </row>
    <row r="1010" spans="1:2" x14ac:dyDescent="0.25">
      <c r="A1010" s="307"/>
      <c r="B1010" s="307"/>
    </row>
    <row r="1011" spans="1:2" x14ac:dyDescent="0.25">
      <c r="A1011" s="307"/>
      <c r="B1011" s="307"/>
    </row>
    <row r="1012" spans="1:2" x14ac:dyDescent="0.25">
      <c r="A1012" s="307"/>
      <c r="B1012" s="307"/>
    </row>
    <row r="1013" spans="1:2" x14ac:dyDescent="0.25">
      <c r="A1013" s="307"/>
      <c r="B1013" s="307"/>
    </row>
    <row r="1014" spans="1:2" x14ac:dyDescent="0.25">
      <c r="A1014" s="307"/>
      <c r="B1014" s="307"/>
    </row>
    <row r="1015" spans="1:2" x14ac:dyDescent="0.25">
      <c r="A1015" s="307"/>
      <c r="B1015" s="307"/>
    </row>
    <row r="1016" spans="1:2" x14ac:dyDescent="0.25">
      <c r="A1016" s="307"/>
      <c r="B1016" s="307"/>
    </row>
    <row r="1017" spans="1:2" x14ac:dyDescent="0.25">
      <c r="A1017" s="307"/>
      <c r="B1017" s="307"/>
    </row>
    <row r="1018" spans="1:2" x14ac:dyDescent="0.25">
      <c r="A1018" s="307"/>
      <c r="B1018" s="307"/>
    </row>
    <row r="1019" spans="1:2" x14ac:dyDescent="0.25">
      <c r="A1019" s="307"/>
      <c r="B1019" s="307"/>
    </row>
    <row r="1020" spans="1:2" x14ac:dyDescent="0.25">
      <c r="A1020" s="307"/>
      <c r="B1020" s="307"/>
    </row>
    <row r="1021" spans="1:2" x14ac:dyDescent="0.25">
      <c r="A1021" s="307"/>
      <c r="B1021" s="307"/>
    </row>
    <row r="1022" spans="1:2" x14ac:dyDescent="0.25">
      <c r="A1022" s="307"/>
      <c r="B1022" s="307"/>
    </row>
    <row r="1023" spans="1:2" x14ac:dyDescent="0.25">
      <c r="A1023" s="307"/>
      <c r="B1023" s="307"/>
    </row>
    <row r="1024" spans="1:2" x14ac:dyDescent="0.25">
      <c r="A1024" s="307"/>
      <c r="B1024" s="307"/>
    </row>
    <row r="1025" spans="1:2" x14ac:dyDescent="0.25">
      <c r="A1025" s="307"/>
      <c r="B1025" s="307"/>
    </row>
    <row r="1026" spans="1:2" x14ac:dyDescent="0.25">
      <c r="A1026" s="307"/>
      <c r="B1026" s="307"/>
    </row>
    <row r="1027" spans="1:2" x14ac:dyDescent="0.25">
      <c r="A1027" s="307"/>
      <c r="B1027" s="307"/>
    </row>
    <row r="1028" spans="1:2" x14ac:dyDescent="0.25">
      <c r="A1028" s="307"/>
      <c r="B1028" s="307"/>
    </row>
    <row r="1029" spans="1:2" x14ac:dyDescent="0.25">
      <c r="A1029" s="307"/>
      <c r="B1029" s="307"/>
    </row>
    <row r="1030" spans="1:2" x14ac:dyDescent="0.25">
      <c r="A1030" s="307"/>
      <c r="B1030" s="307"/>
    </row>
    <row r="1031" spans="1:2" x14ac:dyDescent="0.25">
      <c r="A1031" s="307"/>
      <c r="B1031" s="307"/>
    </row>
    <row r="1032" spans="1:2" x14ac:dyDescent="0.25">
      <c r="A1032" s="307"/>
      <c r="B1032" s="307"/>
    </row>
    <row r="1033" spans="1:2" x14ac:dyDescent="0.25">
      <c r="A1033" s="307"/>
      <c r="B1033" s="307"/>
    </row>
    <row r="1034" spans="1:2" x14ac:dyDescent="0.25">
      <c r="A1034" s="307"/>
      <c r="B1034" s="307"/>
    </row>
    <row r="1035" spans="1:2" x14ac:dyDescent="0.25">
      <c r="A1035" s="307"/>
      <c r="B1035" s="307"/>
    </row>
    <row r="1036" spans="1:2" x14ac:dyDescent="0.25">
      <c r="A1036" s="307"/>
      <c r="B1036" s="307"/>
    </row>
    <row r="1037" spans="1:2" x14ac:dyDescent="0.25">
      <c r="A1037" s="307"/>
      <c r="B1037" s="307"/>
    </row>
    <row r="1038" spans="1:2" x14ac:dyDescent="0.25">
      <c r="A1038" s="307"/>
      <c r="B1038" s="307"/>
    </row>
    <row r="1039" spans="1:2" x14ac:dyDescent="0.25">
      <c r="A1039" s="307"/>
      <c r="B1039" s="307"/>
    </row>
    <row r="1040" spans="1:2" x14ac:dyDescent="0.25">
      <c r="A1040" s="307"/>
      <c r="B1040" s="307"/>
    </row>
    <row r="1041" spans="1:2" x14ac:dyDescent="0.25">
      <c r="A1041" s="307"/>
      <c r="B1041" s="307"/>
    </row>
    <row r="1042" spans="1:2" x14ac:dyDescent="0.25">
      <c r="A1042" s="307"/>
      <c r="B1042" s="307"/>
    </row>
    <row r="1043" spans="1:2" x14ac:dyDescent="0.25">
      <c r="A1043" s="307"/>
      <c r="B1043" s="307"/>
    </row>
    <row r="1044" spans="1:2" x14ac:dyDescent="0.25">
      <c r="A1044" s="307"/>
      <c r="B1044" s="307"/>
    </row>
    <row r="1045" spans="1:2" x14ac:dyDescent="0.25">
      <c r="A1045" s="307"/>
      <c r="B1045" s="307"/>
    </row>
    <row r="1046" spans="1:2" x14ac:dyDescent="0.25">
      <c r="A1046" s="307"/>
      <c r="B1046" s="307"/>
    </row>
    <row r="1047" spans="1:2" x14ac:dyDescent="0.25">
      <c r="A1047" s="307"/>
      <c r="B1047" s="307"/>
    </row>
    <row r="1048" spans="1:2" x14ac:dyDescent="0.25">
      <c r="A1048" s="307"/>
      <c r="B1048" s="307"/>
    </row>
    <row r="1049" spans="1:2" x14ac:dyDescent="0.25">
      <c r="A1049" s="307"/>
      <c r="B1049" s="307"/>
    </row>
    <row r="1050" spans="1:2" x14ac:dyDescent="0.25">
      <c r="A1050" s="307"/>
      <c r="B1050" s="307"/>
    </row>
    <row r="1051" spans="1:2" x14ac:dyDescent="0.25">
      <c r="A1051" s="307"/>
      <c r="B1051" s="307"/>
    </row>
    <row r="1052" spans="1:2" x14ac:dyDescent="0.25">
      <c r="A1052" s="307"/>
      <c r="B1052" s="307"/>
    </row>
    <row r="1053" spans="1:2" x14ac:dyDescent="0.25">
      <c r="A1053" s="307"/>
      <c r="B1053" s="307"/>
    </row>
    <row r="1054" spans="1:2" x14ac:dyDescent="0.25">
      <c r="A1054" s="307"/>
      <c r="B1054" s="307"/>
    </row>
    <row r="1055" spans="1:2" x14ac:dyDescent="0.25">
      <c r="A1055" s="307"/>
      <c r="B1055" s="307"/>
    </row>
    <row r="1056" spans="1:2" x14ac:dyDescent="0.25">
      <c r="A1056" s="307"/>
      <c r="B1056" s="307"/>
    </row>
    <row r="1057" spans="1:2" x14ac:dyDescent="0.25">
      <c r="A1057" s="307"/>
      <c r="B1057" s="307"/>
    </row>
    <row r="1058" spans="1:2" x14ac:dyDescent="0.25">
      <c r="A1058" s="307"/>
      <c r="B1058" s="307"/>
    </row>
    <row r="1059" spans="1:2" x14ac:dyDescent="0.25">
      <c r="A1059" s="307"/>
      <c r="B1059" s="307"/>
    </row>
    <row r="1060" spans="1:2" x14ac:dyDescent="0.25">
      <c r="A1060" s="307"/>
      <c r="B1060" s="307"/>
    </row>
    <row r="1061" spans="1:2" x14ac:dyDescent="0.25">
      <c r="A1061" s="307"/>
      <c r="B1061" s="307"/>
    </row>
    <row r="1062" spans="1:2" x14ac:dyDescent="0.25">
      <c r="A1062" s="307"/>
      <c r="B1062" s="307"/>
    </row>
    <row r="1063" spans="1:2" x14ac:dyDescent="0.25">
      <c r="A1063" s="307"/>
      <c r="B1063" s="307"/>
    </row>
    <row r="1064" spans="1:2" x14ac:dyDescent="0.25">
      <c r="A1064" s="307"/>
      <c r="B1064" s="307"/>
    </row>
    <row r="1065" spans="1:2" x14ac:dyDescent="0.25">
      <c r="A1065" s="307"/>
      <c r="B1065" s="307"/>
    </row>
    <row r="1066" spans="1:2" x14ac:dyDescent="0.25">
      <c r="A1066" s="307"/>
      <c r="B1066" s="307"/>
    </row>
    <row r="1067" spans="1:2" x14ac:dyDescent="0.25">
      <c r="A1067" s="307"/>
      <c r="B1067" s="307"/>
    </row>
    <row r="1068" spans="1:2" x14ac:dyDescent="0.25">
      <c r="A1068" s="307"/>
      <c r="B1068" s="307"/>
    </row>
    <row r="1069" spans="1:2" x14ac:dyDescent="0.25">
      <c r="A1069" s="307"/>
      <c r="B1069" s="307"/>
    </row>
    <row r="1070" spans="1:2" x14ac:dyDescent="0.25">
      <c r="A1070" s="307"/>
      <c r="B1070" s="307"/>
    </row>
    <row r="1071" spans="1:2" x14ac:dyDescent="0.25">
      <c r="A1071" s="307"/>
      <c r="B1071" s="307"/>
    </row>
    <row r="1072" spans="1:2" x14ac:dyDescent="0.25">
      <c r="A1072" s="307"/>
      <c r="B1072" s="307"/>
    </row>
    <row r="1073" spans="1:2" x14ac:dyDescent="0.25">
      <c r="A1073" s="307"/>
      <c r="B1073" s="307"/>
    </row>
    <row r="1074" spans="1:2" x14ac:dyDescent="0.25">
      <c r="A1074" s="307"/>
      <c r="B1074" s="307"/>
    </row>
    <row r="1075" spans="1:2" x14ac:dyDescent="0.25">
      <c r="A1075" s="307"/>
      <c r="B1075" s="307"/>
    </row>
    <row r="1076" spans="1:2" x14ac:dyDescent="0.25">
      <c r="A1076" s="307"/>
      <c r="B1076" s="307"/>
    </row>
    <row r="1077" spans="1:2" x14ac:dyDescent="0.25">
      <c r="A1077" s="307"/>
      <c r="B1077" s="307"/>
    </row>
    <row r="1078" spans="1:2" x14ac:dyDescent="0.25">
      <c r="A1078" s="307"/>
      <c r="B1078" s="307"/>
    </row>
    <row r="1079" spans="1:2" x14ac:dyDescent="0.25">
      <c r="A1079" s="307"/>
      <c r="B1079" s="307"/>
    </row>
    <row r="1080" spans="1:2" x14ac:dyDescent="0.25">
      <c r="A1080" s="307"/>
      <c r="B1080" s="307"/>
    </row>
    <row r="1081" spans="1:2" x14ac:dyDescent="0.25">
      <c r="A1081" s="307"/>
      <c r="B1081" s="307"/>
    </row>
    <row r="1082" spans="1:2" x14ac:dyDescent="0.25">
      <c r="A1082" s="307"/>
      <c r="B1082" s="307"/>
    </row>
    <row r="1083" spans="1:2" x14ac:dyDescent="0.25">
      <c r="A1083" s="307"/>
      <c r="B1083" s="307"/>
    </row>
    <row r="1084" spans="1:2" x14ac:dyDescent="0.25">
      <c r="A1084" s="307"/>
      <c r="B1084" s="307"/>
    </row>
    <row r="1085" spans="1:2" x14ac:dyDescent="0.25">
      <c r="A1085" s="307"/>
      <c r="B1085" s="307"/>
    </row>
    <row r="1086" spans="1:2" x14ac:dyDescent="0.25">
      <c r="A1086" s="307"/>
      <c r="B1086" s="307"/>
    </row>
    <row r="1087" spans="1:2" x14ac:dyDescent="0.25">
      <c r="A1087" s="307"/>
      <c r="B1087" s="307"/>
    </row>
    <row r="1088" spans="1:2" x14ac:dyDescent="0.25">
      <c r="A1088" s="307"/>
      <c r="B1088" s="307"/>
    </row>
    <row r="1089" spans="1:2" x14ac:dyDescent="0.25">
      <c r="A1089" s="307"/>
      <c r="B1089" s="307"/>
    </row>
    <row r="1090" spans="1:2" x14ac:dyDescent="0.25">
      <c r="A1090" s="307"/>
      <c r="B1090" s="307"/>
    </row>
    <row r="1091" spans="1:2" x14ac:dyDescent="0.25">
      <c r="A1091" s="307"/>
      <c r="B1091" s="307"/>
    </row>
    <row r="1092" spans="1:2" x14ac:dyDescent="0.25">
      <c r="A1092" s="307"/>
      <c r="B1092" s="307"/>
    </row>
    <row r="1093" spans="1:2" x14ac:dyDescent="0.25">
      <c r="A1093" s="307"/>
      <c r="B1093" s="307"/>
    </row>
    <row r="1094" spans="1:2" x14ac:dyDescent="0.25">
      <c r="A1094" s="307"/>
      <c r="B1094" s="307"/>
    </row>
    <row r="1095" spans="1:2" x14ac:dyDescent="0.25">
      <c r="A1095" s="307"/>
      <c r="B1095" s="307"/>
    </row>
    <row r="1096" spans="1:2" x14ac:dyDescent="0.25">
      <c r="A1096" s="307"/>
      <c r="B1096" s="307"/>
    </row>
    <row r="1097" spans="1:2" x14ac:dyDescent="0.25">
      <c r="A1097" s="307"/>
      <c r="B1097" s="307"/>
    </row>
    <row r="1098" spans="1:2" x14ac:dyDescent="0.25">
      <c r="A1098" s="307"/>
      <c r="B1098" s="307"/>
    </row>
    <row r="1099" spans="1:2" x14ac:dyDescent="0.25">
      <c r="A1099" s="307"/>
      <c r="B1099" s="307"/>
    </row>
    <row r="1100" spans="1:2" x14ac:dyDescent="0.25">
      <c r="A1100" s="307"/>
      <c r="B1100" s="307"/>
    </row>
    <row r="1101" spans="1:2" x14ac:dyDescent="0.25">
      <c r="A1101" s="307"/>
      <c r="B1101" s="307"/>
    </row>
    <row r="1102" spans="1:2" x14ac:dyDescent="0.25">
      <c r="A1102" s="307"/>
      <c r="B1102" s="307"/>
    </row>
    <row r="1103" spans="1:2" x14ac:dyDescent="0.25">
      <c r="A1103" s="307"/>
      <c r="B1103" s="307"/>
    </row>
    <row r="1104" spans="1:2" x14ac:dyDescent="0.25">
      <c r="A1104" s="307"/>
      <c r="B1104" s="307"/>
    </row>
    <row r="1105" spans="1:2" x14ac:dyDescent="0.25">
      <c r="A1105" s="307"/>
      <c r="B1105" s="307"/>
    </row>
    <row r="1106" spans="1:2" x14ac:dyDescent="0.25">
      <c r="A1106" s="307"/>
      <c r="B1106" s="307"/>
    </row>
    <row r="1107" spans="1:2" x14ac:dyDescent="0.25">
      <c r="A1107" s="307"/>
      <c r="B1107" s="307"/>
    </row>
    <row r="1108" spans="1:2" x14ac:dyDescent="0.25">
      <c r="A1108" s="307"/>
      <c r="B1108" s="307"/>
    </row>
    <row r="1109" spans="1:2" x14ac:dyDescent="0.25">
      <c r="A1109" s="307"/>
      <c r="B1109" s="307"/>
    </row>
    <row r="1110" spans="1:2" x14ac:dyDescent="0.25">
      <c r="A1110" s="307"/>
      <c r="B1110" s="307"/>
    </row>
    <row r="1111" spans="1:2" x14ac:dyDescent="0.25">
      <c r="A1111" s="307"/>
      <c r="B1111" s="307"/>
    </row>
    <row r="1112" spans="1:2" x14ac:dyDescent="0.25">
      <c r="A1112" s="307"/>
      <c r="B1112" s="307"/>
    </row>
    <row r="1113" spans="1:2" x14ac:dyDescent="0.25">
      <c r="A1113" s="307"/>
      <c r="B1113" s="307"/>
    </row>
    <row r="1114" spans="1:2" x14ac:dyDescent="0.25">
      <c r="A1114" s="307"/>
      <c r="B1114" s="307"/>
    </row>
    <row r="1115" spans="1:2" x14ac:dyDescent="0.25">
      <c r="A1115" s="307"/>
      <c r="B1115" s="307"/>
    </row>
    <row r="1116" spans="1:2" x14ac:dyDescent="0.25">
      <c r="A1116" s="307"/>
      <c r="B1116" s="307"/>
    </row>
    <row r="1117" spans="1:2" x14ac:dyDescent="0.25">
      <c r="A1117" s="307"/>
      <c r="B1117" s="307"/>
    </row>
    <row r="1118" spans="1:2" x14ac:dyDescent="0.25">
      <c r="A1118" s="307"/>
      <c r="B1118" s="307"/>
    </row>
    <row r="1119" spans="1:2" x14ac:dyDescent="0.25">
      <c r="A1119" s="307"/>
      <c r="B1119" s="307"/>
    </row>
    <row r="1120" spans="1:2" x14ac:dyDescent="0.25">
      <c r="A1120" s="307"/>
      <c r="B1120" s="307"/>
    </row>
    <row r="1121" spans="1:2" x14ac:dyDescent="0.25">
      <c r="A1121" s="307"/>
      <c r="B1121" s="307"/>
    </row>
    <row r="1122" spans="1:2" x14ac:dyDescent="0.25">
      <c r="A1122" s="307"/>
      <c r="B1122" s="307"/>
    </row>
    <row r="1123" spans="1:2" x14ac:dyDescent="0.25">
      <c r="A1123" s="307"/>
      <c r="B1123" s="307"/>
    </row>
    <row r="1124" spans="1:2" x14ac:dyDescent="0.25">
      <c r="A1124" s="307"/>
      <c r="B1124" s="307"/>
    </row>
    <row r="1125" spans="1:2" x14ac:dyDescent="0.25">
      <c r="A1125" s="307"/>
      <c r="B1125" s="307"/>
    </row>
    <row r="1126" spans="1:2" x14ac:dyDescent="0.25">
      <c r="A1126" s="307"/>
      <c r="B1126" s="307"/>
    </row>
    <row r="1127" spans="1:2" x14ac:dyDescent="0.25">
      <c r="A1127" s="307"/>
      <c r="B1127" s="307"/>
    </row>
    <row r="1128" spans="1:2" x14ac:dyDescent="0.25">
      <c r="A1128" s="307"/>
      <c r="B1128" s="307"/>
    </row>
    <row r="1129" spans="1:2" x14ac:dyDescent="0.25">
      <c r="A1129" s="307"/>
      <c r="B1129" s="307"/>
    </row>
    <row r="1130" spans="1:2" x14ac:dyDescent="0.25">
      <c r="A1130" s="307"/>
      <c r="B1130" s="307"/>
    </row>
    <row r="1131" spans="1:2" x14ac:dyDescent="0.25">
      <c r="A1131" s="307"/>
      <c r="B1131" s="307"/>
    </row>
    <row r="1132" spans="1:2" x14ac:dyDescent="0.25">
      <c r="A1132" s="307"/>
      <c r="B1132" s="307"/>
    </row>
    <row r="1133" spans="1:2" x14ac:dyDescent="0.25">
      <c r="A1133" s="307"/>
      <c r="B1133" s="307"/>
    </row>
    <row r="1134" spans="1:2" x14ac:dyDescent="0.25">
      <c r="A1134" s="307"/>
      <c r="B1134" s="307"/>
    </row>
    <row r="1135" spans="1:2" x14ac:dyDescent="0.25">
      <c r="A1135" s="307"/>
      <c r="B1135" s="307"/>
    </row>
    <row r="1136" spans="1:2" x14ac:dyDescent="0.25">
      <c r="A1136" s="307"/>
      <c r="B1136" s="307"/>
    </row>
    <row r="1137" spans="1:2" x14ac:dyDescent="0.25">
      <c r="A1137" s="307"/>
      <c r="B1137" s="307"/>
    </row>
    <row r="1138" spans="1:2" x14ac:dyDescent="0.25">
      <c r="A1138" s="307"/>
      <c r="B1138" s="307"/>
    </row>
    <row r="1139" spans="1:2" x14ac:dyDescent="0.25">
      <c r="A1139" s="307"/>
      <c r="B1139" s="307"/>
    </row>
    <row r="1140" spans="1:2" x14ac:dyDescent="0.25">
      <c r="A1140" s="307"/>
      <c r="B1140" s="307"/>
    </row>
    <row r="1141" spans="1:2" x14ac:dyDescent="0.25">
      <c r="A1141" s="307"/>
      <c r="B1141" s="307"/>
    </row>
    <row r="1142" spans="1:2" x14ac:dyDescent="0.25">
      <c r="A1142" s="307"/>
      <c r="B1142" s="307"/>
    </row>
    <row r="1143" spans="1:2" x14ac:dyDescent="0.25">
      <c r="A1143" s="307"/>
      <c r="B1143" s="307"/>
    </row>
    <row r="1144" spans="1:2" x14ac:dyDescent="0.25">
      <c r="A1144" s="307"/>
      <c r="B1144" s="307"/>
    </row>
    <row r="1145" spans="1:2" x14ac:dyDescent="0.25">
      <c r="A1145" s="307"/>
      <c r="B1145" s="307"/>
    </row>
    <row r="1146" spans="1:2" x14ac:dyDescent="0.25">
      <c r="A1146" s="307"/>
      <c r="B1146" s="307"/>
    </row>
    <row r="1147" spans="1:2" x14ac:dyDescent="0.25">
      <c r="A1147" s="307"/>
      <c r="B1147" s="307"/>
    </row>
    <row r="1148" spans="1:2" x14ac:dyDescent="0.25">
      <c r="A1148" s="307"/>
      <c r="B1148" s="307"/>
    </row>
    <row r="1149" spans="1:2" x14ac:dyDescent="0.25">
      <c r="A1149" s="307"/>
      <c r="B1149" s="307"/>
    </row>
    <row r="1150" spans="1:2" x14ac:dyDescent="0.25">
      <c r="A1150" s="307"/>
      <c r="B1150" s="307"/>
    </row>
    <row r="1151" spans="1:2" x14ac:dyDescent="0.25">
      <c r="A1151" s="307"/>
      <c r="B1151" s="307"/>
    </row>
    <row r="1152" spans="1:2" x14ac:dyDescent="0.25">
      <c r="A1152" s="307"/>
      <c r="B1152" s="307"/>
    </row>
    <row r="1153" spans="1:2" x14ac:dyDescent="0.25">
      <c r="A1153" s="307"/>
      <c r="B1153" s="307"/>
    </row>
    <row r="1154" spans="1:2" x14ac:dyDescent="0.25">
      <c r="A1154" s="307"/>
      <c r="B1154" s="307"/>
    </row>
    <row r="1155" spans="1:2" x14ac:dyDescent="0.25">
      <c r="A1155" s="307"/>
      <c r="B1155" s="307"/>
    </row>
    <row r="1156" spans="1:2" x14ac:dyDescent="0.25">
      <c r="A1156" s="307"/>
      <c r="B1156" s="307"/>
    </row>
    <row r="1157" spans="1:2" x14ac:dyDescent="0.25">
      <c r="A1157" s="307"/>
      <c r="B1157" s="307"/>
    </row>
    <row r="1158" spans="1:2" x14ac:dyDescent="0.25">
      <c r="A1158" s="307"/>
      <c r="B1158" s="307"/>
    </row>
    <row r="1159" spans="1:2" x14ac:dyDescent="0.25">
      <c r="A1159" s="307"/>
      <c r="B1159" s="307"/>
    </row>
    <row r="1160" spans="1:2" x14ac:dyDescent="0.25">
      <c r="A1160" s="307"/>
      <c r="B1160" s="307"/>
    </row>
    <row r="1161" spans="1:2" x14ac:dyDescent="0.25">
      <c r="A1161" s="307"/>
      <c r="B1161" s="307"/>
    </row>
    <row r="1162" spans="1:2" x14ac:dyDescent="0.25">
      <c r="A1162" s="307"/>
      <c r="B1162" s="307"/>
    </row>
    <row r="1163" spans="1:2" x14ac:dyDescent="0.25">
      <c r="A1163" s="307"/>
      <c r="B1163" s="307"/>
    </row>
    <row r="1164" spans="1:2" x14ac:dyDescent="0.25">
      <c r="A1164" s="307"/>
      <c r="B1164" s="307"/>
    </row>
    <row r="1165" spans="1:2" x14ac:dyDescent="0.25">
      <c r="A1165" s="307"/>
      <c r="B1165" s="307"/>
    </row>
    <row r="1166" spans="1:2" x14ac:dyDescent="0.25">
      <c r="A1166" s="307"/>
      <c r="B1166" s="307"/>
    </row>
    <row r="1167" spans="1:2" x14ac:dyDescent="0.25">
      <c r="A1167" s="307"/>
      <c r="B1167" s="307"/>
    </row>
    <row r="1168" spans="1:2" x14ac:dyDescent="0.25">
      <c r="A1168" s="307"/>
      <c r="B1168" s="307"/>
    </row>
    <row r="1169" spans="1:2" x14ac:dyDescent="0.25">
      <c r="A1169" s="307"/>
      <c r="B1169" s="307"/>
    </row>
    <row r="1170" spans="1:2" x14ac:dyDescent="0.25">
      <c r="A1170" s="307"/>
      <c r="B1170" s="307"/>
    </row>
    <row r="1171" spans="1:2" x14ac:dyDescent="0.25">
      <c r="A1171" s="307"/>
      <c r="B1171" s="307"/>
    </row>
    <row r="1172" spans="1:2" x14ac:dyDescent="0.25">
      <c r="A1172" s="307"/>
      <c r="B1172" s="307"/>
    </row>
    <row r="1173" spans="1:2" x14ac:dyDescent="0.25">
      <c r="A1173" s="307"/>
      <c r="B1173" s="307"/>
    </row>
    <row r="1174" spans="1:2" x14ac:dyDescent="0.25">
      <c r="A1174" s="307"/>
      <c r="B1174" s="307"/>
    </row>
    <row r="1175" spans="1:2" x14ac:dyDescent="0.25">
      <c r="A1175" s="307"/>
      <c r="B1175" s="307"/>
    </row>
    <row r="1176" spans="1:2" x14ac:dyDescent="0.25">
      <c r="A1176" s="307"/>
      <c r="B1176" s="307"/>
    </row>
    <row r="1177" spans="1:2" x14ac:dyDescent="0.25">
      <c r="A1177" s="307"/>
      <c r="B1177" s="307"/>
    </row>
    <row r="1178" spans="1:2" x14ac:dyDescent="0.25">
      <c r="A1178" s="307"/>
      <c r="B1178" s="307"/>
    </row>
    <row r="1179" spans="1:2" x14ac:dyDescent="0.25">
      <c r="A1179" s="307"/>
      <c r="B1179" s="307"/>
    </row>
    <row r="1180" spans="1:2" x14ac:dyDescent="0.25">
      <c r="A1180" s="307"/>
      <c r="B1180" s="307"/>
    </row>
    <row r="1181" spans="1:2" x14ac:dyDescent="0.25">
      <c r="A1181" s="307"/>
      <c r="B1181" s="307"/>
    </row>
    <row r="1182" spans="1:2" x14ac:dyDescent="0.25">
      <c r="A1182" s="307"/>
      <c r="B1182" s="307"/>
    </row>
    <row r="1183" spans="1:2" x14ac:dyDescent="0.25">
      <c r="A1183" s="307"/>
      <c r="B1183" s="307"/>
    </row>
    <row r="1184" spans="1:2" x14ac:dyDescent="0.25">
      <c r="A1184" s="307"/>
      <c r="B1184" s="307"/>
    </row>
    <row r="1185" spans="1:2" x14ac:dyDescent="0.25">
      <c r="A1185" s="307"/>
      <c r="B1185" s="307"/>
    </row>
    <row r="1186" spans="1:2" x14ac:dyDescent="0.25">
      <c r="A1186" s="307"/>
      <c r="B1186" s="307"/>
    </row>
    <row r="1187" spans="1:2" x14ac:dyDescent="0.25">
      <c r="A1187" s="307"/>
      <c r="B1187" s="307"/>
    </row>
    <row r="1188" spans="1:2" x14ac:dyDescent="0.25">
      <c r="A1188" s="307"/>
      <c r="B1188" s="307"/>
    </row>
    <row r="1189" spans="1:2" x14ac:dyDescent="0.25">
      <c r="A1189" s="307"/>
      <c r="B1189" s="307"/>
    </row>
    <row r="1190" spans="1:2" x14ac:dyDescent="0.25">
      <c r="A1190" s="307"/>
      <c r="B1190" s="307"/>
    </row>
    <row r="1191" spans="1:2" x14ac:dyDescent="0.25">
      <c r="A1191" s="307"/>
      <c r="B1191" s="307"/>
    </row>
    <row r="1192" spans="1:2" x14ac:dyDescent="0.25">
      <c r="A1192" s="307"/>
      <c r="B1192" s="307"/>
    </row>
    <row r="1193" spans="1:2" x14ac:dyDescent="0.25">
      <c r="A1193" s="307"/>
      <c r="B1193" s="307"/>
    </row>
    <row r="1194" spans="1:2" x14ac:dyDescent="0.25">
      <c r="A1194" s="307"/>
      <c r="B1194" s="307"/>
    </row>
    <row r="1195" spans="1:2" x14ac:dyDescent="0.25">
      <c r="A1195" s="307"/>
      <c r="B1195" s="307"/>
    </row>
    <row r="1196" spans="1:2" x14ac:dyDescent="0.25">
      <c r="A1196" s="307"/>
      <c r="B1196" s="307"/>
    </row>
    <row r="1197" spans="1:2" x14ac:dyDescent="0.25">
      <c r="A1197" s="307"/>
      <c r="B1197" s="307"/>
    </row>
    <row r="1198" spans="1:2" x14ac:dyDescent="0.25">
      <c r="A1198" s="307"/>
      <c r="B1198" s="307"/>
    </row>
    <row r="1199" spans="1:2" x14ac:dyDescent="0.25">
      <c r="A1199" s="307"/>
      <c r="B1199" s="307"/>
    </row>
    <row r="1200" spans="1:2" x14ac:dyDescent="0.25">
      <c r="A1200" s="307"/>
      <c r="B1200" s="307"/>
    </row>
    <row r="1201" spans="1:2" x14ac:dyDescent="0.25">
      <c r="A1201" s="307"/>
      <c r="B1201" s="307"/>
    </row>
    <row r="1202" spans="1:2" x14ac:dyDescent="0.25">
      <c r="A1202" s="307"/>
      <c r="B1202" s="307"/>
    </row>
    <row r="1203" spans="1:2" x14ac:dyDescent="0.25">
      <c r="A1203" s="307"/>
      <c r="B1203" s="307"/>
    </row>
    <row r="1204" spans="1:2" x14ac:dyDescent="0.25">
      <c r="A1204" s="307"/>
      <c r="B1204" s="307"/>
    </row>
    <row r="1205" spans="1:2" x14ac:dyDescent="0.25">
      <c r="A1205" s="307"/>
      <c r="B1205" s="307"/>
    </row>
    <row r="1206" spans="1:2" x14ac:dyDescent="0.25">
      <c r="A1206" s="307"/>
      <c r="B1206" s="307"/>
    </row>
    <row r="1207" spans="1:2" x14ac:dyDescent="0.25">
      <c r="A1207" s="307"/>
      <c r="B1207" s="307"/>
    </row>
    <row r="1208" spans="1:2" x14ac:dyDescent="0.25">
      <c r="A1208" s="307"/>
      <c r="B1208" s="307"/>
    </row>
    <row r="1209" spans="1:2" x14ac:dyDescent="0.25">
      <c r="A1209" s="307"/>
      <c r="B1209" s="307"/>
    </row>
    <row r="1210" spans="1:2" x14ac:dyDescent="0.25">
      <c r="A1210" s="307"/>
      <c r="B1210" s="307"/>
    </row>
    <row r="1211" spans="1:2" x14ac:dyDescent="0.25">
      <c r="A1211" s="307"/>
      <c r="B1211" s="307"/>
    </row>
    <row r="1212" spans="1:2" x14ac:dyDescent="0.25">
      <c r="A1212" s="307"/>
      <c r="B1212" s="307"/>
    </row>
    <row r="1213" spans="1:2" x14ac:dyDescent="0.25">
      <c r="A1213" s="307"/>
      <c r="B1213" s="307"/>
    </row>
    <row r="1214" spans="1:2" x14ac:dyDescent="0.25">
      <c r="A1214" s="307"/>
      <c r="B1214" s="307"/>
    </row>
    <row r="1215" spans="1:2" x14ac:dyDescent="0.25">
      <c r="A1215" s="307"/>
      <c r="B1215" s="307"/>
    </row>
    <row r="1216" spans="1:2" x14ac:dyDescent="0.25">
      <c r="A1216" s="307"/>
      <c r="B1216" s="307"/>
    </row>
    <row r="1217" spans="1:2" x14ac:dyDescent="0.25">
      <c r="A1217" s="307"/>
      <c r="B1217" s="307"/>
    </row>
    <row r="1218" spans="1:2" x14ac:dyDescent="0.25">
      <c r="A1218" s="307"/>
      <c r="B1218" s="307"/>
    </row>
    <row r="1219" spans="1:2" x14ac:dyDescent="0.25">
      <c r="A1219" s="307"/>
      <c r="B1219" s="307"/>
    </row>
    <row r="1220" spans="1:2" x14ac:dyDescent="0.25">
      <c r="A1220" s="307"/>
      <c r="B1220" s="307"/>
    </row>
    <row r="1221" spans="1:2" x14ac:dyDescent="0.25">
      <c r="A1221" s="307"/>
      <c r="B1221" s="307"/>
    </row>
    <row r="1222" spans="1:2" x14ac:dyDescent="0.25">
      <c r="A1222" s="307"/>
      <c r="B1222" s="307"/>
    </row>
    <row r="1223" spans="1:2" x14ac:dyDescent="0.25">
      <c r="A1223" s="307"/>
      <c r="B1223" s="307"/>
    </row>
    <row r="1224" spans="1:2" x14ac:dyDescent="0.25">
      <c r="A1224" s="307"/>
      <c r="B1224" s="307"/>
    </row>
    <row r="1225" spans="1:2" x14ac:dyDescent="0.25">
      <c r="A1225" s="307"/>
      <c r="B1225" s="307"/>
    </row>
    <row r="1226" spans="1:2" x14ac:dyDescent="0.25">
      <c r="A1226" s="307"/>
      <c r="B1226" s="307"/>
    </row>
    <row r="1227" spans="1:2" x14ac:dyDescent="0.25">
      <c r="A1227" s="307"/>
      <c r="B1227" s="307"/>
    </row>
    <row r="1228" spans="1:2" x14ac:dyDescent="0.25">
      <c r="A1228" s="307"/>
      <c r="B1228" s="307"/>
    </row>
    <row r="1229" spans="1:2" x14ac:dyDescent="0.25">
      <c r="A1229" s="307"/>
      <c r="B1229" s="307"/>
    </row>
    <row r="1230" spans="1:2" x14ac:dyDescent="0.25">
      <c r="A1230" s="307"/>
      <c r="B1230" s="307"/>
    </row>
    <row r="1231" spans="1:2" x14ac:dyDescent="0.25">
      <c r="A1231" s="307"/>
      <c r="B1231" s="307"/>
    </row>
    <row r="1232" spans="1:2" x14ac:dyDescent="0.25">
      <c r="A1232" s="307"/>
      <c r="B1232" s="307"/>
    </row>
    <row r="1233" spans="1:2" x14ac:dyDescent="0.25">
      <c r="A1233" s="307"/>
      <c r="B1233" s="307"/>
    </row>
    <row r="1234" spans="1:2" x14ac:dyDescent="0.25">
      <c r="A1234" s="307"/>
      <c r="B1234" s="307"/>
    </row>
    <row r="1235" spans="1:2" x14ac:dyDescent="0.25">
      <c r="A1235" s="307"/>
      <c r="B1235" s="307"/>
    </row>
    <row r="1236" spans="1:2" x14ac:dyDescent="0.25">
      <c r="A1236" s="307"/>
      <c r="B1236" s="307"/>
    </row>
    <row r="1237" spans="1:2" x14ac:dyDescent="0.25">
      <c r="A1237" s="307"/>
      <c r="B1237" s="307"/>
    </row>
    <row r="1238" spans="1:2" x14ac:dyDescent="0.25">
      <c r="A1238" s="307"/>
      <c r="B1238" s="307"/>
    </row>
    <row r="1239" spans="1:2" x14ac:dyDescent="0.25">
      <c r="A1239" s="307"/>
      <c r="B1239" s="307"/>
    </row>
    <row r="1240" spans="1:2" x14ac:dyDescent="0.25">
      <c r="A1240" s="307"/>
      <c r="B1240" s="307"/>
    </row>
    <row r="1241" spans="1:2" x14ac:dyDescent="0.25">
      <c r="A1241" s="307"/>
      <c r="B1241" s="307"/>
    </row>
    <row r="1242" spans="1:2" x14ac:dyDescent="0.25">
      <c r="A1242" s="307"/>
      <c r="B1242" s="307"/>
    </row>
    <row r="1243" spans="1:2" x14ac:dyDescent="0.25">
      <c r="A1243" s="307"/>
      <c r="B1243" s="307"/>
    </row>
    <row r="1244" spans="1:2" x14ac:dyDescent="0.25">
      <c r="A1244" s="307"/>
      <c r="B1244" s="307"/>
    </row>
    <row r="1245" spans="1:2" x14ac:dyDescent="0.25">
      <c r="A1245" s="307"/>
      <c r="B1245" s="307"/>
    </row>
    <row r="1246" spans="1:2" x14ac:dyDescent="0.25">
      <c r="A1246" s="307"/>
      <c r="B1246" s="307"/>
    </row>
    <row r="1247" spans="1:2" x14ac:dyDescent="0.25">
      <c r="A1247" s="307"/>
      <c r="B1247" s="307"/>
    </row>
    <row r="1248" spans="1:2" x14ac:dyDescent="0.25">
      <c r="A1248" s="307"/>
      <c r="B1248" s="307"/>
    </row>
    <row r="1249" spans="1:2" x14ac:dyDescent="0.25">
      <c r="A1249" s="307"/>
      <c r="B1249" s="307"/>
    </row>
    <row r="1250" spans="1:2" x14ac:dyDescent="0.25">
      <c r="A1250" s="307"/>
      <c r="B1250" s="307"/>
    </row>
    <row r="1251" spans="1:2" x14ac:dyDescent="0.25">
      <c r="A1251" s="307"/>
      <c r="B1251" s="307"/>
    </row>
    <row r="1252" spans="1:2" x14ac:dyDescent="0.25">
      <c r="A1252" s="307"/>
      <c r="B1252" s="307"/>
    </row>
    <row r="1253" spans="1:2" x14ac:dyDescent="0.25">
      <c r="A1253" s="307"/>
      <c r="B1253" s="307"/>
    </row>
    <row r="1254" spans="1:2" x14ac:dyDescent="0.25">
      <c r="A1254" s="307"/>
      <c r="B1254" s="307"/>
    </row>
    <row r="1255" spans="1:2" x14ac:dyDescent="0.25">
      <c r="A1255" s="307"/>
      <c r="B1255" s="307"/>
    </row>
    <row r="1256" spans="1:2" x14ac:dyDescent="0.25">
      <c r="A1256" s="307"/>
      <c r="B1256" s="307"/>
    </row>
    <row r="1257" spans="1:2" x14ac:dyDescent="0.25">
      <c r="A1257" s="307"/>
      <c r="B1257" s="307"/>
    </row>
    <row r="1258" spans="1:2" x14ac:dyDescent="0.25">
      <c r="A1258" s="307"/>
      <c r="B1258" s="307"/>
    </row>
    <row r="1259" spans="1:2" x14ac:dyDescent="0.25">
      <c r="A1259" s="307"/>
      <c r="B1259" s="307"/>
    </row>
    <row r="1260" spans="1:2" x14ac:dyDescent="0.25">
      <c r="A1260" s="307"/>
      <c r="B1260" s="307"/>
    </row>
    <row r="1261" spans="1:2" x14ac:dyDescent="0.25">
      <c r="A1261" s="307"/>
      <c r="B1261" s="307"/>
    </row>
    <row r="1262" spans="1:2" x14ac:dyDescent="0.25">
      <c r="A1262" s="307"/>
      <c r="B1262" s="307"/>
    </row>
    <row r="1263" spans="1:2" x14ac:dyDescent="0.25">
      <c r="A1263" s="307"/>
      <c r="B1263" s="307"/>
    </row>
    <row r="1264" spans="1:2" x14ac:dyDescent="0.25">
      <c r="A1264" s="307"/>
      <c r="B1264" s="307"/>
    </row>
    <row r="1265" spans="1:2" x14ac:dyDescent="0.25">
      <c r="A1265" s="307"/>
      <c r="B1265" s="307"/>
    </row>
    <row r="1266" spans="1:2" x14ac:dyDescent="0.25">
      <c r="A1266" s="307"/>
      <c r="B1266" s="307"/>
    </row>
    <row r="1267" spans="1:2" x14ac:dyDescent="0.25">
      <c r="A1267" s="307"/>
      <c r="B1267" s="307"/>
    </row>
    <row r="1268" spans="1:2" x14ac:dyDescent="0.25">
      <c r="A1268" s="307"/>
      <c r="B1268" s="307"/>
    </row>
    <row r="1269" spans="1:2" x14ac:dyDescent="0.25">
      <c r="A1269" s="307"/>
      <c r="B1269" s="307"/>
    </row>
    <row r="1270" spans="1:2" x14ac:dyDescent="0.25">
      <c r="A1270" s="307"/>
      <c r="B1270" s="307"/>
    </row>
    <row r="1271" spans="1:2" x14ac:dyDescent="0.25">
      <c r="A1271" s="307"/>
      <c r="B1271" s="307"/>
    </row>
    <row r="1272" spans="1:2" x14ac:dyDescent="0.25">
      <c r="A1272" s="307"/>
      <c r="B1272" s="307"/>
    </row>
    <row r="1273" spans="1:2" x14ac:dyDescent="0.25">
      <c r="A1273" s="307"/>
      <c r="B1273" s="307"/>
    </row>
    <row r="1274" spans="1:2" x14ac:dyDescent="0.25">
      <c r="A1274" s="307"/>
      <c r="B1274" s="307"/>
    </row>
    <row r="1275" spans="1:2" x14ac:dyDescent="0.25">
      <c r="A1275" s="307"/>
      <c r="B1275" s="307"/>
    </row>
    <row r="1276" spans="1:2" x14ac:dyDescent="0.25">
      <c r="A1276" s="307"/>
      <c r="B1276" s="307"/>
    </row>
    <row r="1277" spans="1:2" x14ac:dyDescent="0.25">
      <c r="A1277" s="307"/>
      <c r="B1277" s="307"/>
    </row>
    <row r="1278" spans="1:2" x14ac:dyDescent="0.25">
      <c r="A1278" s="307"/>
      <c r="B1278" s="307"/>
    </row>
    <row r="1279" spans="1:2" x14ac:dyDescent="0.25">
      <c r="A1279" s="307"/>
      <c r="B1279" s="307"/>
    </row>
    <row r="1280" spans="1:2" x14ac:dyDescent="0.25">
      <c r="A1280" s="307"/>
      <c r="B1280" s="307"/>
    </row>
    <row r="1281" spans="1:2" x14ac:dyDescent="0.25">
      <c r="A1281" s="307"/>
      <c r="B1281" s="307"/>
    </row>
    <row r="1282" spans="1:2" x14ac:dyDescent="0.25">
      <c r="A1282" s="307"/>
      <c r="B1282" s="307"/>
    </row>
    <row r="1283" spans="1:2" x14ac:dyDescent="0.25">
      <c r="A1283" s="307"/>
      <c r="B1283" s="307"/>
    </row>
    <row r="1284" spans="1:2" x14ac:dyDescent="0.25">
      <c r="A1284" s="307"/>
      <c r="B1284" s="307"/>
    </row>
    <row r="1285" spans="1:2" x14ac:dyDescent="0.25">
      <c r="A1285" s="307"/>
      <c r="B1285" s="307"/>
    </row>
    <row r="1286" spans="1:2" x14ac:dyDescent="0.25">
      <c r="A1286" s="307"/>
      <c r="B1286" s="307"/>
    </row>
    <row r="1287" spans="1:2" x14ac:dyDescent="0.25">
      <c r="A1287" s="307"/>
      <c r="B1287" s="307"/>
    </row>
    <row r="1288" spans="1:2" x14ac:dyDescent="0.25">
      <c r="A1288" s="307"/>
      <c r="B1288" s="307"/>
    </row>
    <row r="1289" spans="1:2" x14ac:dyDescent="0.25">
      <c r="A1289" s="307"/>
      <c r="B1289" s="307"/>
    </row>
    <row r="1290" spans="1:2" x14ac:dyDescent="0.25">
      <c r="A1290" s="307"/>
      <c r="B1290" s="307"/>
    </row>
    <row r="1291" spans="1:2" x14ac:dyDescent="0.25">
      <c r="A1291" s="307"/>
      <c r="B1291" s="307"/>
    </row>
    <row r="1292" spans="1:2" x14ac:dyDescent="0.25">
      <c r="A1292" s="307"/>
      <c r="B1292" s="307"/>
    </row>
    <row r="1293" spans="1:2" x14ac:dyDescent="0.25">
      <c r="A1293" s="307"/>
      <c r="B1293" s="307"/>
    </row>
    <row r="1294" spans="1:2" x14ac:dyDescent="0.25">
      <c r="A1294" s="307"/>
      <c r="B1294" s="307"/>
    </row>
    <row r="1295" spans="1:2" x14ac:dyDescent="0.25">
      <c r="A1295" s="307"/>
      <c r="B1295" s="307"/>
    </row>
    <row r="1296" spans="1:2" x14ac:dyDescent="0.25">
      <c r="A1296" s="307"/>
      <c r="B1296" s="307"/>
    </row>
    <row r="1297" spans="1:2" x14ac:dyDescent="0.25">
      <c r="A1297" s="307"/>
      <c r="B1297" s="307"/>
    </row>
    <row r="1298" spans="1:2" x14ac:dyDescent="0.25">
      <c r="A1298" s="307"/>
      <c r="B1298" s="307"/>
    </row>
    <row r="1299" spans="1:2" x14ac:dyDescent="0.25">
      <c r="A1299" s="307"/>
      <c r="B1299" s="307"/>
    </row>
    <row r="1300" spans="1:2" x14ac:dyDescent="0.25">
      <c r="A1300" s="307"/>
      <c r="B1300" s="307"/>
    </row>
    <row r="1301" spans="1:2" x14ac:dyDescent="0.25">
      <c r="A1301" s="307"/>
      <c r="B1301" s="307"/>
    </row>
    <row r="1302" spans="1:2" x14ac:dyDescent="0.25">
      <c r="A1302" s="307"/>
      <c r="B1302" s="307"/>
    </row>
    <row r="1303" spans="1:2" x14ac:dyDescent="0.25">
      <c r="A1303" s="307"/>
      <c r="B1303" s="307"/>
    </row>
    <row r="1304" spans="1:2" x14ac:dyDescent="0.25">
      <c r="A1304" s="307"/>
      <c r="B1304" s="307"/>
    </row>
    <row r="1305" spans="1:2" x14ac:dyDescent="0.25">
      <c r="A1305" s="307"/>
      <c r="B1305" s="307"/>
    </row>
    <row r="1306" spans="1:2" x14ac:dyDescent="0.25">
      <c r="A1306" s="307"/>
      <c r="B1306" s="307"/>
    </row>
    <row r="1307" spans="1:2" x14ac:dyDescent="0.25">
      <c r="A1307" s="307"/>
      <c r="B1307" s="307"/>
    </row>
    <row r="1308" spans="1:2" x14ac:dyDescent="0.25">
      <c r="A1308" s="307"/>
      <c r="B1308" s="307"/>
    </row>
    <row r="1309" spans="1:2" x14ac:dyDescent="0.25">
      <c r="A1309" s="307"/>
      <c r="B1309" s="307"/>
    </row>
    <row r="1310" spans="1:2" x14ac:dyDescent="0.25">
      <c r="A1310" s="307"/>
      <c r="B1310" s="307"/>
    </row>
    <row r="1311" spans="1:2" x14ac:dyDescent="0.25">
      <c r="A1311" s="307"/>
      <c r="B1311" s="307"/>
    </row>
    <row r="1312" spans="1:2" x14ac:dyDescent="0.25">
      <c r="A1312" s="307"/>
      <c r="B1312" s="307"/>
    </row>
    <row r="1313" spans="1:2" x14ac:dyDescent="0.25">
      <c r="A1313" s="307"/>
      <c r="B1313" s="307"/>
    </row>
    <row r="1314" spans="1:2" x14ac:dyDescent="0.25">
      <c r="A1314" s="307"/>
      <c r="B1314" s="307"/>
    </row>
    <row r="1315" spans="1:2" x14ac:dyDescent="0.25">
      <c r="A1315" s="307"/>
      <c r="B1315" s="307"/>
    </row>
    <row r="1316" spans="1:2" x14ac:dyDescent="0.25">
      <c r="A1316" s="307"/>
      <c r="B1316" s="307"/>
    </row>
    <row r="1317" spans="1:2" x14ac:dyDescent="0.25">
      <c r="A1317" s="307"/>
      <c r="B1317" s="307"/>
    </row>
    <row r="1318" spans="1:2" x14ac:dyDescent="0.25">
      <c r="A1318" s="307"/>
      <c r="B1318" s="307"/>
    </row>
    <row r="1319" spans="1:2" x14ac:dyDescent="0.25">
      <c r="A1319" s="307"/>
      <c r="B1319" s="307"/>
    </row>
    <row r="1320" spans="1:2" x14ac:dyDescent="0.25">
      <c r="A1320" s="307"/>
      <c r="B1320" s="307"/>
    </row>
    <row r="1321" spans="1:2" x14ac:dyDescent="0.25">
      <c r="A1321" s="307"/>
      <c r="B1321" s="307"/>
    </row>
    <row r="1322" spans="1:2" x14ac:dyDescent="0.25">
      <c r="A1322" s="307"/>
      <c r="B1322" s="307"/>
    </row>
    <row r="1323" spans="1:2" x14ac:dyDescent="0.25">
      <c r="A1323" s="307"/>
      <c r="B1323" s="307"/>
    </row>
    <row r="1324" spans="1:2" x14ac:dyDescent="0.25">
      <c r="A1324" s="307"/>
      <c r="B1324" s="307"/>
    </row>
    <row r="1325" spans="1:2" x14ac:dyDescent="0.25">
      <c r="A1325" s="307"/>
      <c r="B1325" s="307"/>
    </row>
    <row r="1326" spans="1:2" x14ac:dyDescent="0.25">
      <c r="A1326" s="307"/>
      <c r="B1326" s="307"/>
    </row>
    <row r="1327" spans="1:2" x14ac:dyDescent="0.25">
      <c r="A1327" s="307"/>
      <c r="B1327" s="307"/>
    </row>
    <row r="1328" spans="1:2" x14ac:dyDescent="0.25">
      <c r="A1328" s="307"/>
      <c r="B1328" s="307"/>
    </row>
    <row r="1329" spans="1:2" x14ac:dyDescent="0.25">
      <c r="A1329" s="307"/>
      <c r="B1329" s="307"/>
    </row>
    <row r="1330" spans="1:2" x14ac:dyDescent="0.25">
      <c r="A1330" s="307"/>
      <c r="B1330" s="307"/>
    </row>
    <row r="1331" spans="1:2" x14ac:dyDescent="0.25">
      <c r="A1331" s="307"/>
      <c r="B1331" s="307"/>
    </row>
    <row r="1332" spans="1:2" x14ac:dyDescent="0.25">
      <c r="A1332" s="307"/>
      <c r="B1332" s="307"/>
    </row>
    <row r="1333" spans="1:2" x14ac:dyDescent="0.25">
      <c r="A1333" s="307"/>
      <c r="B1333" s="307"/>
    </row>
    <row r="1334" spans="1:2" x14ac:dyDescent="0.25">
      <c r="A1334" s="307"/>
      <c r="B1334" s="307"/>
    </row>
    <row r="1335" spans="1:2" x14ac:dyDescent="0.25">
      <c r="A1335" s="307"/>
      <c r="B1335" s="307"/>
    </row>
    <row r="1336" spans="1:2" x14ac:dyDescent="0.25">
      <c r="A1336" s="307"/>
      <c r="B1336" s="307"/>
    </row>
    <row r="1337" spans="1:2" x14ac:dyDescent="0.25">
      <c r="A1337" s="307"/>
      <c r="B1337" s="307"/>
    </row>
    <row r="1338" spans="1:2" x14ac:dyDescent="0.25">
      <c r="A1338" s="307"/>
      <c r="B1338" s="307"/>
    </row>
    <row r="1339" spans="1:2" x14ac:dyDescent="0.25">
      <c r="A1339" s="307"/>
      <c r="B1339" s="307"/>
    </row>
    <row r="1340" spans="1:2" x14ac:dyDescent="0.25">
      <c r="A1340" s="307"/>
      <c r="B1340" s="307"/>
    </row>
    <row r="1341" spans="1:2" x14ac:dyDescent="0.25">
      <c r="A1341" s="307"/>
      <c r="B1341" s="307"/>
    </row>
    <row r="1342" spans="1:2" x14ac:dyDescent="0.25">
      <c r="A1342" s="307"/>
      <c r="B1342" s="307"/>
    </row>
    <row r="1343" spans="1:2" x14ac:dyDescent="0.25">
      <c r="A1343" s="307"/>
      <c r="B1343" s="307"/>
    </row>
    <row r="1344" spans="1:2" x14ac:dyDescent="0.25">
      <c r="A1344" s="307"/>
      <c r="B1344" s="307"/>
    </row>
    <row r="1345" spans="1:2" x14ac:dyDescent="0.25">
      <c r="A1345" s="307"/>
      <c r="B1345" s="307"/>
    </row>
    <row r="1346" spans="1:2" x14ac:dyDescent="0.25">
      <c r="A1346" s="307"/>
      <c r="B1346" s="307"/>
    </row>
    <row r="1347" spans="1:2" x14ac:dyDescent="0.25">
      <c r="A1347" s="307"/>
      <c r="B1347" s="307"/>
    </row>
    <row r="1348" spans="1:2" x14ac:dyDescent="0.25">
      <c r="A1348" s="307"/>
      <c r="B1348" s="307"/>
    </row>
    <row r="1349" spans="1:2" x14ac:dyDescent="0.25">
      <c r="A1349" s="307"/>
      <c r="B1349" s="307"/>
    </row>
    <row r="1350" spans="1:2" x14ac:dyDescent="0.25">
      <c r="A1350" s="307"/>
      <c r="B1350" s="307"/>
    </row>
    <row r="1351" spans="1:2" x14ac:dyDescent="0.25">
      <c r="A1351" s="307"/>
      <c r="B1351" s="307"/>
    </row>
    <row r="1352" spans="1:2" x14ac:dyDescent="0.25">
      <c r="A1352" s="307"/>
      <c r="B1352" s="307"/>
    </row>
    <row r="1353" spans="1:2" x14ac:dyDescent="0.25">
      <c r="A1353" s="307"/>
      <c r="B1353" s="307"/>
    </row>
    <row r="1354" spans="1:2" x14ac:dyDescent="0.25">
      <c r="A1354" s="307"/>
      <c r="B1354" s="307"/>
    </row>
    <row r="1355" spans="1:2" x14ac:dyDescent="0.25">
      <c r="A1355" s="307"/>
      <c r="B1355" s="307"/>
    </row>
    <row r="1356" spans="1:2" x14ac:dyDescent="0.25">
      <c r="A1356" s="307"/>
      <c r="B1356" s="307"/>
    </row>
    <row r="1357" spans="1:2" x14ac:dyDescent="0.25">
      <c r="A1357" s="307"/>
      <c r="B1357" s="307"/>
    </row>
    <row r="1358" spans="1:2" x14ac:dyDescent="0.25">
      <c r="A1358" s="307"/>
      <c r="B1358" s="307"/>
    </row>
    <row r="1359" spans="1:2" x14ac:dyDescent="0.25">
      <c r="A1359" s="307"/>
      <c r="B1359" s="307"/>
    </row>
    <row r="1360" spans="1:2" x14ac:dyDescent="0.25">
      <c r="A1360" s="307"/>
      <c r="B1360" s="307"/>
    </row>
    <row r="1361" spans="1:2" x14ac:dyDescent="0.25">
      <c r="A1361" s="307"/>
      <c r="B1361" s="307"/>
    </row>
    <row r="1362" spans="1:2" x14ac:dyDescent="0.25">
      <c r="A1362" s="307"/>
      <c r="B1362" s="307"/>
    </row>
    <row r="1363" spans="1:2" x14ac:dyDescent="0.25">
      <c r="A1363" s="307"/>
      <c r="B1363" s="307"/>
    </row>
    <row r="1364" spans="1:2" x14ac:dyDescent="0.25">
      <c r="A1364" s="307"/>
      <c r="B1364" s="307"/>
    </row>
    <row r="1365" spans="1:2" x14ac:dyDescent="0.25">
      <c r="A1365" s="307"/>
      <c r="B1365" s="307"/>
    </row>
    <row r="1366" spans="1:2" x14ac:dyDescent="0.25">
      <c r="A1366" s="307"/>
      <c r="B1366" s="307"/>
    </row>
    <row r="1367" spans="1:2" x14ac:dyDescent="0.25">
      <c r="A1367" s="307"/>
      <c r="B1367" s="307"/>
    </row>
    <row r="1368" spans="1:2" x14ac:dyDescent="0.25">
      <c r="A1368" s="307"/>
      <c r="B1368" s="307"/>
    </row>
    <row r="1369" spans="1:2" x14ac:dyDescent="0.25">
      <c r="A1369" s="307"/>
      <c r="B1369" s="307"/>
    </row>
    <row r="1370" spans="1:2" x14ac:dyDescent="0.25">
      <c r="A1370" s="307"/>
      <c r="B1370" s="307"/>
    </row>
    <row r="1371" spans="1:2" x14ac:dyDescent="0.25">
      <c r="A1371" s="307"/>
      <c r="B1371" s="307"/>
    </row>
    <row r="1372" spans="1:2" x14ac:dyDescent="0.25">
      <c r="A1372" s="307"/>
      <c r="B1372" s="307"/>
    </row>
    <row r="1373" spans="1:2" x14ac:dyDescent="0.25">
      <c r="A1373" s="307"/>
      <c r="B1373" s="307"/>
    </row>
    <row r="1374" spans="1:2" x14ac:dyDescent="0.25">
      <c r="A1374" s="307"/>
      <c r="B1374" s="307"/>
    </row>
    <row r="1375" spans="1:2" x14ac:dyDescent="0.25">
      <c r="A1375" s="307"/>
      <c r="B1375" s="307"/>
    </row>
    <row r="1376" spans="1:2" x14ac:dyDescent="0.25">
      <c r="A1376" s="307"/>
      <c r="B1376" s="307"/>
    </row>
    <row r="1377" spans="1:2" x14ac:dyDescent="0.25">
      <c r="A1377" s="307"/>
      <c r="B1377" s="307"/>
    </row>
    <row r="1378" spans="1:2" x14ac:dyDescent="0.25">
      <c r="A1378" s="307"/>
      <c r="B1378" s="307"/>
    </row>
    <row r="1379" spans="1:2" x14ac:dyDescent="0.25">
      <c r="A1379" s="307"/>
      <c r="B1379" s="307"/>
    </row>
    <row r="1380" spans="1:2" x14ac:dyDescent="0.25">
      <c r="A1380" s="307"/>
      <c r="B1380" s="307"/>
    </row>
    <row r="1381" spans="1:2" x14ac:dyDescent="0.25">
      <c r="A1381" s="307"/>
      <c r="B1381" s="307"/>
    </row>
    <row r="1382" spans="1:2" x14ac:dyDescent="0.25">
      <c r="A1382" s="307"/>
      <c r="B1382" s="307"/>
    </row>
    <row r="1383" spans="1:2" x14ac:dyDescent="0.25">
      <c r="A1383" s="307"/>
      <c r="B1383" s="307"/>
    </row>
    <row r="1384" spans="1:2" x14ac:dyDescent="0.25">
      <c r="A1384" s="307"/>
      <c r="B1384" s="307"/>
    </row>
    <row r="1385" spans="1:2" x14ac:dyDescent="0.25">
      <c r="A1385" s="307"/>
      <c r="B1385" s="307"/>
    </row>
    <row r="1386" spans="1:2" x14ac:dyDescent="0.25">
      <c r="A1386" s="307"/>
      <c r="B1386" s="307"/>
    </row>
    <row r="1387" spans="1:2" x14ac:dyDescent="0.25">
      <c r="A1387" s="307"/>
      <c r="B1387" s="307"/>
    </row>
    <row r="1388" spans="1:2" x14ac:dyDescent="0.25">
      <c r="A1388" s="307"/>
      <c r="B1388" s="307"/>
    </row>
    <row r="1389" spans="1:2" x14ac:dyDescent="0.25">
      <c r="A1389" s="307"/>
      <c r="B1389" s="307"/>
    </row>
    <row r="1390" spans="1:2" x14ac:dyDescent="0.25">
      <c r="A1390" s="307"/>
      <c r="B1390" s="307"/>
    </row>
    <row r="1391" spans="1:2" x14ac:dyDescent="0.25">
      <c r="A1391" s="307"/>
      <c r="B1391" s="307"/>
    </row>
    <row r="1392" spans="1:2" x14ac:dyDescent="0.25">
      <c r="A1392" s="307"/>
      <c r="B1392" s="307"/>
    </row>
    <row r="1393" spans="1:2" x14ac:dyDescent="0.25">
      <c r="A1393" s="307"/>
      <c r="B1393" s="307"/>
    </row>
    <row r="1394" spans="1:2" x14ac:dyDescent="0.25">
      <c r="A1394" s="307"/>
      <c r="B1394" s="307"/>
    </row>
    <row r="1395" spans="1:2" x14ac:dyDescent="0.25">
      <c r="A1395" s="307"/>
      <c r="B1395" s="307"/>
    </row>
    <row r="1396" spans="1:2" x14ac:dyDescent="0.25">
      <c r="A1396" s="307"/>
      <c r="B1396" s="307"/>
    </row>
    <row r="1397" spans="1:2" x14ac:dyDescent="0.25">
      <c r="A1397" s="307"/>
      <c r="B1397" s="307"/>
    </row>
    <row r="1398" spans="1:2" x14ac:dyDescent="0.25">
      <c r="A1398" s="307"/>
      <c r="B1398" s="307"/>
    </row>
    <row r="1399" spans="1:2" x14ac:dyDescent="0.25">
      <c r="A1399" s="307"/>
      <c r="B1399" s="307"/>
    </row>
    <row r="1400" spans="1:2" x14ac:dyDescent="0.25">
      <c r="A1400" s="307"/>
      <c r="B1400" s="307"/>
    </row>
    <row r="1401" spans="1:2" x14ac:dyDescent="0.25">
      <c r="A1401" s="307"/>
      <c r="B1401" s="307"/>
    </row>
    <row r="1402" spans="1:2" x14ac:dyDescent="0.25">
      <c r="A1402" s="307"/>
      <c r="B1402" s="307"/>
    </row>
    <row r="1403" spans="1:2" x14ac:dyDescent="0.25">
      <c r="A1403" s="307"/>
      <c r="B1403" s="307"/>
    </row>
    <row r="1404" spans="1:2" x14ac:dyDescent="0.25">
      <c r="A1404" s="307"/>
      <c r="B1404" s="307"/>
    </row>
    <row r="1405" spans="1:2" x14ac:dyDescent="0.25">
      <c r="A1405" s="307"/>
      <c r="B1405" s="307"/>
    </row>
    <row r="1406" spans="1:2" x14ac:dyDescent="0.25">
      <c r="A1406" s="307"/>
      <c r="B1406" s="307"/>
    </row>
    <row r="1407" spans="1:2" x14ac:dyDescent="0.25">
      <c r="A1407" s="307"/>
      <c r="B1407" s="307"/>
    </row>
    <row r="1408" spans="1:2" x14ac:dyDescent="0.25">
      <c r="A1408" s="307"/>
      <c r="B1408" s="307"/>
    </row>
    <row r="1409" spans="1:2" x14ac:dyDescent="0.25">
      <c r="A1409" s="307"/>
      <c r="B1409" s="307"/>
    </row>
    <row r="1410" spans="1:2" x14ac:dyDescent="0.25">
      <c r="A1410" s="307"/>
      <c r="B1410" s="307"/>
    </row>
    <row r="1411" spans="1:2" x14ac:dyDescent="0.25">
      <c r="A1411" s="307"/>
      <c r="B1411" s="307"/>
    </row>
    <row r="1412" spans="1:2" x14ac:dyDescent="0.25">
      <c r="A1412" s="307"/>
      <c r="B1412" s="307"/>
    </row>
    <row r="1413" spans="1:2" x14ac:dyDescent="0.25">
      <c r="A1413" s="307"/>
      <c r="B1413" s="307"/>
    </row>
    <row r="1414" spans="1:2" x14ac:dyDescent="0.25">
      <c r="A1414" s="307"/>
      <c r="B1414" s="307"/>
    </row>
    <row r="1415" spans="1:2" x14ac:dyDescent="0.25">
      <c r="A1415" s="307"/>
      <c r="B1415" s="307"/>
    </row>
    <row r="1416" spans="1:2" x14ac:dyDescent="0.25">
      <c r="A1416" s="307"/>
      <c r="B1416" s="307"/>
    </row>
    <row r="1417" spans="1:2" x14ac:dyDescent="0.25">
      <c r="A1417" s="307"/>
      <c r="B1417" s="307"/>
    </row>
    <row r="1418" spans="1:2" x14ac:dyDescent="0.25">
      <c r="A1418" s="307"/>
      <c r="B1418" s="307"/>
    </row>
    <row r="1419" spans="1:2" x14ac:dyDescent="0.25">
      <c r="A1419" s="307"/>
      <c r="B1419" s="307"/>
    </row>
    <row r="1420" spans="1:2" x14ac:dyDescent="0.25">
      <c r="A1420" s="307"/>
      <c r="B1420" s="307"/>
    </row>
    <row r="1421" spans="1:2" x14ac:dyDescent="0.25">
      <c r="A1421" s="307"/>
      <c r="B1421" s="307"/>
    </row>
    <row r="1422" spans="1:2" x14ac:dyDescent="0.25">
      <c r="A1422" s="307"/>
      <c r="B1422" s="307"/>
    </row>
    <row r="1423" spans="1:2" x14ac:dyDescent="0.25">
      <c r="A1423" s="307"/>
      <c r="B1423" s="307"/>
    </row>
    <row r="1424" spans="1:2" x14ac:dyDescent="0.25">
      <c r="A1424" s="307"/>
      <c r="B1424" s="307"/>
    </row>
    <row r="1425" spans="1:2" x14ac:dyDescent="0.25">
      <c r="A1425" s="307"/>
      <c r="B1425" s="307"/>
    </row>
    <row r="1426" spans="1:2" x14ac:dyDescent="0.25">
      <c r="A1426" s="307"/>
      <c r="B1426" s="307"/>
    </row>
    <row r="1427" spans="1:2" x14ac:dyDescent="0.25">
      <c r="A1427" s="307"/>
      <c r="B1427" s="307"/>
    </row>
    <row r="1428" spans="1:2" x14ac:dyDescent="0.25">
      <c r="A1428" s="307"/>
      <c r="B1428" s="307"/>
    </row>
    <row r="1429" spans="1:2" x14ac:dyDescent="0.25">
      <c r="A1429" s="307"/>
      <c r="B1429" s="307"/>
    </row>
    <row r="1430" spans="1:2" x14ac:dyDescent="0.25">
      <c r="A1430" s="307"/>
      <c r="B1430" s="307"/>
    </row>
    <row r="1431" spans="1:2" x14ac:dyDescent="0.25">
      <c r="A1431" s="307"/>
      <c r="B1431" s="307"/>
    </row>
    <row r="1432" spans="1:2" x14ac:dyDescent="0.25">
      <c r="A1432" s="307"/>
      <c r="B1432" s="307"/>
    </row>
    <row r="1433" spans="1:2" x14ac:dyDescent="0.25">
      <c r="A1433" s="307"/>
      <c r="B1433" s="307"/>
    </row>
    <row r="1434" spans="1:2" x14ac:dyDescent="0.25">
      <c r="A1434" s="307"/>
      <c r="B1434" s="307"/>
    </row>
    <row r="1435" spans="1:2" x14ac:dyDescent="0.25">
      <c r="A1435" s="307"/>
      <c r="B1435" s="307"/>
    </row>
    <row r="1436" spans="1:2" x14ac:dyDescent="0.25">
      <c r="A1436" s="307"/>
      <c r="B1436" s="307"/>
    </row>
    <row r="1437" spans="1:2" x14ac:dyDescent="0.25">
      <c r="A1437" s="307"/>
      <c r="B1437" s="307"/>
    </row>
    <row r="1438" spans="1:2" x14ac:dyDescent="0.25">
      <c r="A1438" s="307"/>
      <c r="B1438" s="307"/>
    </row>
    <row r="1439" spans="1:2" x14ac:dyDescent="0.25">
      <c r="A1439" s="307"/>
      <c r="B1439" s="307"/>
    </row>
    <row r="1440" spans="1:2" x14ac:dyDescent="0.25">
      <c r="A1440" s="307"/>
      <c r="B1440" s="307"/>
    </row>
    <row r="1441" spans="1:2" x14ac:dyDescent="0.25">
      <c r="A1441" s="307"/>
      <c r="B1441" s="307"/>
    </row>
    <row r="1442" spans="1:2" x14ac:dyDescent="0.25">
      <c r="A1442" s="307"/>
      <c r="B1442" s="307"/>
    </row>
    <row r="1443" spans="1:2" x14ac:dyDescent="0.25">
      <c r="A1443" s="307"/>
      <c r="B1443" s="307"/>
    </row>
    <row r="1444" spans="1:2" x14ac:dyDescent="0.25">
      <c r="A1444" s="307"/>
      <c r="B1444" s="307"/>
    </row>
    <row r="1445" spans="1:2" x14ac:dyDescent="0.25">
      <c r="A1445" s="307"/>
      <c r="B1445" s="307"/>
    </row>
    <row r="1446" spans="1:2" x14ac:dyDescent="0.25">
      <c r="A1446" s="307"/>
      <c r="B1446" s="307"/>
    </row>
    <row r="1447" spans="1:2" x14ac:dyDescent="0.25">
      <c r="A1447" s="307"/>
      <c r="B1447" s="307"/>
    </row>
    <row r="1448" spans="1:2" x14ac:dyDescent="0.25">
      <c r="A1448" s="307"/>
      <c r="B1448" s="307"/>
    </row>
    <row r="1449" spans="1:2" x14ac:dyDescent="0.25">
      <c r="A1449" s="307"/>
      <c r="B1449" s="307"/>
    </row>
    <row r="1450" spans="1:2" x14ac:dyDescent="0.25">
      <c r="A1450" s="307"/>
      <c r="B1450" s="307"/>
    </row>
    <row r="1451" spans="1:2" x14ac:dyDescent="0.25">
      <c r="A1451" s="307"/>
      <c r="B1451" s="307"/>
    </row>
    <row r="1452" spans="1:2" x14ac:dyDescent="0.25">
      <c r="A1452" s="307"/>
      <c r="B1452" s="307"/>
    </row>
    <row r="1453" spans="1:2" x14ac:dyDescent="0.25">
      <c r="A1453" s="307"/>
      <c r="B1453" s="307"/>
    </row>
    <row r="1454" spans="1:2" x14ac:dyDescent="0.25">
      <c r="A1454" s="307"/>
      <c r="B1454" s="307"/>
    </row>
    <row r="1455" spans="1:2" x14ac:dyDescent="0.25">
      <c r="A1455" s="307"/>
      <c r="B1455" s="307"/>
    </row>
    <row r="1456" spans="1:2" x14ac:dyDescent="0.25">
      <c r="A1456" s="307"/>
      <c r="B1456" s="307"/>
    </row>
    <row r="1457" spans="1:2" x14ac:dyDescent="0.25">
      <c r="A1457" s="307"/>
      <c r="B1457" s="307"/>
    </row>
    <row r="1458" spans="1:2" x14ac:dyDescent="0.25">
      <c r="A1458" s="307"/>
      <c r="B1458" s="307"/>
    </row>
    <row r="1459" spans="1:2" x14ac:dyDescent="0.25">
      <c r="A1459" s="307"/>
      <c r="B1459" s="307"/>
    </row>
    <row r="1460" spans="1:2" x14ac:dyDescent="0.25">
      <c r="A1460" s="307"/>
      <c r="B1460" s="307"/>
    </row>
    <row r="1461" spans="1:2" x14ac:dyDescent="0.25">
      <c r="A1461" s="307"/>
      <c r="B1461" s="307"/>
    </row>
    <row r="1462" spans="1:2" x14ac:dyDescent="0.25">
      <c r="A1462" s="307"/>
      <c r="B1462" s="307"/>
    </row>
    <row r="1463" spans="1:2" x14ac:dyDescent="0.25">
      <c r="A1463" s="307"/>
      <c r="B1463" s="307"/>
    </row>
    <row r="1464" spans="1:2" x14ac:dyDescent="0.25">
      <c r="A1464" s="307"/>
      <c r="B1464" s="307"/>
    </row>
    <row r="1465" spans="1:2" x14ac:dyDescent="0.25">
      <c r="A1465" s="307"/>
      <c r="B1465" s="307"/>
    </row>
    <row r="1466" spans="1:2" x14ac:dyDescent="0.25">
      <c r="A1466" s="307"/>
      <c r="B1466" s="307"/>
    </row>
    <row r="1467" spans="1:2" x14ac:dyDescent="0.25">
      <c r="A1467" s="307"/>
      <c r="B1467" s="307"/>
    </row>
    <row r="1468" spans="1:2" x14ac:dyDescent="0.25">
      <c r="A1468" s="307"/>
      <c r="B1468" s="307"/>
    </row>
    <row r="1469" spans="1:2" x14ac:dyDescent="0.25">
      <c r="A1469" s="307"/>
      <c r="B1469" s="307"/>
    </row>
    <row r="1470" spans="1:2" x14ac:dyDescent="0.25">
      <c r="A1470" s="307"/>
      <c r="B1470" s="307"/>
    </row>
    <row r="1471" spans="1:2" x14ac:dyDescent="0.25">
      <c r="A1471" s="307"/>
      <c r="B1471" s="307"/>
    </row>
    <row r="1472" spans="1:2" x14ac:dyDescent="0.25">
      <c r="A1472" s="307"/>
      <c r="B1472" s="307"/>
    </row>
    <row r="1473" spans="1:2" x14ac:dyDescent="0.25">
      <c r="A1473" s="307"/>
      <c r="B1473" s="307"/>
    </row>
    <row r="1474" spans="1:2" x14ac:dyDescent="0.25">
      <c r="A1474" s="307"/>
      <c r="B1474" s="307"/>
    </row>
    <row r="1475" spans="1:2" x14ac:dyDescent="0.25">
      <c r="A1475" s="307"/>
      <c r="B1475" s="307"/>
    </row>
    <row r="1476" spans="1:2" x14ac:dyDescent="0.25">
      <c r="A1476" s="307"/>
      <c r="B1476" s="307"/>
    </row>
    <row r="1477" spans="1:2" x14ac:dyDescent="0.25">
      <c r="A1477" s="307"/>
      <c r="B1477" s="307"/>
    </row>
    <row r="1478" spans="1:2" x14ac:dyDescent="0.25">
      <c r="A1478" s="307"/>
      <c r="B1478" s="307"/>
    </row>
    <row r="1479" spans="1:2" x14ac:dyDescent="0.25">
      <c r="A1479" s="307"/>
      <c r="B1479" s="307"/>
    </row>
    <row r="1480" spans="1:2" x14ac:dyDescent="0.25">
      <c r="A1480" s="307"/>
      <c r="B1480" s="307"/>
    </row>
    <row r="1481" spans="1:2" x14ac:dyDescent="0.25">
      <c r="A1481" s="307"/>
      <c r="B1481" s="307"/>
    </row>
    <row r="1482" spans="1:2" x14ac:dyDescent="0.25">
      <c r="A1482" s="307"/>
      <c r="B1482" s="307"/>
    </row>
    <row r="1483" spans="1:2" x14ac:dyDescent="0.25">
      <c r="A1483" s="307"/>
      <c r="B1483" s="307"/>
    </row>
    <row r="1484" spans="1:2" x14ac:dyDescent="0.25">
      <c r="A1484" s="307"/>
      <c r="B1484" s="307"/>
    </row>
    <row r="1485" spans="1:2" x14ac:dyDescent="0.25">
      <c r="A1485" s="307"/>
      <c r="B1485" s="307"/>
    </row>
    <row r="1486" spans="1:2" x14ac:dyDescent="0.25">
      <c r="A1486" s="307"/>
      <c r="B1486" s="307"/>
    </row>
    <row r="1487" spans="1:2" x14ac:dyDescent="0.25">
      <c r="A1487" s="307"/>
      <c r="B1487" s="307"/>
    </row>
    <row r="1488" spans="1:2" x14ac:dyDescent="0.25">
      <c r="A1488" s="307"/>
      <c r="B1488" s="307"/>
    </row>
    <row r="1489" spans="1:2" x14ac:dyDescent="0.25">
      <c r="A1489" s="307"/>
      <c r="B1489" s="307"/>
    </row>
    <row r="1490" spans="1:2" x14ac:dyDescent="0.25">
      <c r="A1490" s="307"/>
      <c r="B1490" s="307"/>
    </row>
    <row r="1491" spans="1:2" x14ac:dyDescent="0.25">
      <c r="A1491" s="307"/>
      <c r="B1491" s="307"/>
    </row>
    <row r="1492" spans="1:2" x14ac:dyDescent="0.25">
      <c r="A1492" s="307"/>
      <c r="B1492" s="307"/>
    </row>
    <row r="1493" spans="1:2" x14ac:dyDescent="0.25">
      <c r="A1493" s="307"/>
      <c r="B1493" s="307"/>
    </row>
    <row r="1494" spans="1:2" x14ac:dyDescent="0.25">
      <c r="A1494" s="307"/>
      <c r="B1494" s="307"/>
    </row>
    <row r="1495" spans="1:2" x14ac:dyDescent="0.25">
      <c r="A1495" s="307"/>
      <c r="B1495" s="307"/>
    </row>
    <row r="1496" spans="1:2" x14ac:dyDescent="0.25">
      <c r="A1496" s="307"/>
      <c r="B1496" s="307"/>
    </row>
    <row r="1497" spans="1:2" x14ac:dyDescent="0.25">
      <c r="A1497" s="307"/>
      <c r="B1497" s="307"/>
    </row>
    <row r="1498" spans="1:2" x14ac:dyDescent="0.25">
      <c r="A1498" s="307"/>
      <c r="B1498" s="307"/>
    </row>
    <row r="1499" spans="1:2" x14ac:dyDescent="0.25">
      <c r="A1499" s="307"/>
      <c r="B1499" s="307"/>
    </row>
    <row r="1500" spans="1:2" x14ac:dyDescent="0.25">
      <c r="A1500" s="307"/>
      <c r="B1500" s="307"/>
    </row>
    <row r="1501" spans="1:2" x14ac:dyDescent="0.25">
      <c r="A1501" s="307"/>
      <c r="B1501" s="307"/>
    </row>
    <row r="1502" spans="1:2" x14ac:dyDescent="0.25">
      <c r="A1502" s="307"/>
      <c r="B1502" s="307"/>
    </row>
    <row r="1503" spans="1:2" x14ac:dyDescent="0.25">
      <c r="A1503" s="307"/>
      <c r="B1503" s="307"/>
    </row>
    <row r="1504" spans="1:2" x14ac:dyDescent="0.25">
      <c r="A1504" s="307"/>
      <c r="B1504" s="307"/>
    </row>
    <row r="1505" spans="1:2" x14ac:dyDescent="0.25">
      <c r="A1505" s="307"/>
      <c r="B1505" s="307"/>
    </row>
    <row r="1506" spans="1:2" x14ac:dyDescent="0.25">
      <c r="A1506" s="307"/>
      <c r="B1506" s="307"/>
    </row>
    <row r="1507" spans="1:2" x14ac:dyDescent="0.25">
      <c r="A1507" s="307"/>
      <c r="B1507" s="307"/>
    </row>
    <row r="1508" spans="1:2" x14ac:dyDescent="0.25">
      <c r="A1508" s="307"/>
      <c r="B1508" s="307"/>
    </row>
    <row r="1509" spans="1:2" x14ac:dyDescent="0.25">
      <c r="A1509" s="307"/>
      <c r="B1509" s="307"/>
    </row>
    <row r="1510" spans="1:2" x14ac:dyDescent="0.25">
      <c r="A1510" s="307"/>
      <c r="B1510" s="307"/>
    </row>
    <row r="1511" spans="1:2" x14ac:dyDescent="0.25">
      <c r="A1511" s="307"/>
      <c r="B1511" s="307"/>
    </row>
    <row r="1512" spans="1:2" x14ac:dyDescent="0.25">
      <c r="A1512" s="307"/>
      <c r="B1512" s="307"/>
    </row>
    <row r="1513" spans="1:2" x14ac:dyDescent="0.25">
      <c r="A1513" s="307"/>
      <c r="B1513" s="307"/>
    </row>
    <row r="1514" spans="1:2" x14ac:dyDescent="0.25">
      <c r="A1514" s="307"/>
      <c r="B1514" s="307"/>
    </row>
    <row r="1515" spans="1:2" x14ac:dyDescent="0.25">
      <c r="A1515" s="307"/>
      <c r="B1515" s="307"/>
    </row>
    <row r="1516" spans="1:2" x14ac:dyDescent="0.25">
      <c r="A1516" s="307"/>
      <c r="B1516" s="307"/>
    </row>
    <row r="1517" spans="1:2" x14ac:dyDescent="0.25">
      <c r="A1517" s="307"/>
      <c r="B1517" s="307"/>
    </row>
    <row r="1518" spans="1:2" x14ac:dyDescent="0.25">
      <c r="A1518" s="307"/>
      <c r="B1518" s="307"/>
    </row>
    <row r="1519" spans="1:2" x14ac:dyDescent="0.25">
      <c r="A1519" s="307"/>
      <c r="B1519" s="307"/>
    </row>
    <row r="1520" spans="1:2" x14ac:dyDescent="0.25">
      <c r="A1520" s="307"/>
      <c r="B1520" s="307"/>
    </row>
    <row r="1521" spans="1:2" x14ac:dyDescent="0.25">
      <c r="A1521" s="307"/>
      <c r="B1521" s="307"/>
    </row>
    <row r="1522" spans="1:2" x14ac:dyDescent="0.25">
      <c r="A1522" s="307"/>
      <c r="B1522" s="307"/>
    </row>
    <row r="1523" spans="1:2" x14ac:dyDescent="0.25">
      <c r="A1523" s="307"/>
      <c r="B1523" s="307"/>
    </row>
    <row r="1524" spans="1:2" x14ac:dyDescent="0.25">
      <c r="A1524" s="307"/>
      <c r="B1524" s="307"/>
    </row>
    <row r="1525" spans="1:2" x14ac:dyDescent="0.25">
      <c r="A1525" s="307"/>
      <c r="B1525" s="307"/>
    </row>
    <row r="1526" spans="1:2" x14ac:dyDescent="0.25">
      <c r="A1526" s="307"/>
      <c r="B1526" s="307"/>
    </row>
    <row r="1527" spans="1:2" x14ac:dyDescent="0.25">
      <c r="A1527" s="307"/>
      <c r="B1527" s="307"/>
    </row>
    <row r="1528" spans="1:2" x14ac:dyDescent="0.25">
      <c r="A1528" s="307"/>
      <c r="B1528" s="307"/>
    </row>
    <row r="1529" spans="1:2" x14ac:dyDescent="0.25">
      <c r="A1529" s="307"/>
      <c r="B1529" s="307"/>
    </row>
    <row r="1530" spans="1:2" x14ac:dyDescent="0.25">
      <c r="A1530" s="307"/>
      <c r="B1530" s="307"/>
    </row>
    <row r="1531" spans="1:2" x14ac:dyDescent="0.25">
      <c r="A1531" s="307"/>
      <c r="B1531" s="307"/>
    </row>
    <row r="1532" spans="1:2" x14ac:dyDescent="0.25">
      <c r="A1532" s="307"/>
      <c r="B1532" s="307"/>
    </row>
    <row r="1533" spans="1:2" x14ac:dyDescent="0.25">
      <c r="A1533" s="307"/>
      <c r="B1533" s="307"/>
    </row>
    <row r="1534" spans="1:2" x14ac:dyDescent="0.25">
      <c r="A1534" s="307"/>
      <c r="B1534" s="307"/>
    </row>
    <row r="1535" spans="1:2" x14ac:dyDescent="0.25">
      <c r="A1535" s="307"/>
      <c r="B1535" s="307"/>
    </row>
    <row r="1536" spans="1:2" x14ac:dyDescent="0.25">
      <c r="A1536" s="307"/>
      <c r="B1536" s="307"/>
    </row>
    <row r="1537" spans="1:2" x14ac:dyDescent="0.25">
      <c r="A1537" s="307"/>
      <c r="B1537" s="307"/>
    </row>
    <row r="1538" spans="1:2" x14ac:dyDescent="0.25">
      <c r="A1538" s="307"/>
      <c r="B1538" s="307"/>
    </row>
    <row r="1539" spans="1:2" x14ac:dyDescent="0.25">
      <c r="A1539" s="307"/>
      <c r="B1539" s="307"/>
    </row>
    <row r="1540" spans="1:2" x14ac:dyDescent="0.25">
      <c r="A1540" s="307"/>
      <c r="B1540" s="307"/>
    </row>
    <row r="1541" spans="1:2" x14ac:dyDescent="0.25">
      <c r="A1541" s="307"/>
      <c r="B1541" s="307"/>
    </row>
    <row r="1542" spans="1:2" x14ac:dyDescent="0.25">
      <c r="A1542" s="307"/>
      <c r="B1542" s="307"/>
    </row>
    <row r="1543" spans="1:2" x14ac:dyDescent="0.25">
      <c r="A1543" s="307"/>
      <c r="B1543" s="307"/>
    </row>
    <row r="1544" spans="1:2" x14ac:dyDescent="0.25">
      <c r="A1544" s="307"/>
      <c r="B1544" s="307"/>
    </row>
    <row r="1545" spans="1:2" x14ac:dyDescent="0.25">
      <c r="A1545" s="307"/>
      <c r="B1545" s="307"/>
    </row>
    <row r="1546" spans="1:2" x14ac:dyDescent="0.25">
      <c r="A1546" s="307"/>
      <c r="B1546" s="307"/>
    </row>
    <row r="1547" spans="1:2" x14ac:dyDescent="0.25">
      <c r="A1547" s="307"/>
      <c r="B1547" s="307"/>
    </row>
    <row r="1548" spans="1:2" x14ac:dyDescent="0.25">
      <c r="A1548" s="307"/>
      <c r="B1548" s="307"/>
    </row>
    <row r="1549" spans="1:2" x14ac:dyDescent="0.25">
      <c r="A1549" s="307"/>
      <c r="B1549" s="307"/>
    </row>
    <row r="1550" spans="1:2" x14ac:dyDescent="0.25">
      <c r="A1550" s="307"/>
      <c r="B1550" s="307"/>
    </row>
    <row r="1551" spans="1:2" x14ac:dyDescent="0.25">
      <c r="A1551" s="307"/>
      <c r="B1551" s="307"/>
    </row>
    <row r="1552" spans="1:2" x14ac:dyDescent="0.25">
      <c r="A1552" s="307"/>
      <c r="B1552" s="307"/>
    </row>
    <row r="1553" spans="1:2" x14ac:dyDescent="0.25">
      <c r="A1553" s="307"/>
      <c r="B1553" s="307"/>
    </row>
    <row r="1554" spans="1:2" x14ac:dyDescent="0.25">
      <c r="A1554" s="307"/>
      <c r="B1554" s="307"/>
    </row>
    <row r="1555" spans="1:2" x14ac:dyDescent="0.25">
      <c r="A1555" s="307"/>
      <c r="B1555" s="307"/>
    </row>
    <row r="1556" spans="1:2" x14ac:dyDescent="0.25">
      <c r="A1556" s="307"/>
      <c r="B1556" s="307"/>
    </row>
    <row r="1557" spans="1:2" x14ac:dyDescent="0.25">
      <c r="A1557" s="307"/>
      <c r="B1557" s="307"/>
    </row>
    <row r="1558" spans="1:2" x14ac:dyDescent="0.25">
      <c r="A1558" s="307"/>
      <c r="B1558" s="307"/>
    </row>
    <row r="1559" spans="1:2" x14ac:dyDescent="0.25">
      <c r="A1559" s="307"/>
      <c r="B1559" s="307"/>
    </row>
    <row r="1560" spans="1:2" x14ac:dyDescent="0.25">
      <c r="A1560" s="307"/>
      <c r="B1560" s="307"/>
    </row>
    <row r="1561" spans="1:2" x14ac:dyDescent="0.25">
      <c r="A1561" s="307"/>
      <c r="B1561" s="307"/>
    </row>
    <row r="1562" spans="1:2" x14ac:dyDescent="0.25">
      <c r="A1562" s="307"/>
      <c r="B1562" s="307"/>
    </row>
    <row r="1563" spans="1:2" x14ac:dyDescent="0.25">
      <c r="A1563" s="307"/>
      <c r="B1563" s="307"/>
    </row>
    <row r="1564" spans="1:2" x14ac:dyDescent="0.25">
      <c r="A1564" s="307"/>
      <c r="B1564" s="307"/>
    </row>
    <row r="1565" spans="1:2" x14ac:dyDescent="0.25">
      <c r="A1565" s="307"/>
      <c r="B1565" s="307"/>
    </row>
    <row r="1566" spans="1:2" x14ac:dyDescent="0.25">
      <c r="A1566" s="307"/>
      <c r="B1566" s="307"/>
    </row>
    <row r="1567" spans="1:2" x14ac:dyDescent="0.25">
      <c r="A1567" s="307"/>
      <c r="B1567" s="307"/>
    </row>
    <row r="1568" spans="1:2" x14ac:dyDescent="0.25">
      <c r="A1568" s="307"/>
      <c r="B1568" s="307"/>
    </row>
    <row r="1569" spans="1:2" x14ac:dyDescent="0.25">
      <c r="A1569" s="307"/>
      <c r="B1569" s="307"/>
    </row>
    <row r="1570" spans="1:2" x14ac:dyDescent="0.25">
      <c r="A1570" s="307"/>
      <c r="B1570" s="307"/>
    </row>
    <row r="1571" spans="1:2" x14ac:dyDescent="0.25">
      <c r="A1571" s="307"/>
      <c r="B1571" s="307"/>
    </row>
    <row r="1572" spans="1:2" x14ac:dyDescent="0.25">
      <c r="A1572" s="307"/>
      <c r="B1572" s="307"/>
    </row>
    <row r="1573" spans="1:2" x14ac:dyDescent="0.25">
      <c r="A1573" s="307"/>
      <c r="B1573" s="307"/>
    </row>
    <row r="1574" spans="1:2" x14ac:dyDescent="0.25">
      <c r="A1574" s="307"/>
      <c r="B1574" s="307"/>
    </row>
    <row r="1575" spans="1:2" x14ac:dyDescent="0.25">
      <c r="A1575" s="307"/>
      <c r="B1575" s="307"/>
    </row>
    <row r="1576" spans="1:2" x14ac:dyDescent="0.25">
      <c r="A1576" s="307"/>
      <c r="B1576" s="307"/>
    </row>
    <row r="1577" spans="1:2" x14ac:dyDescent="0.25">
      <c r="A1577" s="307"/>
      <c r="B1577" s="307"/>
    </row>
    <row r="1578" spans="1:2" x14ac:dyDescent="0.25">
      <c r="A1578" s="307"/>
      <c r="B1578" s="307"/>
    </row>
    <row r="1579" spans="1:2" x14ac:dyDescent="0.25">
      <c r="A1579" s="307"/>
      <c r="B1579" s="307"/>
    </row>
    <row r="1580" spans="1:2" x14ac:dyDescent="0.25">
      <c r="A1580" s="307"/>
      <c r="B1580" s="307"/>
    </row>
    <row r="1581" spans="1:2" x14ac:dyDescent="0.25">
      <c r="A1581" s="307"/>
      <c r="B1581" s="307"/>
    </row>
    <row r="1582" spans="1:2" x14ac:dyDescent="0.25">
      <c r="A1582" s="307"/>
      <c r="B1582" s="307"/>
    </row>
    <row r="1583" spans="1:2" x14ac:dyDescent="0.25">
      <c r="A1583" s="307"/>
      <c r="B1583" s="307"/>
    </row>
    <row r="1584" spans="1:2" x14ac:dyDescent="0.25">
      <c r="A1584" s="307"/>
      <c r="B1584" s="307"/>
    </row>
    <row r="1585" spans="1:2" x14ac:dyDescent="0.25">
      <c r="A1585" s="307"/>
      <c r="B1585" s="307"/>
    </row>
    <row r="1586" spans="1:2" x14ac:dyDescent="0.25">
      <c r="A1586" s="307"/>
      <c r="B1586" s="307"/>
    </row>
    <row r="1587" spans="1:2" x14ac:dyDescent="0.25">
      <c r="A1587" s="307"/>
      <c r="B1587" s="307"/>
    </row>
    <row r="1588" spans="1:2" x14ac:dyDescent="0.25">
      <c r="A1588" s="307"/>
      <c r="B1588" s="307"/>
    </row>
    <row r="1589" spans="1:2" x14ac:dyDescent="0.25">
      <c r="A1589" s="307"/>
      <c r="B1589" s="307"/>
    </row>
    <row r="1590" spans="1:2" x14ac:dyDescent="0.25">
      <c r="A1590" s="307"/>
      <c r="B1590" s="307"/>
    </row>
    <row r="1591" spans="1:2" x14ac:dyDescent="0.25">
      <c r="A1591" s="307"/>
      <c r="B1591" s="307"/>
    </row>
    <row r="1592" spans="1:2" x14ac:dyDescent="0.25">
      <c r="A1592" s="307"/>
      <c r="B1592" s="307"/>
    </row>
    <row r="1593" spans="1:2" x14ac:dyDescent="0.25">
      <c r="A1593" s="307"/>
      <c r="B1593" s="307"/>
    </row>
    <row r="1594" spans="1:2" x14ac:dyDescent="0.25">
      <c r="A1594" s="307"/>
      <c r="B1594" s="307"/>
    </row>
    <row r="1595" spans="1:2" x14ac:dyDescent="0.25">
      <c r="A1595" s="307"/>
      <c r="B1595" s="307"/>
    </row>
    <row r="1596" spans="1:2" x14ac:dyDescent="0.25">
      <c r="A1596" s="307"/>
      <c r="B1596" s="307"/>
    </row>
    <row r="1597" spans="1:2" x14ac:dyDescent="0.25">
      <c r="A1597" s="307"/>
      <c r="B1597" s="307"/>
    </row>
    <row r="1598" spans="1:2" x14ac:dyDescent="0.25">
      <c r="A1598" s="307"/>
      <c r="B1598" s="307"/>
    </row>
    <row r="1599" spans="1:2" x14ac:dyDescent="0.25">
      <c r="A1599" s="307"/>
      <c r="B1599" s="307"/>
    </row>
    <row r="1600" spans="1:2" x14ac:dyDescent="0.25">
      <c r="A1600" s="307"/>
      <c r="B1600" s="307"/>
    </row>
    <row r="1601" spans="1:2" x14ac:dyDescent="0.25">
      <c r="A1601" s="307"/>
      <c r="B1601" s="307"/>
    </row>
    <row r="1602" spans="1:2" x14ac:dyDescent="0.25">
      <c r="A1602" s="307"/>
      <c r="B1602" s="307"/>
    </row>
    <row r="1603" spans="1:2" x14ac:dyDescent="0.25">
      <c r="A1603" s="307"/>
      <c r="B1603" s="307"/>
    </row>
    <row r="1604" spans="1:2" x14ac:dyDescent="0.25">
      <c r="A1604" s="307"/>
      <c r="B1604" s="307"/>
    </row>
    <row r="1605" spans="1:2" x14ac:dyDescent="0.25">
      <c r="A1605" s="307"/>
      <c r="B1605" s="307"/>
    </row>
    <row r="1606" spans="1:2" x14ac:dyDescent="0.25">
      <c r="A1606" s="307"/>
      <c r="B1606" s="307"/>
    </row>
    <row r="1607" spans="1:2" x14ac:dyDescent="0.25">
      <c r="A1607" s="307"/>
      <c r="B1607" s="307"/>
    </row>
    <row r="1608" spans="1:2" x14ac:dyDescent="0.25">
      <c r="A1608" s="307"/>
      <c r="B1608" s="307"/>
    </row>
    <row r="1609" spans="1:2" x14ac:dyDescent="0.25">
      <c r="A1609" s="307"/>
      <c r="B1609" s="307"/>
    </row>
    <row r="1610" spans="1:2" x14ac:dyDescent="0.25">
      <c r="A1610" s="307"/>
      <c r="B1610" s="307"/>
    </row>
    <row r="1611" spans="1:2" x14ac:dyDescent="0.25">
      <c r="A1611" s="307"/>
      <c r="B1611" s="307"/>
    </row>
    <row r="1612" spans="1:2" x14ac:dyDescent="0.25">
      <c r="A1612" s="307"/>
      <c r="B1612" s="307"/>
    </row>
    <row r="1613" spans="1:2" x14ac:dyDescent="0.25">
      <c r="A1613" s="307"/>
      <c r="B1613" s="307"/>
    </row>
    <row r="1614" spans="1:2" x14ac:dyDescent="0.25">
      <c r="A1614" s="307"/>
      <c r="B1614" s="307"/>
    </row>
    <row r="1615" spans="1:2" x14ac:dyDescent="0.25">
      <c r="A1615" s="307"/>
      <c r="B1615" s="307"/>
    </row>
    <row r="1616" spans="1:2" x14ac:dyDescent="0.25">
      <c r="A1616" s="307"/>
      <c r="B1616" s="307"/>
    </row>
    <row r="1617" spans="1:2" x14ac:dyDescent="0.25">
      <c r="A1617" s="307"/>
      <c r="B1617" s="307"/>
    </row>
    <row r="1618" spans="1:2" x14ac:dyDescent="0.25">
      <c r="A1618" s="307"/>
      <c r="B1618" s="307"/>
    </row>
    <row r="1619" spans="1:2" x14ac:dyDescent="0.25">
      <c r="A1619" s="307"/>
      <c r="B1619" s="307"/>
    </row>
    <row r="1620" spans="1:2" x14ac:dyDescent="0.25">
      <c r="A1620" s="307"/>
      <c r="B1620" s="307"/>
    </row>
    <row r="1621" spans="1:2" x14ac:dyDescent="0.25">
      <c r="A1621" s="307"/>
      <c r="B1621" s="307"/>
    </row>
    <row r="1622" spans="1:2" x14ac:dyDescent="0.25">
      <c r="A1622" s="307"/>
      <c r="B1622" s="307"/>
    </row>
    <row r="1623" spans="1:2" x14ac:dyDescent="0.25">
      <c r="A1623" s="307"/>
      <c r="B1623" s="307"/>
    </row>
    <row r="1624" spans="1:2" x14ac:dyDescent="0.25">
      <c r="A1624" s="307"/>
      <c r="B1624" s="307"/>
    </row>
    <row r="1625" spans="1:2" x14ac:dyDescent="0.25">
      <c r="A1625" s="307"/>
      <c r="B1625" s="307"/>
    </row>
    <row r="1626" spans="1:2" x14ac:dyDescent="0.25">
      <c r="A1626" s="307"/>
      <c r="B1626" s="307"/>
    </row>
    <row r="1627" spans="1:2" x14ac:dyDescent="0.25">
      <c r="A1627" s="307"/>
      <c r="B1627" s="307"/>
    </row>
    <row r="1628" spans="1:2" x14ac:dyDescent="0.25">
      <c r="A1628" s="307"/>
      <c r="B1628" s="307"/>
    </row>
    <row r="1629" spans="1:2" x14ac:dyDescent="0.25">
      <c r="A1629" s="307"/>
      <c r="B1629" s="307"/>
    </row>
    <row r="1630" spans="1:2" x14ac:dyDescent="0.25">
      <c r="A1630" s="307"/>
      <c r="B1630" s="307"/>
    </row>
    <row r="1631" spans="1:2" x14ac:dyDescent="0.25">
      <c r="A1631" s="307"/>
      <c r="B1631" s="307"/>
    </row>
    <row r="1632" spans="1:2" x14ac:dyDescent="0.25">
      <c r="A1632" s="307"/>
      <c r="B1632" s="307"/>
    </row>
    <row r="1633" spans="1:2" x14ac:dyDescent="0.25">
      <c r="A1633" s="307"/>
      <c r="B1633" s="307"/>
    </row>
    <row r="1634" spans="1:2" x14ac:dyDescent="0.25">
      <c r="A1634" s="307"/>
      <c r="B1634" s="307"/>
    </row>
    <row r="1635" spans="1:2" x14ac:dyDescent="0.25">
      <c r="A1635" s="307"/>
      <c r="B1635" s="307"/>
    </row>
    <row r="1636" spans="1:2" x14ac:dyDescent="0.25">
      <c r="A1636" s="307"/>
      <c r="B1636" s="307"/>
    </row>
    <row r="1637" spans="1:2" x14ac:dyDescent="0.25">
      <c r="A1637" s="307"/>
      <c r="B1637" s="307"/>
    </row>
    <row r="1638" spans="1:2" x14ac:dyDescent="0.25">
      <c r="A1638" s="307"/>
      <c r="B1638" s="307"/>
    </row>
    <row r="1639" spans="1:2" x14ac:dyDescent="0.25">
      <c r="A1639" s="307"/>
      <c r="B1639" s="307"/>
    </row>
    <row r="1640" spans="1:2" x14ac:dyDescent="0.25">
      <c r="A1640" s="307"/>
      <c r="B1640" s="307"/>
    </row>
    <row r="1641" spans="1:2" x14ac:dyDescent="0.25">
      <c r="A1641" s="307"/>
      <c r="B1641" s="307"/>
    </row>
    <row r="1642" spans="1:2" x14ac:dyDescent="0.25">
      <c r="A1642" s="307"/>
      <c r="B1642" s="307"/>
    </row>
    <row r="1643" spans="1:2" x14ac:dyDescent="0.25">
      <c r="A1643" s="307"/>
      <c r="B1643" s="307"/>
    </row>
    <row r="1644" spans="1:2" x14ac:dyDescent="0.25">
      <c r="A1644" s="307"/>
      <c r="B1644" s="307"/>
    </row>
    <row r="1645" spans="1:2" x14ac:dyDescent="0.25">
      <c r="A1645" s="307"/>
      <c r="B1645" s="307"/>
    </row>
    <row r="1646" spans="1:2" x14ac:dyDescent="0.25">
      <c r="A1646" s="307"/>
      <c r="B1646" s="307"/>
    </row>
    <row r="1647" spans="1:2" x14ac:dyDescent="0.25">
      <c r="A1647" s="307"/>
      <c r="B1647" s="307"/>
    </row>
    <row r="1648" spans="1:2" x14ac:dyDescent="0.25">
      <c r="A1648" s="307"/>
      <c r="B1648" s="307"/>
    </row>
    <row r="1649" spans="1:2" x14ac:dyDescent="0.25">
      <c r="A1649" s="307"/>
      <c r="B1649" s="307"/>
    </row>
    <row r="1650" spans="1:2" x14ac:dyDescent="0.25">
      <c r="A1650" s="307"/>
      <c r="B1650" s="307"/>
    </row>
    <row r="1651" spans="1:2" x14ac:dyDescent="0.25">
      <c r="A1651" s="307"/>
      <c r="B1651" s="307"/>
    </row>
    <row r="1652" spans="1:2" x14ac:dyDescent="0.25">
      <c r="A1652" s="307"/>
      <c r="B1652" s="307"/>
    </row>
    <row r="1653" spans="1:2" x14ac:dyDescent="0.25">
      <c r="A1653" s="307"/>
      <c r="B1653" s="307"/>
    </row>
    <row r="1654" spans="1:2" x14ac:dyDescent="0.25">
      <c r="A1654" s="307"/>
      <c r="B1654" s="307"/>
    </row>
    <row r="1655" spans="1:2" x14ac:dyDescent="0.25">
      <c r="A1655" s="307"/>
      <c r="B1655" s="307"/>
    </row>
    <row r="1656" spans="1:2" x14ac:dyDescent="0.25">
      <c r="A1656" s="307"/>
      <c r="B1656" s="307"/>
    </row>
    <row r="1657" spans="1:2" x14ac:dyDescent="0.25">
      <c r="A1657" s="307"/>
      <c r="B1657" s="307"/>
    </row>
    <row r="1658" spans="1:2" x14ac:dyDescent="0.25">
      <c r="A1658" s="307"/>
      <c r="B1658" s="307"/>
    </row>
    <row r="1659" spans="1:2" x14ac:dyDescent="0.25">
      <c r="A1659" s="307"/>
      <c r="B1659" s="307"/>
    </row>
    <row r="1660" spans="1:2" x14ac:dyDescent="0.25">
      <c r="A1660" s="307"/>
      <c r="B1660" s="307"/>
    </row>
    <row r="1661" spans="1:2" x14ac:dyDescent="0.25">
      <c r="A1661" s="307"/>
      <c r="B1661" s="307"/>
    </row>
    <row r="1662" spans="1:2" x14ac:dyDescent="0.25">
      <c r="A1662" s="307"/>
      <c r="B1662" s="307"/>
    </row>
    <row r="1663" spans="1:2" x14ac:dyDescent="0.25">
      <c r="A1663" s="307"/>
      <c r="B1663" s="307"/>
    </row>
    <row r="1664" spans="1:2" x14ac:dyDescent="0.25">
      <c r="A1664" s="307"/>
      <c r="B1664" s="307"/>
    </row>
    <row r="1665" spans="1:2" x14ac:dyDescent="0.25">
      <c r="A1665" s="307"/>
      <c r="B1665" s="307"/>
    </row>
    <row r="1666" spans="1:2" x14ac:dyDescent="0.25">
      <c r="A1666" s="307"/>
      <c r="B1666" s="307"/>
    </row>
    <row r="1667" spans="1:2" x14ac:dyDescent="0.25">
      <c r="A1667" s="307"/>
      <c r="B1667" s="307"/>
    </row>
    <row r="1668" spans="1:2" x14ac:dyDescent="0.25">
      <c r="A1668" s="307"/>
      <c r="B1668" s="307"/>
    </row>
    <row r="1669" spans="1:2" x14ac:dyDescent="0.25">
      <c r="A1669" s="307"/>
      <c r="B1669" s="307"/>
    </row>
    <row r="1670" spans="1:2" x14ac:dyDescent="0.25">
      <c r="A1670" s="307"/>
      <c r="B1670" s="307"/>
    </row>
    <row r="1671" spans="1:2" x14ac:dyDescent="0.25">
      <c r="A1671" s="307"/>
      <c r="B1671" s="307"/>
    </row>
    <row r="1672" spans="1:2" x14ac:dyDescent="0.25">
      <c r="A1672" s="307"/>
      <c r="B1672" s="307"/>
    </row>
    <row r="1673" spans="1:2" x14ac:dyDescent="0.25">
      <c r="A1673" s="307"/>
      <c r="B1673" s="307"/>
    </row>
    <row r="1674" spans="1:2" x14ac:dyDescent="0.25">
      <c r="A1674" s="307"/>
      <c r="B1674" s="307"/>
    </row>
    <row r="1675" spans="1:2" x14ac:dyDescent="0.25">
      <c r="A1675" s="307"/>
      <c r="B1675" s="307"/>
    </row>
    <row r="1676" spans="1:2" x14ac:dyDescent="0.25">
      <c r="A1676" s="307"/>
      <c r="B1676" s="307"/>
    </row>
    <row r="1677" spans="1:2" x14ac:dyDescent="0.25">
      <c r="A1677" s="307"/>
      <c r="B1677" s="307"/>
    </row>
    <row r="1678" spans="1:2" x14ac:dyDescent="0.25">
      <c r="A1678" s="307"/>
      <c r="B1678" s="307"/>
    </row>
    <row r="1679" spans="1:2" x14ac:dyDescent="0.25">
      <c r="A1679" s="307"/>
      <c r="B1679" s="307"/>
    </row>
    <row r="1680" spans="1:2" x14ac:dyDescent="0.25">
      <c r="A1680" s="307"/>
      <c r="B1680" s="307"/>
    </row>
    <row r="1681" spans="1:2" x14ac:dyDescent="0.25">
      <c r="A1681" s="307"/>
      <c r="B1681" s="307"/>
    </row>
    <row r="1682" spans="1:2" x14ac:dyDescent="0.25">
      <c r="A1682" s="307"/>
      <c r="B1682" s="307"/>
    </row>
    <row r="1683" spans="1:2" x14ac:dyDescent="0.25">
      <c r="A1683" s="307"/>
      <c r="B1683" s="307"/>
    </row>
    <row r="1684" spans="1:2" x14ac:dyDescent="0.25">
      <c r="A1684" s="307"/>
      <c r="B1684" s="307"/>
    </row>
    <row r="1685" spans="1:2" x14ac:dyDescent="0.25">
      <c r="A1685" s="307"/>
      <c r="B1685" s="307"/>
    </row>
    <row r="1686" spans="1:2" x14ac:dyDescent="0.25">
      <c r="A1686" s="307"/>
      <c r="B1686" s="307"/>
    </row>
    <row r="1687" spans="1:2" x14ac:dyDescent="0.25">
      <c r="A1687" s="307"/>
      <c r="B1687" s="307"/>
    </row>
    <row r="1688" spans="1:2" x14ac:dyDescent="0.25">
      <c r="A1688" s="307"/>
      <c r="B1688" s="307"/>
    </row>
    <row r="1689" spans="1:2" x14ac:dyDescent="0.25">
      <c r="A1689" s="307"/>
      <c r="B1689" s="307"/>
    </row>
    <row r="1690" spans="1:2" x14ac:dyDescent="0.25">
      <c r="A1690" s="307"/>
      <c r="B1690" s="307"/>
    </row>
    <row r="1691" spans="1:2" x14ac:dyDescent="0.25">
      <c r="A1691" s="307"/>
      <c r="B1691" s="307"/>
    </row>
    <row r="1692" spans="1:2" x14ac:dyDescent="0.25">
      <c r="A1692" s="307"/>
      <c r="B1692" s="307"/>
    </row>
    <row r="1693" spans="1:2" x14ac:dyDescent="0.25">
      <c r="A1693" s="307"/>
      <c r="B1693" s="307"/>
    </row>
    <row r="1694" spans="1:2" x14ac:dyDescent="0.25">
      <c r="A1694" s="307"/>
      <c r="B1694" s="307"/>
    </row>
    <row r="1695" spans="1:2" x14ac:dyDescent="0.25">
      <c r="A1695" s="307"/>
      <c r="B1695" s="307"/>
    </row>
    <row r="1696" spans="1:2" x14ac:dyDescent="0.25">
      <c r="A1696" s="307"/>
      <c r="B1696" s="307"/>
    </row>
    <row r="1697" spans="1:2" x14ac:dyDescent="0.25">
      <c r="A1697" s="307"/>
      <c r="B1697" s="307"/>
    </row>
    <row r="1698" spans="1:2" x14ac:dyDescent="0.25">
      <c r="A1698" s="307"/>
      <c r="B1698" s="307"/>
    </row>
    <row r="1699" spans="1:2" x14ac:dyDescent="0.25">
      <c r="A1699" s="307"/>
      <c r="B1699" s="307"/>
    </row>
    <row r="1700" spans="1:2" x14ac:dyDescent="0.25">
      <c r="A1700" s="307"/>
      <c r="B1700" s="307"/>
    </row>
    <row r="1701" spans="1:2" x14ac:dyDescent="0.25">
      <c r="A1701" s="307"/>
      <c r="B1701" s="307"/>
    </row>
    <row r="1702" spans="1:2" x14ac:dyDescent="0.25">
      <c r="A1702" s="307"/>
      <c r="B1702" s="307"/>
    </row>
    <row r="1703" spans="1:2" x14ac:dyDescent="0.25">
      <c r="A1703" s="307"/>
      <c r="B1703" s="307"/>
    </row>
    <row r="1704" spans="1:2" x14ac:dyDescent="0.25">
      <c r="A1704" s="307"/>
      <c r="B1704" s="307"/>
    </row>
    <row r="1705" spans="1:2" x14ac:dyDescent="0.25">
      <c r="A1705" s="307"/>
      <c r="B1705" s="307"/>
    </row>
    <row r="1706" spans="1:2" x14ac:dyDescent="0.25">
      <c r="A1706" s="307"/>
      <c r="B1706" s="307"/>
    </row>
    <row r="1707" spans="1:2" x14ac:dyDescent="0.25">
      <c r="A1707" s="307"/>
      <c r="B1707" s="307"/>
    </row>
    <row r="1708" spans="1:2" x14ac:dyDescent="0.25">
      <c r="A1708" s="307"/>
      <c r="B1708" s="307"/>
    </row>
    <row r="1709" spans="1:2" x14ac:dyDescent="0.25">
      <c r="A1709" s="307"/>
      <c r="B1709" s="307"/>
    </row>
    <row r="1710" spans="1:2" x14ac:dyDescent="0.25">
      <c r="A1710" s="307"/>
      <c r="B1710" s="307"/>
    </row>
    <row r="1711" spans="1:2" x14ac:dyDescent="0.25">
      <c r="A1711" s="307"/>
      <c r="B1711" s="307"/>
    </row>
    <row r="1712" spans="1:2" x14ac:dyDescent="0.25">
      <c r="A1712" s="307"/>
      <c r="B1712" s="307"/>
    </row>
    <row r="1713" spans="1:2" x14ac:dyDescent="0.25">
      <c r="A1713" s="307"/>
      <c r="B1713" s="307"/>
    </row>
    <row r="1714" spans="1:2" x14ac:dyDescent="0.25">
      <c r="A1714" s="307"/>
      <c r="B1714" s="307"/>
    </row>
    <row r="1715" spans="1:2" x14ac:dyDescent="0.25">
      <c r="A1715" s="307"/>
      <c r="B1715" s="307"/>
    </row>
    <row r="1716" spans="1:2" x14ac:dyDescent="0.25">
      <c r="A1716" s="307"/>
      <c r="B1716" s="307"/>
    </row>
    <row r="1717" spans="1:2" x14ac:dyDescent="0.25">
      <c r="A1717" s="307"/>
      <c r="B1717" s="307"/>
    </row>
    <row r="1718" spans="1:2" x14ac:dyDescent="0.25">
      <c r="A1718" s="307"/>
      <c r="B1718" s="307"/>
    </row>
    <row r="1719" spans="1:2" x14ac:dyDescent="0.25">
      <c r="A1719" s="307"/>
      <c r="B1719" s="307"/>
    </row>
    <row r="1720" spans="1:2" x14ac:dyDescent="0.25">
      <c r="A1720" s="307"/>
      <c r="B1720" s="307"/>
    </row>
    <row r="1721" spans="1:2" x14ac:dyDescent="0.25">
      <c r="A1721" s="307"/>
      <c r="B1721" s="307"/>
    </row>
    <row r="1722" spans="1:2" x14ac:dyDescent="0.25">
      <c r="A1722" s="307"/>
      <c r="B1722" s="307"/>
    </row>
    <row r="1723" spans="1:2" x14ac:dyDescent="0.25">
      <c r="A1723" s="307"/>
      <c r="B1723" s="307"/>
    </row>
    <row r="1724" spans="1:2" x14ac:dyDescent="0.25">
      <c r="A1724" s="307"/>
      <c r="B1724" s="307"/>
    </row>
    <row r="1725" spans="1:2" x14ac:dyDescent="0.25">
      <c r="A1725" s="307"/>
      <c r="B1725" s="307"/>
    </row>
    <row r="1726" spans="1:2" x14ac:dyDescent="0.25">
      <c r="A1726" s="307"/>
      <c r="B1726" s="307"/>
    </row>
    <row r="1727" spans="1:2" x14ac:dyDescent="0.25">
      <c r="A1727" s="307"/>
      <c r="B1727" s="307"/>
    </row>
    <row r="1728" spans="1:2" x14ac:dyDescent="0.25">
      <c r="A1728" s="307"/>
      <c r="B1728" s="307"/>
    </row>
    <row r="1729" spans="1:2" x14ac:dyDescent="0.25">
      <c r="A1729" s="307"/>
      <c r="B1729" s="307"/>
    </row>
    <row r="1730" spans="1:2" x14ac:dyDescent="0.25">
      <c r="A1730" s="307"/>
      <c r="B1730" s="307"/>
    </row>
    <row r="1731" spans="1:2" x14ac:dyDescent="0.25">
      <c r="A1731" s="307"/>
      <c r="B1731" s="307"/>
    </row>
    <row r="1732" spans="1:2" x14ac:dyDescent="0.25">
      <c r="A1732" s="307"/>
      <c r="B1732" s="307"/>
    </row>
    <row r="1733" spans="1:2" x14ac:dyDescent="0.25">
      <c r="A1733" s="307"/>
      <c r="B1733" s="307"/>
    </row>
    <row r="1734" spans="1:2" x14ac:dyDescent="0.25">
      <c r="A1734" s="307"/>
      <c r="B1734" s="307"/>
    </row>
    <row r="1735" spans="1:2" x14ac:dyDescent="0.25">
      <c r="A1735" s="307"/>
      <c r="B1735" s="307"/>
    </row>
    <row r="1736" spans="1:2" x14ac:dyDescent="0.25">
      <c r="A1736" s="307"/>
      <c r="B1736" s="307"/>
    </row>
    <row r="1737" spans="1:2" x14ac:dyDescent="0.25">
      <c r="A1737" s="307"/>
      <c r="B1737" s="307"/>
    </row>
    <row r="1738" spans="1:2" x14ac:dyDescent="0.25">
      <c r="A1738" s="307"/>
      <c r="B1738" s="307"/>
    </row>
    <row r="1739" spans="1:2" x14ac:dyDescent="0.25">
      <c r="A1739" s="307"/>
      <c r="B1739" s="307"/>
    </row>
    <row r="1740" spans="1:2" x14ac:dyDescent="0.25">
      <c r="A1740" s="307"/>
      <c r="B1740" s="307"/>
    </row>
    <row r="1741" spans="1:2" x14ac:dyDescent="0.25">
      <c r="A1741" s="307"/>
      <c r="B1741" s="307"/>
    </row>
    <row r="1742" spans="1:2" x14ac:dyDescent="0.25">
      <c r="A1742" s="307"/>
      <c r="B1742" s="307"/>
    </row>
    <row r="1743" spans="1:2" x14ac:dyDescent="0.25">
      <c r="A1743" s="307"/>
      <c r="B1743" s="307"/>
    </row>
    <row r="1744" spans="1:2" x14ac:dyDescent="0.25">
      <c r="A1744" s="307"/>
      <c r="B1744" s="307"/>
    </row>
    <row r="1745" spans="1:2" x14ac:dyDescent="0.25">
      <c r="A1745" s="307"/>
      <c r="B1745" s="307"/>
    </row>
    <row r="1746" spans="1:2" x14ac:dyDescent="0.25">
      <c r="A1746" s="307"/>
      <c r="B1746" s="307"/>
    </row>
    <row r="1747" spans="1:2" x14ac:dyDescent="0.25">
      <c r="A1747" s="307"/>
      <c r="B1747" s="307"/>
    </row>
    <row r="1748" spans="1:2" x14ac:dyDescent="0.25">
      <c r="A1748" s="307"/>
      <c r="B1748" s="307"/>
    </row>
    <row r="1749" spans="1:2" x14ac:dyDescent="0.25">
      <c r="A1749" s="307"/>
      <c r="B1749" s="307"/>
    </row>
    <row r="1750" spans="1:2" x14ac:dyDescent="0.25">
      <c r="A1750" s="307"/>
      <c r="B1750" s="307"/>
    </row>
    <row r="1751" spans="1:2" x14ac:dyDescent="0.25">
      <c r="A1751" s="307"/>
      <c r="B1751" s="307"/>
    </row>
    <row r="1752" spans="1:2" x14ac:dyDescent="0.25">
      <c r="A1752" s="307"/>
      <c r="B1752" s="307"/>
    </row>
    <row r="1753" spans="1:2" x14ac:dyDescent="0.25">
      <c r="A1753" s="307"/>
      <c r="B1753" s="307"/>
    </row>
    <row r="1754" spans="1:2" x14ac:dyDescent="0.25">
      <c r="A1754" s="307"/>
      <c r="B1754" s="307"/>
    </row>
    <row r="1755" spans="1:2" x14ac:dyDescent="0.25">
      <c r="A1755" s="307"/>
      <c r="B1755" s="307"/>
    </row>
    <row r="1756" spans="1:2" x14ac:dyDescent="0.25">
      <c r="A1756" s="307"/>
      <c r="B1756" s="307"/>
    </row>
    <row r="1757" spans="1:2" x14ac:dyDescent="0.25">
      <c r="A1757" s="307"/>
      <c r="B1757" s="307"/>
    </row>
    <row r="1758" spans="1:2" x14ac:dyDescent="0.25">
      <c r="A1758" s="307"/>
      <c r="B1758" s="307"/>
    </row>
    <row r="1759" spans="1:2" x14ac:dyDescent="0.25">
      <c r="A1759" s="307"/>
      <c r="B1759" s="307"/>
    </row>
    <row r="1760" spans="1:2" x14ac:dyDescent="0.25">
      <c r="A1760" s="307"/>
      <c r="B1760" s="307"/>
    </row>
    <row r="1761" spans="1:2" x14ac:dyDescent="0.25">
      <c r="A1761" s="307"/>
      <c r="B1761" s="307"/>
    </row>
    <row r="1762" spans="1:2" x14ac:dyDescent="0.25">
      <c r="A1762" s="307"/>
      <c r="B1762" s="307"/>
    </row>
    <row r="1763" spans="1:2" x14ac:dyDescent="0.25">
      <c r="A1763" s="307"/>
      <c r="B1763" s="307"/>
    </row>
    <row r="1764" spans="1:2" x14ac:dyDescent="0.25">
      <c r="A1764" s="307"/>
      <c r="B1764" s="307"/>
    </row>
    <row r="1765" spans="1:2" x14ac:dyDescent="0.25">
      <c r="A1765" s="307"/>
      <c r="B1765" s="307"/>
    </row>
    <row r="1766" spans="1:2" x14ac:dyDescent="0.25">
      <c r="A1766" s="307"/>
      <c r="B1766" s="307"/>
    </row>
    <row r="1767" spans="1:2" x14ac:dyDescent="0.25">
      <c r="A1767" s="307"/>
      <c r="B1767" s="307"/>
    </row>
    <row r="1768" spans="1:2" x14ac:dyDescent="0.25">
      <c r="A1768" s="307"/>
      <c r="B1768" s="307"/>
    </row>
    <row r="1769" spans="1:2" x14ac:dyDescent="0.25">
      <c r="A1769" s="307"/>
      <c r="B1769" s="307"/>
    </row>
    <row r="1770" spans="1:2" x14ac:dyDescent="0.25">
      <c r="A1770" s="307"/>
      <c r="B1770" s="307"/>
    </row>
    <row r="1771" spans="1:2" x14ac:dyDescent="0.25">
      <c r="A1771" s="307"/>
      <c r="B1771" s="307"/>
    </row>
    <row r="1772" spans="1:2" x14ac:dyDescent="0.25">
      <c r="A1772" s="307"/>
      <c r="B1772" s="307"/>
    </row>
    <row r="1773" spans="1:2" x14ac:dyDescent="0.25">
      <c r="A1773" s="307"/>
      <c r="B1773" s="307"/>
    </row>
    <row r="1774" spans="1:2" x14ac:dyDescent="0.25">
      <c r="A1774" s="307"/>
      <c r="B1774" s="307"/>
    </row>
    <row r="1775" spans="1:2" x14ac:dyDescent="0.25">
      <c r="A1775" s="307"/>
      <c r="B1775" s="307"/>
    </row>
    <row r="1776" spans="1:2" x14ac:dyDescent="0.25">
      <c r="A1776" s="307"/>
      <c r="B1776" s="307"/>
    </row>
    <row r="1777" spans="1:2" x14ac:dyDescent="0.25">
      <c r="A1777" s="307"/>
      <c r="B1777" s="307"/>
    </row>
    <row r="1778" spans="1:2" x14ac:dyDescent="0.25">
      <c r="A1778" s="307"/>
      <c r="B1778" s="307"/>
    </row>
    <row r="1779" spans="1:2" x14ac:dyDescent="0.25">
      <c r="A1779" s="307"/>
      <c r="B1779" s="307"/>
    </row>
    <row r="1780" spans="1:2" x14ac:dyDescent="0.25">
      <c r="A1780" s="307"/>
      <c r="B1780" s="307"/>
    </row>
    <row r="1781" spans="1:2" x14ac:dyDescent="0.25">
      <c r="A1781" s="307"/>
      <c r="B1781" s="307"/>
    </row>
    <row r="1782" spans="1:2" x14ac:dyDescent="0.25">
      <c r="A1782" s="307"/>
      <c r="B1782" s="307"/>
    </row>
    <row r="1783" spans="1:2" x14ac:dyDescent="0.25">
      <c r="A1783" s="307"/>
      <c r="B1783" s="307"/>
    </row>
    <row r="1784" spans="1:2" x14ac:dyDescent="0.25">
      <c r="A1784" s="307"/>
      <c r="B1784" s="307"/>
    </row>
    <row r="1785" spans="1:2" x14ac:dyDescent="0.25">
      <c r="A1785" s="307"/>
      <c r="B1785" s="307"/>
    </row>
    <row r="1786" spans="1:2" x14ac:dyDescent="0.25">
      <c r="A1786" s="307"/>
      <c r="B1786" s="307"/>
    </row>
    <row r="1787" spans="1:2" x14ac:dyDescent="0.25">
      <c r="A1787" s="307"/>
      <c r="B1787" s="307"/>
    </row>
    <row r="1788" spans="1:2" x14ac:dyDescent="0.25">
      <c r="A1788" s="307"/>
      <c r="B1788" s="307"/>
    </row>
    <row r="1789" spans="1:2" x14ac:dyDescent="0.25">
      <c r="A1789" s="307"/>
      <c r="B1789" s="307"/>
    </row>
    <row r="1790" spans="1:2" x14ac:dyDescent="0.25">
      <c r="A1790" s="307"/>
      <c r="B1790" s="307"/>
    </row>
    <row r="1791" spans="1:2" x14ac:dyDescent="0.25">
      <c r="A1791" s="307"/>
      <c r="B1791" s="307"/>
    </row>
    <row r="1792" spans="1:2" x14ac:dyDescent="0.25">
      <c r="A1792" s="307"/>
      <c r="B1792" s="307"/>
    </row>
    <row r="1793" spans="1:2" x14ac:dyDescent="0.25">
      <c r="A1793" s="307"/>
      <c r="B1793" s="307"/>
    </row>
    <row r="1794" spans="1:2" x14ac:dyDescent="0.25">
      <c r="A1794" s="307"/>
      <c r="B1794" s="307"/>
    </row>
    <row r="1795" spans="1:2" x14ac:dyDescent="0.25">
      <c r="A1795" s="307"/>
      <c r="B1795" s="307"/>
    </row>
    <row r="1796" spans="1:2" x14ac:dyDescent="0.25">
      <c r="A1796" s="307"/>
      <c r="B1796" s="307"/>
    </row>
    <row r="1797" spans="1:2" x14ac:dyDescent="0.25">
      <c r="A1797" s="307"/>
      <c r="B1797" s="307"/>
    </row>
    <row r="1798" spans="1:2" x14ac:dyDescent="0.25">
      <c r="A1798" s="307"/>
      <c r="B1798" s="307"/>
    </row>
    <row r="1799" spans="1:2" x14ac:dyDescent="0.25">
      <c r="A1799" s="307"/>
      <c r="B1799" s="307"/>
    </row>
    <row r="1800" spans="1:2" x14ac:dyDescent="0.25">
      <c r="A1800" s="307"/>
      <c r="B1800" s="307"/>
    </row>
    <row r="1801" spans="1:2" x14ac:dyDescent="0.25">
      <c r="A1801" s="307"/>
      <c r="B1801" s="307"/>
    </row>
    <row r="1802" spans="1:2" x14ac:dyDescent="0.25">
      <c r="A1802" s="307"/>
      <c r="B1802" s="307"/>
    </row>
    <row r="1803" spans="1:2" x14ac:dyDescent="0.25">
      <c r="A1803" s="307"/>
      <c r="B1803" s="307"/>
    </row>
    <row r="1804" spans="1:2" x14ac:dyDescent="0.25">
      <c r="A1804" s="307"/>
      <c r="B1804" s="307"/>
    </row>
    <row r="1805" spans="1:2" x14ac:dyDescent="0.25">
      <c r="A1805" s="307"/>
      <c r="B1805" s="307"/>
    </row>
    <row r="1806" spans="1:2" x14ac:dyDescent="0.25">
      <c r="A1806" s="307"/>
      <c r="B1806" s="307"/>
    </row>
    <row r="1807" spans="1:2" x14ac:dyDescent="0.25">
      <c r="A1807" s="307"/>
      <c r="B1807" s="307"/>
    </row>
    <row r="1808" spans="1:2" x14ac:dyDescent="0.25">
      <c r="A1808" s="307"/>
      <c r="B1808" s="307"/>
    </row>
    <row r="1809" spans="1:2" x14ac:dyDescent="0.25">
      <c r="A1809" s="307"/>
      <c r="B1809" s="307"/>
    </row>
    <row r="1810" spans="1:2" x14ac:dyDescent="0.25">
      <c r="A1810" s="307"/>
      <c r="B1810" s="307"/>
    </row>
    <row r="1811" spans="1:2" x14ac:dyDescent="0.25">
      <c r="A1811" s="307"/>
      <c r="B1811" s="307"/>
    </row>
    <row r="1812" spans="1:2" x14ac:dyDescent="0.25">
      <c r="A1812" s="307"/>
      <c r="B1812" s="307"/>
    </row>
    <row r="1813" spans="1:2" x14ac:dyDescent="0.25">
      <c r="A1813" s="307"/>
      <c r="B1813" s="307"/>
    </row>
    <row r="1814" spans="1:2" x14ac:dyDescent="0.25">
      <c r="A1814" s="307"/>
      <c r="B1814" s="307"/>
    </row>
    <row r="1815" spans="1:2" x14ac:dyDescent="0.25">
      <c r="A1815" s="307"/>
      <c r="B1815" s="307"/>
    </row>
    <row r="1816" spans="1:2" x14ac:dyDescent="0.25">
      <c r="A1816" s="307"/>
      <c r="B1816" s="307"/>
    </row>
    <row r="1817" spans="1:2" x14ac:dyDescent="0.25">
      <c r="A1817" s="307"/>
      <c r="B1817" s="307"/>
    </row>
    <row r="1818" spans="1:2" x14ac:dyDescent="0.25">
      <c r="A1818" s="307"/>
      <c r="B1818" s="307"/>
    </row>
    <row r="1819" spans="1:2" x14ac:dyDescent="0.25">
      <c r="A1819" s="307"/>
      <c r="B1819" s="307"/>
    </row>
    <row r="1820" spans="1:2" x14ac:dyDescent="0.25">
      <c r="A1820" s="307"/>
      <c r="B1820" s="307"/>
    </row>
    <row r="1821" spans="1:2" x14ac:dyDescent="0.25">
      <c r="A1821" s="307"/>
      <c r="B1821" s="307"/>
    </row>
    <row r="1822" spans="1:2" x14ac:dyDescent="0.25">
      <c r="A1822" s="307"/>
      <c r="B1822" s="307"/>
    </row>
    <row r="1823" spans="1:2" x14ac:dyDescent="0.25">
      <c r="A1823" s="307"/>
      <c r="B1823" s="307"/>
    </row>
    <row r="1824" spans="1:2" x14ac:dyDescent="0.25">
      <c r="A1824" s="307"/>
      <c r="B1824" s="307"/>
    </row>
    <row r="1825" spans="1:2" x14ac:dyDescent="0.25">
      <c r="A1825" s="307"/>
      <c r="B1825" s="307"/>
    </row>
    <row r="1826" spans="1:2" x14ac:dyDescent="0.25">
      <c r="A1826" s="307"/>
      <c r="B1826" s="307"/>
    </row>
    <row r="1827" spans="1:2" x14ac:dyDescent="0.25">
      <c r="A1827" s="307"/>
      <c r="B1827" s="307"/>
    </row>
    <row r="1828" spans="1:2" x14ac:dyDescent="0.25">
      <c r="A1828" s="307"/>
      <c r="B1828" s="307"/>
    </row>
    <row r="1829" spans="1:2" x14ac:dyDescent="0.25">
      <c r="A1829" s="307"/>
      <c r="B1829" s="307"/>
    </row>
    <row r="1830" spans="1:2" x14ac:dyDescent="0.25">
      <c r="A1830" s="307"/>
      <c r="B1830" s="307"/>
    </row>
    <row r="1831" spans="1:2" x14ac:dyDescent="0.25">
      <c r="A1831" s="307"/>
      <c r="B1831" s="307"/>
    </row>
    <row r="1832" spans="1:2" x14ac:dyDescent="0.25">
      <c r="A1832" s="307"/>
      <c r="B1832" s="307"/>
    </row>
    <row r="1833" spans="1:2" x14ac:dyDescent="0.25">
      <c r="A1833" s="307"/>
      <c r="B1833" s="307"/>
    </row>
    <row r="1834" spans="1:2" x14ac:dyDescent="0.25">
      <c r="A1834" s="307"/>
      <c r="B1834" s="307"/>
    </row>
    <row r="1835" spans="1:2" x14ac:dyDescent="0.25">
      <c r="A1835" s="307"/>
      <c r="B1835" s="307"/>
    </row>
    <row r="1836" spans="1:2" x14ac:dyDescent="0.25">
      <c r="A1836" s="307"/>
      <c r="B1836" s="307"/>
    </row>
    <row r="1837" spans="1:2" x14ac:dyDescent="0.25">
      <c r="A1837" s="307"/>
      <c r="B1837" s="307"/>
    </row>
    <row r="1838" spans="1:2" x14ac:dyDescent="0.25">
      <c r="A1838" s="307"/>
      <c r="B1838" s="307"/>
    </row>
    <row r="1839" spans="1:2" x14ac:dyDescent="0.25">
      <c r="A1839" s="307"/>
      <c r="B1839" s="307"/>
    </row>
    <row r="1840" spans="1:2" x14ac:dyDescent="0.25">
      <c r="A1840" s="307"/>
      <c r="B1840" s="307"/>
    </row>
    <row r="1841" spans="1:2" x14ac:dyDescent="0.25">
      <c r="A1841" s="307"/>
      <c r="B1841" s="307"/>
    </row>
    <row r="1842" spans="1:2" x14ac:dyDescent="0.25">
      <c r="A1842" s="307"/>
      <c r="B1842" s="307"/>
    </row>
    <row r="1843" spans="1:2" x14ac:dyDescent="0.25">
      <c r="A1843" s="307"/>
      <c r="B1843" s="307"/>
    </row>
    <row r="1844" spans="1:2" x14ac:dyDescent="0.25">
      <c r="A1844" s="307"/>
      <c r="B1844" s="307"/>
    </row>
    <row r="1845" spans="1:2" x14ac:dyDescent="0.25">
      <c r="A1845" s="307"/>
      <c r="B1845" s="307"/>
    </row>
    <row r="1846" spans="1:2" x14ac:dyDescent="0.25">
      <c r="A1846" s="307"/>
      <c r="B1846" s="307"/>
    </row>
    <row r="1847" spans="1:2" x14ac:dyDescent="0.25">
      <c r="A1847" s="307"/>
      <c r="B1847" s="307"/>
    </row>
    <row r="1848" spans="1:2" x14ac:dyDescent="0.25">
      <c r="A1848" s="307"/>
      <c r="B1848" s="307"/>
    </row>
    <row r="1849" spans="1:2" x14ac:dyDescent="0.25">
      <c r="A1849" s="307"/>
      <c r="B1849" s="307"/>
    </row>
    <row r="1850" spans="1:2" x14ac:dyDescent="0.25">
      <c r="A1850" s="307"/>
      <c r="B1850" s="307"/>
    </row>
    <row r="1851" spans="1:2" x14ac:dyDescent="0.25">
      <c r="A1851" s="307"/>
      <c r="B1851" s="307"/>
    </row>
    <row r="1852" spans="1:2" x14ac:dyDescent="0.25">
      <c r="A1852" s="307"/>
      <c r="B1852" s="307"/>
    </row>
    <row r="1853" spans="1:2" x14ac:dyDescent="0.25">
      <c r="A1853" s="307"/>
      <c r="B1853" s="307"/>
    </row>
    <row r="1854" spans="1:2" x14ac:dyDescent="0.25">
      <c r="A1854" s="307"/>
      <c r="B1854" s="307"/>
    </row>
    <row r="1855" spans="1:2" x14ac:dyDescent="0.25">
      <c r="A1855" s="307"/>
      <c r="B1855" s="307"/>
    </row>
    <row r="1856" spans="1:2" x14ac:dyDescent="0.25">
      <c r="A1856" s="307"/>
      <c r="B1856" s="307"/>
    </row>
    <row r="1857" spans="1:2" x14ac:dyDescent="0.25">
      <c r="A1857" s="307"/>
      <c r="B1857" s="307"/>
    </row>
    <row r="1858" spans="1:2" x14ac:dyDescent="0.25">
      <c r="A1858" s="307"/>
      <c r="B1858" s="307"/>
    </row>
    <row r="1859" spans="1:2" x14ac:dyDescent="0.25">
      <c r="A1859" s="307"/>
      <c r="B1859" s="307"/>
    </row>
    <row r="1860" spans="1:2" x14ac:dyDescent="0.25">
      <c r="A1860" s="307"/>
      <c r="B1860" s="307"/>
    </row>
    <row r="1861" spans="1:2" x14ac:dyDescent="0.25">
      <c r="A1861" s="307"/>
      <c r="B1861" s="307"/>
    </row>
    <row r="1862" spans="1:2" x14ac:dyDescent="0.25">
      <c r="A1862" s="307"/>
      <c r="B1862" s="307"/>
    </row>
    <row r="1863" spans="1:2" x14ac:dyDescent="0.25">
      <c r="A1863" s="307"/>
      <c r="B1863" s="307"/>
    </row>
    <row r="1864" spans="1:2" x14ac:dyDescent="0.25">
      <c r="A1864" s="307"/>
      <c r="B1864" s="307"/>
    </row>
    <row r="1865" spans="1:2" x14ac:dyDescent="0.25">
      <c r="A1865" s="307"/>
      <c r="B1865" s="307"/>
    </row>
    <row r="1866" spans="1:2" x14ac:dyDescent="0.25">
      <c r="A1866" s="307"/>
      <c r="B1866" s="307"/>
    </row>
    <row r="1867" spans="1:2" x14ac:dyDescent="0.25">
      <c r="A1867" s="307"/>
      <c r="B1867" s="307"/>
    </row>
    <row r="1868" spans="1:2" x14ac:dyDescent="0.25">
      <c r="A1868" s="307"/>
      <c r="B1868" s="307"/>
    </row>
    <row r="1869" spans="1:2" x14ac:dyDescent="0.25">
      <c r="A1869" s="307"/>
      <c r="B1869" s="307"/>
    </row>
    <row r="1870" spans="1:2" x14ac:dyDescent="0.25">
      <c r="A1870" s="307"/>
      <c r="B1870" s="307"/>
    </row>
    <row r="1871" spans="1:2" x14ac:dyDescent="0.25">
      <c r="A1871" s="307"/>
      <c r="B1871" s="307"/>
    </row>
    <row r="1872" spans="1:2" x14ac:dyDescent="0.25">
      <c r="A1872" s="307"/>
      <c r="B1872" s="307"/>
    </row>
    <row r="1873" spans="1:2" x14ac:dyDescent="0.25">
      <c r="A1873" s="307"/>
      <c r="B1873" s="307"/>
    </row>
    <row r="1874" spans="1:2" x14ac:dyDescent="0.25">
      <c r="A1874" s="307"/>
      <c r="B1874" s="307"/>
    </row>
    <row r="1875" spans="1:2" x14ac:dyDescent="0.25">
      <c r="A1875" s="307"/>
      <c r="B1875" s="307"/>
    </row>
    <row r="1876" spans="1:2" x14ac:dyDescent="0.25">
      <c r="A1876" s="307"/>
      <c r="B1876" s="307"/>
    </row>
    <row r="1877" spans="1:2" x14ac:dyDescent="0.25">
      <c r="A1877" s="307"/>
      <c r="B1877" s="307"/>
    </row>
    <row r="1878" spans="1:2" x14ac:dyDescent="0.25">
      <c r="A1878" s="307"/>
      <c r="B1878" s="307"/>
    </row>
    <row r="1879" spans="1:2" x14ac:dyDescent="0.25">
      <c r="A1879" s="307"/>
      <c r="B1879" s="307"/>
    </row>
    <row r="1880" spans="1:2" x14ac:dyDescent="0.25">
      <c r="A1880" s="307"/>
      <c r="B1880" s="307"/>
    </row>
    <row r="1881" spans="1:2" x14ac:dyDescent="0.25">
      <c r="A1881" s="307"/>
      <c r="B1881" s="307"/>
    </row>
    <row r="1882" spans="1:2" x14ac:dyDescent="0.25">
      <c r="A1882" s="307"/>
      <c r="B1882" s="307"/>
    </row>
    <row r="1883" spans="1:2" x14ac:dyDescent="0.25">
      <c r="A1883" s="307"/>
      <c r="B1883" s="307"/>
    </row>
    <row r="1884" spans="1:2" x14ac:dyDescent="0.25">
      <c r="A1884" s="307"/>
      <c r="B1884" s="307"/>
    </row>
    <row r="1885" spans="1:2" x14ac:dyDescent="0.25">
      <c r="A1885" s="307"/>
      <c r="B1885" s="307"/>
    </row>
    <row r="1886" spans="1:2" x14ac:dyDescent="0.25">
      <c r="A1886" s="307"/>
      <c r="B1886" s="307"/>
    </row>
    <row r="1887" spans="1:2" x14ac:dyDescent="0.25">
      <c r="A1887" s="307"/>
      <c r="B1887" s="307"/>
    </row>
    <row r="1888" spans="1:2" x14ac:dyDescent="0.25">
      <c r="A1888" s="307"/>
      <c r="B1888" s="307"/>
    </row>
    <row r="1889" spans="1:2" x14ac:dyDescent="0.25">
      <c r="A1889" s="307"/>
      <c r="B1889" s="307"/>
    </row>
    <row r="1890" spans="1:2" x14ac:dyDescent="0.25">
      <c r="A1890" s="307"/>
      <c r="B1890" s="307"/>
    </row>
    <row r="1891" spans="1:2" x14ac:dyDescent="0.25">
      <c r="A1891" s="307"/>
      <c r="B1891" s="307"/>
    </row>
    <row r="1892" spans="1:2" x14ac:dyDescent="0.25">
      <c r="A1892" s="307"/>
      <c r="B1892" s="307"/>
    </row>
    <row r="1893" spans="1:2" x14ac:dyDescent="0.25">
      <c r="A1893" s="307"/>
      <c r="B1893" s="307"/>
    </row>
    <row r="1894" spans="1:2" x14ac:dyDescent="0.25">
      <c r="A1894" s="307"/>
      <c r="B1894" s="307"/>
    </row>
    <row r="1895" spans="1:2" x14ac:dyDescent="0.25">
      <c r="A1895" s="307"/>
      <c r="B1895" s="307"/>
    </row>
    <row r="1896" spans="1:2" x14ac:dyDescent="0.25">
      <c r="A1896" s="307"/>
      <c r="B1896" s="307"/>
    </row>
    <row r="1897" spans="1:2" x14ac:dyDescent="0.25">
      <c r="A1897" s="307"/>
      <c r="B1897" s="307"/>
    </row>
    <row r="1898" spans="1:2" x14ac:dyDescent="0.25">
      <c r="A1898" s="307"/>
      <c r="B1898" s="307"/>
    </row>
    <row r="1899" spans="1:2" x14ac:dyDescent="0.25">
      <c r="A1899" s="307"/>
      <c r="B1899" s="307"/>
    </row>
    <row r="1900" spans="1:2" x14ac:dyDescent="0.25">
      <c r="A1900" s="307"/>
      <c r="B1900" s="307"/>
    </row>
    <row r="1901" spans="1:2" x14ac:dyDescent="0.25">
      <c r="A1901" s="307"/>
      <c r="B1901" s="307"/>
    </row>
    <row r="1902" spans="1:2" x14ac:dyDescent="0.25">
      <c r="A1902" s="307"/>
      <c r="B1902" s="307"/>
    </row>
    <row r="1903" spans="1:2" x14ac:dyDescent="0.25">
      <c r="A1903" s="307"/>
      <c r="B1903" s="307"/>
    </row>
    <row r="1904" spans="1:2" x14ac:dyDescent="0.25">
      <c r="A1904" s="307"/>
      <c r="B1904" s="307"/>
    </row>
    <row r="1905" spans="1:2" x14ac:dyDescent="0.25">
      <c r="A1905" s="307"/>
      <c r="B1905" s="307"/>
    </row>
    <row r="1906" spans="1:2" x14ac:dyDescent="0.25">
      <c r="A1906" s="307"/>
      <c r="B1906" s="307"/>
    </row>
    <row r="1907" spans="1:2" x14ac:dyDescent="0.25">
      <c r="A1907" s="307"/>
      <c r="B1907" s="307"/>
    </row>
    <row r="1908" spans="1:2" x14ac:dyDescent="0.25">
      <c r="A1908" s="307"/>
      <c r="B1908" s="307"/>
    </row>
    <row r="1909" spans="1:2" x14ac:dyDescent="0.25">
      <c r="A1909" s="307"/>
      <c r="B1909" s="307"/>
    </row>
    <row r="1910" spans="1:2" x14ac:dyDescent="0.25">
      <c r="A1910" s="307"/>
      <c r="B1910" s="307"/>
    </row>
    <row r="1911" spans="1:2" x14ac:dyDescent="0.25">
      <c r="A1911" s="307"/>
      <c r="B1911" s="307"/>
    </row>
    <row r="1912" spans="1:2" x14ac:dyDescent="0.25">
      <c r="A1912" s="307"/>
      <c r="B1912" s="307"/>
    </row>
    <row r="1913" spans="1:2" x14ac:dyDescent="0.25">
      <c r="A1913" s="307"/>
      <c r="B1913" s="307"/>
    </row>
    <row r="1914" spans="1:2" x14ac:dyDescent="0.25">
      <c r="A1914" s="307"/>
      <c r="B1914" s="307"/>
    </row>
    <row r="1915" spans="1:2" x14ac:dyDescent="0.25">
      <c r="A1915" s="307"/>
      <c r="B1915" s="307"/>
    </row>
    <row r="1916" spans="1:2" x14ac:dyDescent="0.25">
      <c r="A1916" s="307"/>
      <c r="B1916" s="307"/>
    </row>
    <row r="1917" spans="1:2" x14ac:dyDescent="0.25">
      <c r="A1917" s="307"/>
      <c r="B1917" s="307"/>
    </row>
    <row r="1918" spans="1:2" x14ac:dyDescent="0.25">
      <c r="A1918" s="307"/>
      <c r="B1918" s="307"/>
    </row>
    <row r="1919" spans="1:2" x14ac:dyDescent="0.25">
      <c r="A1919" s="307"/>
      <c r="B1919" s="307"/>
    </row>
    <row r="1920" spans="1:2" x14ac:dyDescent="0.25">
      <c r="A1920" s="307"/>
      <c r="B1920" s="307"/>
    </row>
    <row r="1921" spans="1:2" x14ac:dyDescent="0.25">
      <c r="A1921" s="307"/>
      <c r="B1921" s="307"/>
    </row>
    <row r="1922" spans="1:2" x14ac:dyDescent="0.25">
      <c r="A1922" s="307"/>
      <c r="B1922" s="307"/>
    </row>
    <row r="1923" spans="1:2" x14ac:dyDescent="0.25">
      <c r="A1923" s="307"/>
      <c r="B1923" s="307"/>
    </row>
    <row r="1924" spans="1:2" x14ac:dyDescent="0.25">
      <c r="A1924" s="307"/>
      <c r="B1924" s="307"/>
    </row>
    <row r="1925" spans="1:2" x14ac:dyDescent="0.25">
      <c r="A1925" s="307"/>
      <c r="B1925" s="307"/>
    </row>
    <row r="1926" spans="1:2" x14ac:dyDescent="0.25">
      <c r="A1926" s="307"/>
      <c r="B1926" s="307"/>
    </row>
    <row r="1927" spans="1:2" x14ac:dyDescent="0.25">
      <c r="A1927" s="307"/>
      <c r="B1927" s="307"/>
    </row>
    <row r="1928" spans="1:2" x14ac:dyDescent="0.25">
      <c r="A1928" s="307"/>
      <c r="B1928" s="307"/>
    </row>
    <row r="1929" spans="1:2" x14ac:dyDescent="0.25">
      <c r="A1929" s="307"/>
      <c r="B1929" s="307"/>
    </row>
    <row r="1930" spans="1:2" x14ac:dyDescent="0.25">
      <c r="A1930" s="307"/>
      <c r="B1930" s="307"/>
    </row>
    <row r="1931" spans="1:2" x14ac:dyDescent="0.25">
      <c r="A1931" s="307"/>
      <c r="B1931" s="307"/>
    </row>
    <row r="1932" spans="1:2" x14ac:dyDescent="0.25">
      <c r="A1932" s="307"/>
      <c r="B1932" s="307"/>
    </row>
    <row r="1933" spans="1:2" x14ac:dyDescent="0.25">
      <c r="A1933" s="307"/>
      <c r="B1933" s="307"/>
    </row>
    <row r="1934" spans="1:2" x14ac:dyDescent="0.25">
      <c r="A1934" s="307"/>
      <c r="B1934" s="307"/>
    </row>
    <row r="1935" spans="1:2" x14ac:dyDescent="0.25">
      <c r="A1935" s="307"/>
      <c r="B1935" s="307"/>
    </row>
    <row r="1936" spans="1:2" x14ac:dyDescent="0.25">
      <c r="A1936" s="307"/>
      <c r="B1936" s="307"/>
    </row>
    <row r="1937" spans="1:2" x14ac:dyDescent="0.25">
      <c r="A1937" s="307"/>
      <c r="B1937" s="307"/>
    </row>
    <row r="1938" spans="1:2" x14ac:dyDescent="0.25">
      <c r="A1938" s="307"/>
      <c r="B1938" s="307"/>
    </row>
    <row r="1939" spans="1:2" x14ac:dyDescent="0.25">
      <c r="A1939" s="307"/>
      <c r="B1939" s="307"/>
    </row>
    <row r="1940" spans="1:2" x14ac:dyDescent="0.25">
      <c r="A1940" s="307"/>
      <c r="B1940" s="307"/>
    </row>
    <row r="1941" spans="1:2" x14ac:dyDescent="0.25">
      <c r="A1941" s="307"/>
      <c r="B1941" s="307"/>
    </row>
    <row r="1942" spans="1:2" x14ac:dyDescent="0.25">
      <c r="A1942" s="307"/>
      <c r="B1942" s="307"/>
    </row>
    <row r="1943" spans="1:2" x14ac:dyDescent="0.25">
      <c r="A1943" s="307"/>
      <c r="B1943" s="307"/>
    </row>
    <row r="1944" spans="1:2" x14ac:dyDescent="0.25">
      <c r="A1944" s="307"/>
      <c r="B1944" s="307"/>
    </row>
    <row r="1945" spans="1:2" x14ac:dyDescent="0.25">
      <c r="A1945" s="307"/>
      <c r="B1945" s="307"/>
    </row>
    <row r="1946" spans="1:2" x14ac:dyDescent="0.25">
      <c r="A1946" s="307"/>
      <c r="B1946" s="307"/>
    </row>
    <row r="1947" spans="1:2" x14ac:dyDescent="0.25">
      <c r="A1947" s="307"/>
      <c r="B1947" s="307"/>
    </row>
    <row r="1948" spans="1:2" x14ac:dyDescent="0.25">
      <c r="A1948" s="307"/>
      <c r="B1948" s="307"/>
    </row>
    <row r="1949" spans="1:2" x14ac:dyDescent="0.25">
      <c r="A1949" s="307"/>
      <c r="B1949" s="307"/>
    </row>
    <row r="1950" spans="1:2" x14ac:dyDescent="0.25">
      <c r="A1950" s="307"/>
      <c r="B1950" s="307"/>
    </row>
    <row r="1951" spans="1:2" x14ac:dyDescent="0.25">
      <c r="A1951" s="307"/>
      <c r="B1951" s="307"/>
    </row>
    <row r="1952" spans="1:2" x14ac:dyDescent="0.25">
      <c r="A1952" s="307"/>
      <c r="B1952" s="307"/>
    </row>
    <row r="1953" spans="1:2" x14ac:dyDescent="0.25">
      <c r="A1953" s="307"/>
      <c r="B1953" s="307"/>
    </row>
    <row r="1954" spans="1:2" x14ac:dyDescent="0.25">
      <c r="A1954" s="307"/>
      <c r="B1954" s="307"/>
    </row>
    <row r="1955" spans="1:2" x14ac:dyDescent="0.25">
      <c r="A1955" s="307"/>
      <c r="B1955" s="307"/>
    </row>
    <row r="1956" spans="1:2" x14ac:dyDescent="0.25">
      <c r="A1956" s="307"/>
      <c r="B1956" s="307"/>
    </row>
    <row r="1957" spans="1:2" x14ac:dyDescent="0.25">
      <c r="A1957" s="307"/>
      <c r="B1957" s="307"/>
    </row>
    <row r="1958" spans="1:2" x14ac:dyDescent="0.25">
      <c r="A1958" s="307"/>
      <c r="B1958" s="307"/>
    </row>
    <row r="1959" spans="1:2" x14ac:dyDescent="0.25">
      <c r="A1959" s="307"/>
      <c r="B1959" s="307"/>
    </row>
    <row r="1960" spans="1:2" x14ac:dyDescent="0.25">
      <c r="A1960" s="307"/>
      <c r="B1960" s="307"/>
    </row>
    <row r="1961" spans="1:2" x14ac:dyDescent="0.25">
      <c r="A1961" s="307"/>
      <c r="B1961" s="307"/>
    </row>
    <row r="1962" spans="1:2" x14ac:dyDescent="0.25">
      <c r="A1962" s="307"/>
      <c r="B1962" s="307"/>
    </row>
    <row r="1963" spans="1:2" x14ac:dyDescent="0.25">
      <c r="A1963" s="307"/>
      <c r="B1963" s="307"/>
    </row>
    <row r="1964" spans="1:2" x14ac:dyDescent="0.25">
      <c r="A1964" s="307"/>
      <c r="B1964" s="307"/>
    </row>
    <row r="1965" spans="1:2" x14ac:dyDescent="0.25">
      <c r="A1965" s="307"/>
      <c r="B1965" s="307"/>
    </row>
    <row r="1966" spans="1:2" x14ac:dyDescent="0.25">
      <c r="A1966" s="307"/>
      <c r="B1966" s="307"/>
    </row>
    <row r="1967" spans="1:2" x14ac:dyDescent="0.25">
      <c r="A1967" s="307"/>
      <c r="B1967" s="307"/>
    </row>
    <row r="1968" spans="1:2" x14ac:dyDescent="0.25">
      <c r="A1968" s="307"/>
      <c r="B1968" s="307"/>
    </row>
    <row r="1969" spans="1:2" x14ac:dyDescent="0.25">
      <c r="A1969" s="307"/>
      <c r="B1969" s="307"/>
    </row>
    <row r="1970" spans="1:2" x14ac:dyDescent="0.25">
      <c r="A1970" s="307"/>
      <c r="B1970" s="307"/>
    </row>
    <row r="1971" spans="1:2" x14ac:dyDescent="0.25">
      <c r="A1971" s="307"/>
      <c r="B1971" s="307"/>
    </row>
    <row r="1972" spans="1:2" x14ac:dyDescent="0.25">
      <c r="A1972" s="307"/>
      <c r="B1972" s="307"/>
    </row>
    <row r="1973" spans="1:2" x14ac:dyDescent="0.25">
      <c r="A1973" s="307"/>
      <c r="B1973" s="307"/>
    </row>
    <row r="1974" spans="1:2" x14ac:dyDescent="0.25">
      <c r="A1974" s="307"/>
      <c r="B1974" s="307"/>
    </row>
    <row r="1975" spans="1:2" x14ac:dyDescent="0.25">
      <c r="A1975" s="307"/>
      <c r="B1975" s="307"/>
    </row>
    <row r="1976" spans="1:2" x14ac:dyDescent="0.25">
      <c r="A1976" s="307"/>
      <c r="B1976" s="307"/>
    </row>
    <row r="1977" spans="1:2" x14ac:dyDescent="0.25">
      <c r="A1977" s="307"/>
      <c r="B1977" s="307"/>
    </row>
    <row r="1978" spans="1:2" x14ac:dyDescent="0.25">
      <c r="A1978" s="307"/>
      <c r="B1978" s="307"/>
    </row>
    <row r="1979" spans="1:2" x14ac:dyDescent="0.25">
      <c r="A1979" s="307"/>
      <c r="B1979" s="307"/>
    </row>
    <row r="1980" spans="1:2" x14ac:dyDescent="0.25">
      <c r="A1980" s="307"/>
      <c r="B1980" s="307"/>
    </row>
    <row r="1981" spans="1:2" x14ac:dyDescent="0.25">
      <c r="A1981" s="307"/>
      <c r="B1981" s="307"/>
    </row>
    <row r="1982" spans="1:2" x14ac:dyDescent="0.25">
      <c r="A1982" s="307"/>
      <c r="B1982" s="307"/>
    </row>
    <row r="1983" spans="1:2" x14ac:dyDescent="0.25">
      <c r="A1983" s="307"/>
      <c r="B1983" s="307"/>
    </row>
    <row r="1984" spans="1:2" x14ac:dyDescent="0.25">
      <c r="A1984" s="307"/>
      <c r="B1984" s="307"/>
    </row>
    <row r="1985" spans="1:2" x14ac:dyDescent="0.25">
      <c r="A1985" s="307"/>
      <c r="B1985" s="307"/>
    </row>
    <row r="1986" spans="1:2" x14ac:dyDescent="0.25">
      <c r="A1986" s="307"/>
      <c r="B1986" s="307"/>
    </row>
    <row r="1987" spans="1:2" x14ac:dyDescent="0.25">
      <c r="A1987" s="307"/>
      <c r="B1987" s="307"/>
    </row>
    <row r="1988" spans="1:2" x14ac:dyDescent="0.25">
      <c r="A1988" s="307"/>
      <c r="B1988" s="307"/>
    </row>
    <row r="1989" spans="1:2" x14ac:dyDescent="0.25">
      <c r="A1989" s="307"/>
      <c r="B1989" s="307"/>
    </row>
    <row r="1990" spans="1:2" x14ac:dyDescent="0.25">
      <c r="A1990" s="307"/>
      <c r="B1990" s="307"/>
    </row>
    <row r="1991" spans="1:2" x14ac:dyDescent="0.25">
      <c r="A1991" s="307"/>
      <c r="B1991" s="307"/>
    </row>
    <row r="1992" spans="1:2" x14ac:dyDescent="0.25">
      <c r="A1992" s="307"/>
      <c r="B1992" s="307"/>
    </row>
    <row r="1993" spans="1:2" x14ac:dyDescent="0.25">
      <c r="A1993" s="307"/>
      <c r="B1993" s="307"/>
    </row>
    <row r="1994" spans="1:2" x14ac:dyDescent="0.25">
      <c r="A1994" s="307"/>
      <c r="B1994" s="307"/>
    </row>
    <row r="1995" spans="1:2" x14ac:dyDescent="0.25">
      <c r="A1995" s="307"/>
      <c r="B1995" s="307"/>
    </row>
    <row r="1996" spans="1:2" x14ac:dyDescent="0.25">
      <c r="A1996" s="307"/>
      <c r="B1996" s="307"/>
    </row>
    <row r="1997" spans="1:2" x14ac:dyDescent="0.25">
      <c r="A1997" s="307"/>
      <c r="B1997" s="307"/>
    </row>
    <row r="1998" spans="1:2" x14ac:dyDescent="0.25">
      <c r="A1998" s="307"/>
      <c r="B1998" s="307"/>
    </row>
    <row r="1999" spans="1:2" x14ac:dyDescent="0.25">
      <c r="A1999" s="307"/>
      <c r="B1999" s="307"/>
    </row>
    <row r="2000" spans="1:2" x14ac:dyDescent="0.25">
      <c r="A2000" s="307"/>
      <c r="B2000" s="307"/>
    </row>
    <row r="2001" spans="1:2" x14ac:dyDescent="0.25">
      <c r="A2001" s="307"/>
      <c r="B2001" s="307"/>
    </row>
    <row r="2002" spans="1:2" x14ac:dyDescent="0.25">
      <c r="A2002" s="307"/>
      <c r="B2002" s="307"/>
    </row>
    <row r="2003" spans="1:2" x14ac:dyDescent="0.25">
      <c r="A2003" s="307"/>
      <c r="B2003" s="307"/>
    </row>
    <row r="2004" spans="1:2" x14ac:dyDescent="0.25">
      <c r="A2004" s="307"/>
      <c r="B2004" s="307"/>
    </row>
    <row r="2005" spans="1:2" x14ac:dyDescent="0.25">
      <c r="A2005" s="307"/>
      <c r="B2005" s="307"/>
    </row>
    <row r="2006" spans="1:2" x14ac:dyDescent="0.25">
      <c r="A2006" s="307"/>
      <c r="B2006" s="307"/>
    </row>
    <row r="2007" spans="1:2" x14ac:dyDescent="0.25">
      <c r="A2007" s="307"/>
      <c r="B2007" s="307"/>
    </row>
    <row r="2008" spans="1:2" x14ac:dyDescent="0.25">
      <c r="A2008" s="307"/>
      <c r="B2008" s="307"/>
    </row>
    <row r="2009" spans="1:2" x14ac:dyDescent="0.25">
      <c r="A2009" s="307"/>
      <c r="B2009" s="307"/>
    </row>
    <row r="2010" spans="1:2" x14ac:dyDescent="0.25">
      <c r="A2010" s="307"/>
      <c r="B2010" s="307"/>
    </row>
    <row r="2011" spans="1:2" x14ac:dyDescent="0.25">
      <c r="A2011" s="307"/>
      <c r="B2011" s="307"/>
    </row>
    <row r="2012" spans="1:2" x14ac:dyDescent="0.25">
      <c r="A2012" s="307"/>
      <c r="B2012" s="307"/>
    </row>
    <row r="2013" spans="1:2" x14ac:dyDescent="0.25">
      <c r="A2013" s="307"/>
      <c r="B2013" s="307"/>
    </row>
    <row r="2014" spans="1:2" x14ac:dyDescent="0.25">
      <c r="A2014" s="307"/>
      <c r="B2014" s="307"/>
    </row>
    <row r="2015" spans="1:2" x14ac:dyDescent="0.25">
      <c r="A2015" s="307"/>
      <c r="B2015" s="307"/>
    </row>
    <row r="2016" spans="1:2" x14ac:dyDescent="0.25">
      <c r="A2016" s="307"/>
      <c r="B2016" s="307"/>
    </row>
    <row r="2017" spans="1:2" x14ac:dyDescent="0.25">
      <c r="A2017" s="307"/>
      <c r="B2017" s="307"/>
    </row>
    <row r="2018" spans="1:2" x14ac:dyDescent="0.25">
      <c r="A2018" s="307"/>
      <c r="B2018" s="307"/>
    </row>
    <row r="2019" spans="1:2" x14ac:dyDescent="0.25">
      <c r="A2019" s="307"/>
      <c r="B2019" s="307"/>
    </row>
    <row r="2020" spans="1:2" x14ac:dyDescent="0.25">
      <c r="A2020" s="307"/>
      <c r="B2020" s="307"/>
    </row>
    <row r="2021" spans="1:2" x14ac:dyDescent="0.25">
      <c r="A2021" s="307"/>
      <c r="B2021" s="307"/>
    </row>
    <row r="2022" spans="1:2" x14ac:dyDescent="0.25">
      <c r="A2022" s="307"/>
      <c r="B2022" s="307"/>
    </row>
    <row r="2023" spans="1:2" x14ac:dyDescent="0.25">
      <c r="A2023" s="307"/>
      <c r="B2023" s="307"/>
    </row>
    <row r="2024" spans="1:2" x14ac:dyDescent="0.25">
      <c r="A2024" s="307"/>
      <c r="B2024" s="307"/>
    </row>
    <row r="2025" spans="1:2" x14ac:dyDescent="0.25">
      <c r="A2025" s="307"/>
      <c r="B2025" s="307"/>
    </row>
    <row r="2026" spans="1:2" x14ac:dyDescent="0.25">
      <c r="A2026" s="307"/>
      <c r="B2026" s="307"/>
    </row>
    <row r="2027" spans="1:2" x14ac:dyDescent="0.25">
      <c r="A2027" s="307"/>
      <c r="B2027" s="307"/>
    </row>
    <row r="2028" spans="1:2" x14ac:dyDescent="0.25">
      <c r="A2028" s="307"/>
      <c r="B2028" s="307"/>
    </row>
    <row r="2029" spans="1:2" x14ac:dyDescent="0.25">
      <c r="A2029" s="307"/>
      <c r="B2029" s="307"/>
    </row>
    <row r="2030" spans="1:2" x14ac:dyDescent="0.25">
      <c r="A2030" s="307"/>
      <c r="B2030" s="307"/>
    </row>
    <row r="2031" spans="1:2" x14ac:dyDescent="0.25">
      <c r="A2031" s="307"/>
      <c r="B2031" s="307"/>
    </row>
    <row r="2032" spans="1:2" x14ac:dyDescent="0.25">
      <c r="A2032" s="307"/>
      <c r="B2032" s="307"/>
    </row>
    <row r="2033" spans="1:2" x14ac:dyDescent="0.25">
      <c r="A2033" s="307"/>
      <c r="B2033" s="307"/>
    </row>
    <row r="2034" spans="1:2" x14ac:dyDescent="0.25">
      <c r="A2034" s="307"/>
      <c r="B2034" s="307"/>
    </row>
    <row r="2035" spans="1:2" x14ac:dyDescent="0.25">
      <c r="A2035" s="307"/>
      <c r="B2035" s="307"/>
    </row>
    <row r="2036" spans="1:2" x14ac:dyDescent="0.25">
      <c r="A2036" s="307"/>
      <c r="B2036" s="307"/>
    </row>
    <row r="2037" spans="1:2" x14ac:dyDescent="0.25">
      <c r="A2037" s="307"/>
      <c r="B2037" s="307"/>
    </row>
    <row r="2038" spans="1:2" x14ac:dyDescent="0.25">
      <c r="A2038" s="307"/>
      <c r="B2038" s="307"/>
    </row>
    <row r="2039" spans="1:2" x14ac:dyDescent="0.25">
      <c r="A2039" s="307"/>
      <c r="B2039" s="307"/>
    </row>
    <row r="2040" spans="1:2" x14ac:dyDescent="0.25">
      <c r="A2040" s="307"/>
      <c r="B2040" s="307"/>
    </row>
    <row r="2041" spans="1:2" x14ac:dyDescent="0.25">
      <c r="A2041" s="307"/>
      <c r="B2041" s="307"/>
    </row>
    <row r="2042" spans="1:2" x14ac:dyDescent="0.25">
      <c r="A2042" s="307"/>
      <c r="B2042" s="307"/>
    </row>
    <row r="2043" spans="1:2" x14ac:dyDescent="0.25">
      <c r="A2043" s="307"/>
      <c r="B2043" s="307"/>
    </row>
    <row r="2044" spans="1:2" x14ac:dyDescent="0.25">
      <c r="A2044" s="307"/>
      <c r="B2044" s="307"/>
    </row>
    <row r="2045" spans="1:2" x14ac:dyDescent="0.25">
      <c r="A2045" s="307"/>
      <c r="B2045" s="307"/>
    </row>
    <row r="2046" spans="1:2" x14ac:dyDescent="0.25">
      <c r="A2046" s="307"/>
      <c r="B2046" s="307"/>
    </row>
    <row r="2047" spans="1:2" x14ac:dyDescent="0.25">
      <c r="A2047" s="307"/>
      <c r="B2047" s="307"/>
    </row>
    <row r="2048" spans="1:2" x14ac:dyDescent="0.25">
      <c r="A2048" s="307"/>
      <c r="B2048" s="307"/>
    </row>
    <row r="2049" spans="1:2" x14ac:dyDescent="0.25">
      <c r="A2049" s="307"/>
      <c r="B2049" s="307"/>
    </row>
    <row r="2050" spans="1:2" x14ac:dyDescent="0.25">
      <c r="A2050" s="307"/>
      <c r="B2050" s="307"/>
    </row>
    <row r="2051" spans="1:2" x14ac:dyDescent="0.25">
      <c r="A2051" s="307"/>
      <c r="B2051" s="307"/>
    </row>
    <row r="2052" spans="1:2" x14ac:dyDescent="0.25">
      <c r="A2052" s="307"/>
      <c r="B2052" s="307"/>
    </row>
    <row r="2053" spans="1:2" x14ac:dyDescent="0.25">
      <c r="A2053" s="307"/>
      <c r="B2053" s="307"/>
    </row>
    <row r="2054" spans="1:2" x14ac:dyDescent="0.25">
      <c r="A2054" s="307"/>
      <c r="B2054" s="307"/>
    </row>
    <row r="2055" spans="1:2" x14ac:dyDescent="0.25">
      <c r="A2055" s="307"/>
      <c r="B2055" s="307"/>
    </row>
    <row r="2056" spans="1:2" x14ac:dyDescent="0.25">
      <c r="A2056" s="307"/>
      <c r="B2056" s="307"/>
    </row>
    <row r="2057" spans="1:2" x14ac:dyDescent="0.25">
      <c r="A2057" s="307"/>
      <c r="B2057" s="307"/>
    </row>
    <row r="2058" spans="1:2" x14ac:dyDescent="0.25">
      <c r="A2058" s="307"/>
      <c r="B2058" s="307"/>
    </row>
    <row r="2059" spans="1:2" x14ac:dyDescent="0.25">
      <c r="A2059" s="307"/>
      <c r="B2059" s="307"/>
    </row>
    <row r="2060" spans="1:2" x14ac:dyDescent="0.25">
      <c r="A2060" s="307"/>
      <c r="B2060" s="307"/>
    </row>
    <row r="2061" spans="1:2" x14ac:dyDescent="0.25">
      <c r="A2061" s="307"/>
      <c r="B2061" s="307"/>
    </row>
    <row r="2062" spans="1:2" x14ac:dyDescent="0.25">
      <c r="A2062" s="307"/>
      <c r="B2062" s="307"/>
    </row>
    <row r="2063" spans="1:2" x14ac:dyDescent="0.25">
      <c r="A2063" s="307"/>
      <c r="B2063" s="307"/>
    </row>
    <row r="2064" spans="1:2" x14ac:dyDescent="0.25">
      <c r="A2064" s="307"/>
      <c r="B2064" s="307"/>
    </row>
    <row r="2065" spans="1:2" x14ac:dyDescent="0.25">
      <c r="A2065" s="307"/>
      <c r="B2065" s="307"/>
    </row>
    <row r="2066" spans="1:2" x14ac:dyDescent="0.25">
      <c r="A2066" s="307"/>
      <c r="B2066" s="307"/>
    </row>
    <row r="2067" spans="1:2" x14ac:dyDescent="0.25">
      <c r="A2067" s="307"/>
      <c r="B2067" s="307"/>
    </row>
    <row r="2068" spans="1:2" x14ac:dyDescent="0.25">
      <c r="A2068" s="307"/>
      <c r="B2068" s="307"/>
    </row>
    <row r="2069" spans="1:2" x14ac:dyDescent="0.25">
      <c r="A2069" s="307"/>
      <c r="B2069" s="307"/>
    </row>
    <row r="2070" spans="1:2" x14ac:dyDescent="0.25">
      <c r="A2070" s="307"/>
      <c r="B2070" s="307"/>
    </row>
    <row r="2071" spans="1:2" x14ac:dyDescent="0.25">
      <c r="A2071" s="307"/>
      <c r="B2071" s="307"/>
    </row>
    <row r="2072" spans="1:2" x14ac:dyDescent="0.25">
      <c r="A2072" s="307"/>
      <c r="B2072" s="307"/>
    </row>
    <row r="2073" spans="1:2" x14ac:dyDescent="0.25">
      <c r="A2073" s="307"/>
      <c r="B2073" s="307"/>
    </row>
    <row r="2074" spans="1:2" x14ac:dyDescent="0.25">
      <c r="A2074" s="307"/>
      <c r="B2074" s="307"/>
    </row>
    <row r="2075" spans="1:2" x14ac:dyDescent="0.25">
      <c r="A2075" s="307"/>
      <c r="B2075" s="307"/>
    </row>
    <row r="2076" spans="1:2" x14ac:dyDescent="0.25">
      <c r="A2076" s="307"/>
      <c r="B2076" s="307"/>
    </row>
    <row r="2077" spans="1:2" x14ac:dyDescent="0.25">
      <c r="A2077" s="307"/>
      <c r="B2077" s="307"/>
    </row>
    <row r="2078" spans="1:2" x14ac:dyDescent="0.25">
      <c r="A2078" s="307"/>
      <c r="B2078" s="307"/>
    </row>
    <row r="2079" spans="1:2" x14ac:dyDescent="0.25">
      <c r="A2079" s="307"/>
      <c r="B2079" s="307"/>
    </row>
    <row r="2080" spans="1:2" x14ac:dyDescent="0.25">
      <c r="A2080" s="307"/>
      <c r="B2080" s="307"/>
    </row>
    <row r="2081" spans="1:2" x14ac:dyDescent="0.25">
      <c r="A2081" s="307"/>
      <c r="B2081" s="307"/>
    </row>
    <row r="2082" spans="1:2" x14ac:dyDescent="0.25">
      <c r="A2082" s="307"/>
      <c r="B2082" s="307"/>
    </row>
    <row r="2083" spans="1:2" x14ac:dyDescent="0.25">
      <c r="A2083" s="307"/>
      <c r="B2083" s="307"/>
    </row>
    <row r="2084" spans="1:2" x14ac:dyDescent="0.25">
      <c r="A2084" s="307"/>
      <c r="B2084" s="307"/>
    </row>
    <row r="2085" spans="1:2" x14ac:dyDescent="0.25">
      <c r="A2085" s="307"/>
      <c r="B2085" s="307"/>
    </row>
    <row r="2086" spans="1:2" x14ac:dyDescent="0.25">
      <c r="A2086" s="307"/>
      <c r="B2086" s="307"/>
    </row>
    <row r="2087" spans="1:2" x14ac:dyDescent="0.25">
      <c r="A2087" s="307"/>
      <c r="B2087" s="307"/>
    </row>
    <row r="2088" spans="1:2" x14ac:dyDescent="0.25">
      <c r="A2088" s="307"/>
      <c r="B2088" s="307"/>
    </row>
    <row r="2089" spans="1:2" x14ac:dyDescent="0.25">
      <c r="A2089" s="307"/>
      <c r="B2089" s="307"/>
    </row>
    <row r="2090" spans="1:2" x14ac:dyDescent="0.25">
      <c r="A2090" s="307"/>
      <c r="B2090" s="307"/>
    </row>
    <row r="2091" spans="1:2" x14ac:dyDescent="0.25">
      <c r="A2091" s="307"/>
      <c r="B2091" s="307"/>
    </row>
    <row r="2092" spans="1:2" x14ac:dyDescent="0.25">
      <c r="A2092" s="307"/>
      <c r="B2092" s="307"/>
    </row>
    <row r="2093" spans="1:2" x14ac:dyDescent="0.25">
      <c r="A2093" s="307"/>
      <c r="B2093" s="307"/>
    </row>
    <row r="2094" spans="1:2" x14ac:dyDescent="0.25">
      <c r="A2094" s="307"/>
      <c r="B2094" s="307"/>
    </row>
    <row r="2095" spans="1:2" x14ac:dyDescent="0.25">
      <c r="A2095" s="307"/>
      <c r="B2095" s="307"/>
    </row>
    <row r="2096" spans="1:2" x14ac:dyDescent="0.25">
      <c r="A2096" s="307"/>
      <c r="B2096" s="307"/>
    </row>
    <row r="2097" spans="1:2" x14ac:dyDescent="0.25">
      <c r="A2097" s="307"/>
      <c r="B2097" s="307"/>
    </row>
    <row r="2098" spans="1:2" x14ac:dyDescent="0.25">
      <c r="A2098" s="307"/>
      <c r="B2098" s="307"/>
    </row>
    <row r="2099" spans="1:2" x14ac:dyDescent="0.25">
      <c r="A2099" s="307"/>
      <c r="B2099" s="307"/>
    </row>
    <row r="2100" spans="1:2" x14ac:dyDescent="0.25">
      <c r="A2100" s="307"/>
      <c r="B2100" s="307"/>
    </row>
    <row r="2101" spans="1:2" x14ac:dyDescent="0.25">
      <c r="A2101" s="307"/>
      <c r="B2101" s="307"/>
    </row>
    <row r="2102" spans="1:2" x14ac:dyDescent="0.25">
      <c r="A2102" s="307"/>
      <c r="B2102" s="307"/>
    </row>
    <row r="2103" spans="1:2" x14ac:dyDescent="0.25">
      <c r="A2103" s="307"/>
      <c r="B2103" s="307"/>
    </row>
    <row r="2104" spans="1:2" x14ac:dyDescent="0.25">
      <c r="A2104" s="307"/>
      <c r="B2104" s="307"/>
    </row>
    <row r="2105" spans="1:2" x14ac:dyDescent="0.25">
      <c r="A2105" s="307"/>
      <c r="B2105" s="307"/>
    </row>
    <row r="2106" spans="1:2" x14ac:dyDescent="0.25">
      <c r="A2106" s="307"/>
      <c r="B2106" s="307"/>
    </row>
    <row r="2107" spans="1:2" x14ac:dyDescent="0.25">
      <c r="A2107" s="307"/>
      <c r="B2107" s="307"/>
    </row>
    <row r="2108" spans="1:2" x14ac:dyDescent="0.25">
      <c r="A2108" s="307"/>
      <c r="B2108" s="307"/>
    </row>
    <row r="2109" spans="1:2" x14ac:dyDescent="0.25">
      <c r="A2109" s="307"/>
      <c r="B2109" s="307"/>
    </row>
    <row r="2110" spans="1:2" x14ac:dyDescent="0.25">
      <c r="A2110" s="307"/>
      <c r="B2110" s="307"/>
    </row>
    <row r="2111" spans="1:2" x14ac:dyDescent="0.25">
      <c r="A2111" s="307"/>
      <c r="B2111" s="307"/>
    </row>
    <row r="2112" spans="1:2" x14ac:dyDescent="0.25">
      <c r="A2112" s="307"/>
      <c r="B2112" s="307"/>
    </row>
    <row r="2113" spans="1:2" x14ac:dyDescent="0.25">
      <c r="A2113" s="307"/>
      <c r="B2113" s="307"/>
    </row>
    <row r="2114" spans="1:2" x14ac:dyDescent="0.25">
      <c r="A2114" s="307"/>
      <c r="B2114" s="307"/>
    </row>
    <row r="2115" spans="1:2" x14ac:dyDescent="0.25">
      <c r="A2115" s="307"/>
      <c r="B2115" s="307"/>
    </row>
    <row r="2116" spans="1:2" x14ac:dyDescent="0.25">
      <c r="A2116" s="307"/>
      <c r="B2116" s="307"/>
    </row>
    <row r="2117" spans="1:2" x14ac:dyDescent="0.25">
      <c r="A2117" s="307"/>
      <c r="B2117" s="307"/>
    </row>
    <row r="2118" spans="1:2" x14ac:dyDescent="0.25">
      <c r="A2118" s="307"/>
      <c r="B2118" s="307"/>
    </row>
    <row r="2119" spans="1:2" x14ac:dyDescent="0.25">
      <c r="A2119" s="307"/>
      <c r="B2119" s="307"/>
    </row>
    <row r="2120" spans="1:2" x14ac:dyDescent="0.25">
      <c r="A2120" s="307"/>
      <c r="B2120" s="307"/>
    </row>
    <row r="2121" spans="1:2" x14ac:dyDescent="0.25">
      <c r="A2121" s="307"/>
      <c r="B2121" s="307"/>
    </row>
    <row r="2122" spans="1:2" x14ac:dyDescent="0.25">
      <c r="A2122" s="307"/>
      <c r="B2122" s="307"/>
    </row>
    <row r="2123" spans="1:2" x14ac:dyDescent="0.25">
      <c r="A2123" s="307"/>
      <c r="B2123" s="307"/>
    </row>
    <row r="2124" spans="1:2" x14ac:dyDescent="0.25">
      <c r="A2124" s="307"/>
      <c r="B2124" s="307"/>
    </row>
    <row r="2125" spans="1:2" x14ac:dyDescent="0.25">
      <c r="A2125" s="307"/>
      <c r="B2125" s="307"/>
    </row>
    <row r="2126" spans="1:2" x14ac:dyDescent="0.25">
      <c r="A2126" s="307"/>
      <c r="B2126" s="307"/>
    </row>
    <row r="2127" spans="1:2" x14ac:dyDescent="0.25">
      <c r="A2127" s="307"/>
      <c r="B2127" s="307"/>
    </row>
    <row r="2128" spans="1:2" x14ac:dyDescent="0.25">
      <c r="A2128" s="307"/>
      <c r="B2128" s="307"/>
    </row>
    <row r="2129" spans="1:2" x14ac:dyDescent="0.25">
      <c r="A2129" s="307"/>
      <c r="B2129" s="307"/>
    </row>
    <row r="2130" spans="1:2" x14ac:dyDescent="0.25">
      <c r="A2130" s="307"/>
      <c r="B2130" s="307"/>
    </row>
    <row r="2131" spans="1:2" x14ac:dyDescent="0.25">
      <c r="A2131" s="307"/>
      <c r="B2131" s="307"/>
    </row>
    <row r="2132" spans="1:2" x14ac:dyDescent="0.25">
      <c r="A2132" s="307"/>
      <c r="B2132" s="307"/>
    </row>
    <row r="2133" spans="1:2" x14ac:dyDescent="0.25">
      <c r="A2133" s="307"/>
      <c r="B2133" s="307"/>
    </row>
    <row r="2134" spans="1:2" x14ac:dyDescent="0.25">
      <c r="A2134" s="307"/>
      <c r="B2134" s="307"/>
    </row>
    <row r="2135" spans="1:2" x14ac:dyDescent="0.25">
      <c r="A2135" s="307"/>
      <c r="B2135" s="307"/>
    </row>
    <row r="2136" spans="1:2" x14ac:dyDescent="0.25">
      <c r="A2136" s="307"/>
      <c r="B2136" s="307"/>
    </row>
    <row r="2137" spans="1:2" x14ac:dyDescent="0.25">
      <c r="A2137" s="307"/>
      <c r="B2137" s="307"/>
    </row>
    <row r="2138" spans="1:2" x14ac:dyDescent="0.25">
      <c r="A2138" s="307"/>
      <c r="B2138" s="307"/>
    </row>
    <row r="2139" spans="1:2" x14ac:dyDescent="0.25">
      <c r="A2139" s="307"/>
      <c r="B2139" s="307"/>
    </row>
    <row r="2140" spans="1:2" x14ac:dyDescent="0.25">
      <c r="A2140" s="307"/>
      <c r="B2140" s="307"/>
    </row>
    <row r="2141" spans="1:2" x14ac:dyDescent="0.25">
      <c r="A2141" s="307"/>
      <c r="B2141" s="307"/>
    </row>
    <row r="2142" spans="1:2" x14ac:dyDescent="0.25">
      <c r="A2142" s="307"/>
      <c r="B2142" s="307"/>
    </row>
    <row r="2143" spans="1:2" x14ac:dyDescent="0.25">
      <c r="A2143" s="307"/>
      <c r="B2143" s="307"/>
    </row>
    <row r="2144" spans="1:2" x14ac:dyDescent="0.25">
      <c r="A2144" s="307"/>
      <c r="B2144" s="307"/>
    </row>
    <row r="2145" spans="1:2" x14ac:dyDescent="0.25">
      <c r="A2145" s="307"/>
      <c r="B2145" s="307"/>
    </row>
    <row r="2146" spans="1:2" x14ac:dyDescent="0.25">
      <c r="A2146" s="307"/>
      <c r="B2146" s="307"/>
    </row>
    <row r="2147" spans="1:2" x14ac:dyDescent="0.25">
      <c r="A2147" s="307"/>
      <c r="B2147" s="307"/>
    </row>
    <row r="2148" spans="1:2" x14ac:dyDescent="0.25">
      <c r="A2148" s="307"/>
      <c r="B2148" s="307"/>
    </row>
    <row r="2149" spans="1:2" x14ac:dyDescent="0.25">
      <c r="A2149" s="307"/>
      <c r="B2149" s="307"/>
    </row>
    <row r="2150" spans="1:2" x14ac:dyDescent="0.25">
      <c r="A2150" s="307"/>
      <c r="B2150" s="307"/>
    </row>
    <row r="2151" spans="1:2" x14ac:dyDescent="0.25">
      <c r="A2151" s="307"/>
      <c r="B2151" s="307"/>
    </row>
    <row r="2152" spans="1:2" x14ac:dyDescent="0.25">
      <c r="A2152" s="307"/>
      <c r="B2152" s="307"/>
    </row>
    <row r="2153" spans="1:2" x14ac:dyDescent="0.25">
      <c r="A2153" s="307"/>
      <c r="B2153" s="307"/>
    </row>
    <row r="2154" spans="1:2" x14ac:dyDescent="0.25">
      <c r="A2154" s="307"/>
      <c r="B2154" s="307"/>
    </row>
    <row r="2155" spans="1:2" x14ac:dyDescent="0.25">
      <c r="A2155" s="307"/>
      <c r="B2155" s="307"/>
    </row>
    <row r="2156" spans="1:2" x14ac:dyDescent="0.25">
      <c r="A2156" s="307"/>
      <c r="B2156" s="307"/>
    </row>
    <row r="2157" spans="1:2" x14ac:dyDescent="0.25">
      <c r="A2157" s="307"/>
      <c r="B2157" s="307"/>
    </row>
    <row r="2158" spans="1:2" x14ac:dyDescent="0.25">
      <c r="A2158" s="307"/>
      <c r="B2158" s="307"/>
    </row>
    <row r="2159" spans="1:2" x14ac:dyDescent="0.25">
      <c r="A2159" s="307"/>
      <c r="B2159" s="307"/>
    </row>
    <row r="2160" spans="1:2" x14ac:dyDescent="0.25">
      <c r="A2160" s="307"/>
      <c r="B2160" s="307"/>
    </row>
    <row r="2161" spans="1:2" x14ac:dyDescent="0.25">
      <c r="A2161" s="307"/>
      <c r="B2161" s="307"/>
    </row>
    <row r="2162" spans="1:2" x14ac:dyDescent="0.25">
      <c r="A2162" s="307"/>
      <c r="B2162" s="307"/>
    </row>
    <row r="2163" spans="1:2" x14ac:dyDescent="0.25">
      <c r="A2163" s="307"/>
      <c r="B2163" s="307"/>
    </row>
    <row r="2164" spans="1:2" x14ac:dyDescent="0.25">
      <c r="A2164" s="307"/>
      <c r="B2164" s="307"/>
    </row>
    <row r="2165" spans="1:2" x14ac:dyDescent="0.25">
      <c r="A2165" s="307"/>
      <c r="B2165" s="307"/>
    </row>
    <row r="2166" spans="1:2" x14ac:dyDescent="0.25">
      <c r="A2166" s="307"/>
      <c r="B2166" s="307"/>
    </row>
    <row r="2167" spans="1:2" x14ac:dyDescent="0.25">
      <c r="A2167" s="307"/>
      <c r="B2167" s="307"/>
    </row>
    <row r="2168" spans="1:2" x14ac:dyDescent="0.25">
      <c r="A2168" s="307"/>
      <c r="B2168" s="307"/>
    </row>
    <row r="2169" spans="1:2" x14ac:dyDescent="0.25">
      <c r="A2169" s="307"/>
      <c r="B2169" s="307"/>
    </row>
    <row r="2170" spans="1:2" x14ac:dyDescent="0.25">
      <c r="A2170" s="307"/>
      <c r="B2170" s="307"/>
    </row>
    <row r="2171" spans="1:2" x14ac:dyDescent="0.25">
      <c r="A2171" s="307"/>
      <c r="B2171" s="307"/>
    </row>
    <row r="2172" spans="1:2" x14ac:dyDescent="0.25">
      <c r="A2172" s="307"/>
      <c r="B2172" s="307"/>
    </row>
    <row r="2173" spans="1:2" x14ac:dyDescent="0.25">
      <c r="A2173" s="307"/>
      <c r="B2173" s="307"/>
    </row>
    <row r="2174" spans="1:2" x14ac:dyDescent="0.25">
      <c r="A2174" s="307"/>
      <c r="B2174" s="307"/>
    </row>
    <row r="2175" spans="1:2" x14ac:dyDescent="0.25">
      <c r="A2175" s="307"/>
      <c r="B2175" s="307"/>
    </row>
    <row r="2176" spans="1:2" x14ac:dyDescent="0.25">
      <c r="A2176" s="307"/>
      <c r="B2176" s="307"/>
    </row>
    <row r="2177" spans="1:2" x14ac:dyDescent="0.25">
      <c r="A2177" s="307"/>
      <c r="B2177" s="307"/>
    </row>
    <row r="2178" spans="1:2" x14ac:dyDescent="0.25">
      <c r="A2178" s="307"/>
      <c r="B2178" s="307"/>
    </row>
    <row r="2179" spans="1:2" x14ac:dyDescent="0.25">
      <c r="A2179" s="307"/>
      <c r="B2179" s="307"/>
    </row>
    <row r="2180" spans="1:2" x14ac:dyDescent="0.25">
      <c r="A2180" s="307"/>
      <c r="B2180" s="307"/>
    </row>
    <row r="2181" spans="1:2" x14ac:dyDescent="0.25">
      <c r="A2181" s="307"/>
      <c r="B2181" s="307"/>
    </row>
    <row r="2182" spans="1:2" x14ac:dyDescent="0.25">
      <c r="A2182" s="307"/>
      <c r="B2182" s="307"/>
    </row>
    <row r="2183" spans="1:2" x14ac:dyDescent="0.25">
      <c r="A2183" s="307"/>
      <c r="B2183" s="307"/>
    </row>
    <row r="2184" spans="1:2" x14ac:dyDescent="0.25">
      <c r="A2184" s="307"/>
      <c r="B2184" s="307"/>
    </row>
    <row r="2185" spans="1:2" x14ac:dyDescent="0.25">
      <c r="A2185" s="307"/>
      <c r="B2185" s="307"/>
    </row>
    <row r="2186" spans="1:2" x14ac:dyDescent="0.25">
      <c r="A2186" s="307"/>
      <c r="B2186" s="307"/>
    </row>
    <row r="2187" spans="1:2" x14ac:dyDescent="0.25">
      <c r="A2187" s="307"/>
      <c r="B2187" s="307"/>
    </row>
    <row r="2188" spans="1:2" x14ac:dyDescent="0.25">
      <c r="A2188" s="307"/>
      <c r="B2188" s="307"/>
    </row>
    <row r="2189" spans="1:2" x14ac:dyDescent="0.25">
      <c r="A2189" s="307"/>
      <c r="B2189" s="307"/>
    </row>
    <row r="2190" spans="1:2" x14ac:dyDescent="0.25">
      <c r="A2190" s="307"/>
      <c r="B2190" s="307"/>
    </row>
    <row r="2191" spans="1:2" x14ac:dyDescent="0.25">
      <c r="A2191" s="307"/>
      <c r="B2191" s="307"/>
    </row>
    <row r="2192" spans="1:2" x14ac:dyDescent="0.25">
      <c r="A2192" s="307"/>
      <c r="B2192" s="307"/>
    </row>
    <row r="2193" spans="1:2" x14ac:dyDescent="0.25">
      <c r="A2193" s="307"/>
      <c r="B2193" s="307"/>
    </row>
    <row r="2194" spans="1:2" x14ac:dyDescent="0.25">
      <c r="A2194" s="307"/>
      <c r="B2194" s="307"/>
    </row>
    <row r="2195" spans="1:2" x14ac:dyDescent="0.25">
      <c r="A2195" s="307"/>
      <c r="B2195" s="307"/>
    </row>
    <row r="2196" spans="1:2" x14ac:dyDescent="0.25">
      <c r="A2196" s="307"/>
      <c r="B2196" s="307"/>
    </row>
    <row r="2197" spans="1:2" x14ac:dyDescent="0.25">
      <c r="A2197" s="307"/>
      <c r="B2197" s="307"/>
    </row>
    <row r="2198" spans="1:2" x14ac:dyDescent="0.25">
      <c r="A2198" s="307"/>
      <c r="B2198" s="307"/>
    </row>
    <row r="2199" spans="1:2" x14ac:dyDescent="0.25">
      <c r="A2199" s="307"/>
      <c r="B2199" s="307"/>
    </row>
    <row r="2200" spans="1:2" x14ac:dyDescent="0.25">
      <c r="A2200" s="307"/>
      <c r="B2200" s="307"/>
    </row>
    <row r="2201" spans="1:2" x14ac:dyDescent="0.25">
      <c r="A2201" s="307"/>
      <c r="B2201" s="307"/>
    </row>
    <row r="2202" spans="1:2" x14ac:dyDescent="0.25">
      <c r="A2202" s="307"/>
      <c r="B2202" s="307"/>
    </row>
    <row r="2203" spans="1:2" x14ac:dyDescent="0.25">
      <c r="A2203" s="307"/>
      <c r="B2203" s="307"/>
    </row>
    <row r="2204" spans="1:2" x14ac:dyDescent="0.25">
      <c r="A2204" s="307"/>
      <c r="B2204" s="307"/>
    </row>
    <row r="2205" spans="1:2" x14ac:dyDescent="0.25">
      <c r="A2205" s="307"/>
      <c r="B2205" s="307"/>
    </row>
    <row r="2206" spans="1:2" x14ac:dyDescent="0.25">
      <c r="A2206" s="307"/>
      <c r="B2206" s="307"/>
    </row>
    <row r="2207" spans="1:2" x14ac:dyDescent="0.25">
      <c r="A2207" s="307"/>
      <c r="B2207" s="307"/>
    </row>
    <row r="2208" spans="1:2" x14ac:dyDescent="0.25">
      <c r="A2208" s="307"/>
      <c r="B2208" s="307"/>
    </row>
    <row r="2209" spans="1:2" x14ac:dyDescent="0.25">
      <c r="A2209" s="307"/>
      <c r="B2209" s="307"/>
    </row>
    <row r="2210" spans="1:2" x14ac:dyDescent="0.25">
      <c r="A2210" s="307"/>
      <c r="B2210" s="307"/>
    </row>
    <row r="2211" spans="1:2" x14ac:dyDescent="0.25">
      <c r="A2211" s="307"/>
      <c r="B2211" s="307"/>
    </row>
    <row r="2212" spans="1:2" x14ac:dyDescent="0.25">
      <c r="A2212" s="307"/>
      <c r="B2212" s="307"/>
    </row>
    <row r="2213" spans="1:2" x14ac:dyDescent="0.25">
      <c r="A2213" s="307"/>
      <c r="B2213" s="307"/>
    </row>
    <row r="2214" spans="1:2" x14ac:dyDescent="0.25">
      <c r="A2214" s="307"/>
      <c r="B2214" s="307"/>
    </row>
    <row r="2215" spans="1:2" x14ac:dyDescent="0.25">
      <c r="A2215" s="307"/>
      <c r="B2215" s="307"/>
    </row>
    <row r="2216" spans="1:2" x14ac:dyDescent="0.25">
      <c r="A2216" s="307"/>
      <c r="B2216" s="307"/>
    </row>
    <row r="2217" spans="1:2" x14ac:dyDescent="0.25">
      <c r="A2217" s="307"/>
      <c r="B2217" s="307"/>
    </row>
    <row r="2218" spans="1:2" x14ac:dyDescent="0.25">
      <c r="A2218" s="307"/>
      <c r="B2218" s="307"/>
    </row>
    <row r="2219" spans="1:2" x14ac:dyDescent="0.25">
      <c r="A2219" s="307"/>
      <c r="B2219" s="307"/>
    </row>
    <row r="2220" spans="1:2" x14ac:dyDescent="0.25">
      <c r="A2220" s="307"/>
      <c r="B2220" s="307"/>
    </row>
    <row r="2221" spans="1:2" x14ac:dyDescent="0.25">
      <c r="A2221" s="307"/>
      <c r="B2221" s="307"/>
    </row>
    <row r="2222" spans="1:2" x14ac:dyDescent="0.25">
      <c r="A2222" s="307"/>
      <c r="B2222" s="307"/>
    </row>
    <row r="2223" spans="1:2" x14ac:dyDescent="0.25">
      <c r="A2223" s="307"/>
      <c r="B2223" s="307"/>
    </row>
    <row r="2224" spans="1:2" x14ac:dyDescent="0.25">
      <c r="A2224" s="307"/>
      <c r="B2224" s="307"/>
    </row>
    <row r="2225" spans="1:2" x14ac:dyDescent="0.25">
      <c r="A2225" s="307"/>
      <c r="B2225" s="307"/>
    </row>
    <row r="2226" spans="1:2" x14ac:dyDescent="0.25">
      <c r="A2226" s="307"/>
      <c r="B2226" s="307"/>
    </row>
    <row r="2227" spans="1:2" x14ac:dyDescent="0.25">
      <c r="A2227" s="307"/>
      <c r="B2227" s="307"/>
    </row>
    <row r="2228" spans="1:2" x14ac:dyDescent="0.25">
      <c r="A2228" s="307"/>
      <c r="B2228" s="307"/>
    </row>
    <row r="2229" spans="1:2" x14ac:dyDescent="0.25">
      <c r="A2229" s="307"/>
      <c r="B2229" s="307"/>
    </row>
    <row r="2230" spans="1:2" x14ac:dyDescent="0.25">
      <c r="A2230" s="307"/>
      <c r="B2230" s="307"/>
    </row>
    <row r="2231" spans="1:2" x14ac:dyDescent="0.25">
      <c r="A2231" s="307"/>
      <c r="B2231" s="307"/>
    </row>
    <row r="2232" spans="1:2" x14ac:dyDescent="0.25">
      <c r="A2232" s="307"/>
      <c r="B2232" s="307"/>
    </row>
    <row r="2233" spans="1:2" x14ac:dyDescent="0.25">
      <c r="A2233" s="307"/>
      <c r="B2233" s="307"/>
    </row>
    <row r="2234" spans="1:2" x14ac:dyDescent="0.25">
      <c r="A2234" s="307"/>
      <c r="B2234" s="307"/>
    </row>
    <row r="2235" spans="1:2" x14ac:dyDescent="0.25">
      <c r="A2235" s="307"/>
      <c r="B2235" s="307"/>
    </row>
    <row r="2236" spans="1:2" x14ac:dyDescent="0.25">
      <c r="A2236" s="307"/>
      <c r="B2236" s="307"/>
    </row>
    <row r="2237" spans="1:2" x14ac:dyDescent="0.25">
      <c r="A2237" s="307"/>
      <c r="B2237" s="307"/>
    </row>
    <row r="2238" spans="1:2" x14ac:dyDescent="0.25">
      <c r="A2238" s="307"/>
      <c r="B2238" s="307"/>
    </row>
    <row r="2239" spans="1:2" x14ac:dyDescent="0.25">
      <c r="A2239" s="307"/>
      <c r="B2239" s="307"/>
    </row>
    <row r="2240" spans="1:2" x14ac:dyDescent="0.25">
      <c r="A2240" s="307"/>
      <c r="B2240" s="307"/>
    </row>
    <row r="2241" spans="1:2" x14ac:dyDescent="0.25">
      <c r="A2241" s="307"/>
      <c r="B2241" s="307"/>
    </row>
    <row r="2242" spans="1:2" x14ac:dyDescent="0.25">
      <c r="A2242" s="307"/>
      <c r="B2242" s="307"/>
    </row>
    <row r="2243" spans="1:2" x14ac:dyDescent="0.25">
      <c r="A2243" s="307"/>
      <c r="B2243" s="307"/>
    </row>
    <row r="2244" spans="1:2" x14ac:dyDescent="0.25">
      <c r="A2244" s="307"/>
      <c r="B2244" s="307"/>
    </row>
    <row r="2245" spans="1:2" x14ac:dyDescent="0.25">
      <c r="A2245" s="307"/>
      <c r="B2245" s="307"/>
    </row>
    <row r="2246" spans="1:2" x14ac:dyDescent="0.25">
      <c r="A2246" s="307"/>
      <c r="B2246" s="307"/>
    </row>
    <row r="2247" spans="1:2" x14ac:dyDescent="0.25">
      <c r="A2247" s="307"/>
      <c r="B2247" s="307"/>
    </row>
    <row r="2248" spans="1:2" x14ac:dyDescent="0.25">
      <c r="A2248" s="307"/>
      <c r="B2248" s="307"/>
    </row>
    <row r="2249" spans="1:2" x14ac:dyDescent="0.25">
      <c r="A2249" s="307"/>
      <c r="B2249" s="307"/>
    </row>
    <row r="2250" spans="1:2" x14ac:dyDescent="0.25">
      <c r="A2250" s="307"/>
      <c r="B2250" s="307"/>
    </row>
    <row r="2251" spans="1:2" x14ac:dyDescent="0.25">
      <c r="A2251" s="307"/>
      <c r="B2251" s="307"/>
    </row>
    <row r="2252" spans="1:2" x14ac:dyDescent="0.25">
      <c r="A2252" s="307"/>
      <c r="B2252" s="307"/>
    </row>
    <row r="2253" spans="1:2" x14ac:dyDescent="0.25">
      <c r="A2253" s="307"/>
      <c r="B2253" s="307"/>
    </row>
    <row r="2254" spans="1:2" x14ac:dyDescent="0.25">
      <c r="A2254" s="307"/>
      <c r="B2254" s="307"/>
    </row>
    <row r="2255" spans="1:2" x14ac:dyDescent="0.25">
      <c r="A2255" s="307"/>
      <c r="B2255" s="307"/>
    </row>
    <row r="2256" spans="1:2" x14ac:dyDescent="0.25">
      <c r="A2256" s="307"/>
      <c r="B2256" s="307"/>
    </row>
    <row r="2257" spans="1:2" x14ac:dyDescent="0.25">
      <c r="A2257" s="307"/>
      <c r="B2257" s="307"/>
    </row>
    <row r="2258" spans="1:2" x14ac:dyDescent="0.25">
      <c r="A2258" s="307"/>
      <c r="B2258" s="307"/>
    </row>
    <row r="2259" spans="1:2" x14ac:dyDescent="0.25">
      <c r="A2259" s="307"/>
      <c r="B2259" s="307"/>
    </row>
    <row r="2260" spans="1:2" x14ac:dyDescent="0.25">
      <c r="A2260" s="307"/>
      <c r="B2260" s="307"/>
    </row>
    <row r="2261" spans="1:2" x14ac:dyDescent="0.25">
      <c r="A2261" s="307"/>
      <c r="B2261" s="307"/>
    </row>
    <row r="2262" spans="1:2" x14ac:dyDescent="0.25">
      <c r="A2262" s="307"/>
      <c r="B2262" s="307"/>
    </row>
    <row r="2263" spans="1:2" x14ac:dyDescent="0.25">
      <c r="A2263" s="307"/>
      <c r="B2263" s="307"/>
    </row>
    <row r="2264" spans="1:2" x14ac:dyDescent="0.25">
      <c r="A2264" s="307"/>
      <c r="B2264" s="307"/>
    </row>
    <row r="2265" spans="1:2" x14ac:dyDescent="0.25">
      <c r="A2265" s="307"/>
      <c r="B2265" s="307"/>
    </row>
    <row r="2266" spans="1:2" x14ac:dyDescent="0.25">
      <c r="A2266" s="307"/>
      <c r="B2266" s="307"/>
    </row>
    <row r="2267" spans="1:2" x14ac:dyDescent="0.25">
      <c r="A2267" s="307"/>
      <c r="B2267" s="307"/>
    </row>
    <row r="2268" spans="1:2" x14ac:dyDescent="0.25">
      <c r="A2268" s="307"/>
      <c r="B2268" s="307"/>
    </row>
    <row r="2269" spans="1:2" x14ac:dyDescent="0.25">
      <c r="A2269" s="307"/>
      <c r="B2269" s="307"/>
    </row>
    <row r="2270" spans="1:2" x14ac:dyDescent="0.25">
      <c r="A2270" s="307"/>
      <c r="B2270" s="307"/>
    </row>
    <row r="2271" spans="1:2" x14ac:dyDescent="0.25">
      <c r="A2271" s="307"/>
      <c r="B2271" s="307"/>
    </row>
    <row r="2272" spans="1:2" x14ac:dyDescent="0.25">
      <c r="A2272" s="307"/>
      <c r="B2272" s="307"/>
    </row>
    <row r="2273" spans="1:2" x14ac:dyDescent="0.25">
      <c r="A2273" s="307"/>
      <c r="B2273" s="307"/>
    </row>
    <row r="2274" spans="1:2" x14ac:dyDescent="0.25">
      <c r="A2274" s="307"/>
      <c r="B2274" s="307"/>
    </row>
    <row r="2275" spans="1:2" x14ac:dyDescent="0.25">
      <c r="A2275" s="307"/>
      <c r="B2275" s="307"/>
    </row>
    <row r="2276" spans="1:2" x14ac:dyDescent="0.25">
      <c r="A2276" s="307"/>
      <c r="B2276" s="307"/>
    </row>
    <row r="2277" spans="1:2" x14ac:dyDescent="0.25">
      <c r="A2277" s="307"/>
      <c r="B2277" s="307"/>
    </row>
    <row r="2278" spans="1:2" x14ac:dyDescent="0.25">
      <c r="A2278" s="307"/>
      <c r="B2278" s="307"/>
    </row>
    <row r="2279" spans="1:2" x14ac:dyDescent="0.25">
      <c r="A2279" s="307"/>
      <c r="B2279" s="307"/>
    </row>
    <row r="2280" spans="1:2" x14ac:dyDescent="0.25">
      <c r="A2280" s="307"/>
      <c r="B2280" s="307"/>
    </row>
    <row r="2281" spans="1:2" x14ac:dyDescent="0.25">
      <c r="A2281" s="307"/>
      <c r="B2281" s="307"/>
    </row>
    <row r="2282" spans="1:2" x14ac:dyDescent="0.25">
      <c r="A2282" s="307"/>
      <c r="B2282" s="307"/>
    </row>
    <row r="2283" spans="1:2" x14ac:dyDescent="0.25">
      <c r="A2283" s="307"/>
      <c r="B2283" s="307"/>
    </row>
    <row r="2284" spans="1:2" x14ac:dyDescent="0.25">
      <c r="A2284" s="307"/>
      <c r="B2284" s="307"/>
    </row>
    <row r="2285" spans="1:2" x14ac:dyDescent="0.25">
      <c r="A2285" s="307"/>
      <c r="B2285" s="307"/>
    </row>
    <row r="2286" spans="1:2" x14ac:dyDescent="0.25">
      <c r="A2286" s="307"/>
      <c r="B2286" s="307"/>
    </row>
    <row r="2287" spans="1:2" x14ac:dyDescent="0.25">
      <c r="A2287" s="307"/>
      <c r="B2287" s="307"/>
    </row>
    <row r="2288" spans="1:2" x14ac:dyDescent="0.25">
      <c r="A2288" s="307"/>
      <c r="B2288" s="307"/>
    </row>
    <row r="2289" spans="1:2" x14ac:dyDescent="0.25">
      <c r="A2289" s="307"/>
      <c r="B2289" s="307"/>
    </row>
    <row r="2290" spans="1:2" x14ac:dyDescent="0.25">
      <c r="A2290" s="307"/>
      <c r="B2290" s="307"/>
    </row>
    <row r="2291" spans="1:2" x14ac:dyDescent="0.25">
      <c r="A2291" s="307"/>
      <c r="B2291" s="307"/>
    </row>
    <row r="2292" spans="1:2" x14ac:dyDescent="0.25">
      <c r="A2292" s="307"/>
      <c r="B2292" s="307"/>
    </row>
    <row r="2293" spans="1:2" x14ac:dyDescent="0.25">
      <c r="A2293" s="307"/>
      <c r="B2293" s="307"/>
    </row>
    <row r="2294" spans="1:2" x14ac:dyDescent="0.25">
      <c r="A2294" s="307"/>
      <c r="B2294" s="307"/>
    </row>
    <row r="2295" spans="1:2" x14ac:dyDescent="0.25">
      <c r="A2295" s="307"/>
      <c r="B2295" s="307"/>
    </row>
    <row r="2296" spans="1:2" x14ac:dyDescent="0.25">
      <c r="A2296" s="307"/>
      <c r="B2296" s="307"/>
    </row>
    <row r="2297" spans="1:2" x14ac:dyDescent="0.25">
      <c r="A2297" s="307"/>
      <c r="B2297" s="307"/>
    </row>
    <row r="2298" spans="1:2" x14ac:dyDescent="0.25">
      <c r="A2298" s="307"/>
      <c r="B2298" s="307"/>
    </row>
    <row r="2299" spans="1:2" x14ac:dyDescent="0.25">
      <c r="A2299" s="307"/>
      <c r="B2299" s="307"/>
    </row>
    <row r="2300" spans="1:2" x14ac:dyDescent="0.25">
      <c r="A2300" s="307"/>
      <c r="B2300" s="307"/>
    </row>
    <row r="2301" spans="1:2" x14ac:dyDescent="0.25">
      <c r="A2301" s="307"/>
      <c r="B2301" s="307"/>
    </row>
    <row r="2302" spans="1:2" x14ac:dyDescent="0.25">
      <c r="A2302" s="307"/>
      <c r="B2302" s="307"/>
    </row>
    <row r="2303" spans="1:2" x14ac:dyDescent="0.25">
      <c r="A2303" s="307"/>
      <c r="B2303" s="307"/>
    </row>
    <row r="2304" spans="1:2" x14ac:dyDescent="0.25">
      <c r="A2304" s="307"/>
      <c r="B2304" s="307"/>
    </row>
    <row r="2305" spans="1:2" x14ac:dyDescent="0.25">
      <c r="A2305" s="307"/>
      <c r="B2305" s="307"/>
    </row>
    <row r="2306" spans="1:2" x14ac:dyDescent="0.25">
      <c r="A2306" s="307"/>
      <c r="B2306" s="307"/>
    </row>
    <row r="2307" spans="1:2" x14ac:dyDescent="0.25">
      <c r="A2307" s="307"/>
      <c r="B2307" s="307"/>
    </row>
    <row r="2308" spans="1:2" x14ac:dyDescent="0.25">
      <c r="A2308" s="307"/>
      <c r="B2308" s="307"/>
    </row>
    <row r="2309" spans="1:2" x14ac:dyDescent="0.25">
      <c r="A2309" s="307"/>
      <c r="B2309" s="307"/>
    </row>
    <row r="2310" spans="1:2" x14ac:dyDescent="0.25">
      <c r="A2310" s="307"/>
      <c r="B2310" s="307"/>
    </row>
    <row r="2311" spans="1:2" x14ac:dyDescent="0.25">
      <c r="A2311" s="307"/>
      <c r="B2311" s="307"/>
    </row>
    <row r="2312" spans="1:2" x14ac:dyDescent="0.25">
      <c r="A2312" s="307"/>
      <c r="B2312" s="307"/>
    </row>
    <row r="2313" spans="1:2" x14ac:dyDescent="0.25">
      <c r="A2313" s="307"/>
      <c r="B2313" s="307"/>
    </row>
    <row r="2314" spans="1:2" x14ac:dyDescent="0.25">
      <c r="A2314" s="307"/>
      <c r="B2314" s="307"/>
    </row>
    <row r="2315" spans="1:2" x14ac:dyDescent="0.25">
      <c r="A2315" s="307"/>
      <c r="B2315" s="307"/>
    </row>
    <row r="2316" spans="1:2" x14ac:dyDescent="0.25">
      <c r="A2316" s="307"/>
      <c r="B2316" s="307"/>
    </row>
    <row r="2317" spans="1:2" x14ac:dyDescent="0.25">
      <c r="A2317" s="307"/>
      <c r="B2317" s="307"/>
    </row>
    <row r="2318" spans="1:2" x14ac:dyDescent="0.25">
      <c r="A2318" s="307"/>
      <c r="B2318" s="307"/>
    </row>
    <row r="2319" spans="1:2" x14ac:dyDescent="0.25">
      <c r="A2319" s="307"/>
      <c r="B2319" s="307"/>
    </row>
    <row r="2320" spans="1:2" x14ac:dyDescent="0.25">
      <c r="A2320" s="307"/>
      <c r="B2320" s="307"/>
    </row>
    <row r="2321" spans="1:2" x14ac:dyDescent="0.25">
      <c r="A2321" s="307"/>
      <c r="B2321" s="307"/>
    </row>
    <row r="2322" spans="1:2" x14ac:dyDescent="0.25">
      <c r="A2322" s="307"/>
      <c r="B2322" s="307"/>
    </row>
    <row r="2323" spans="1:2" x14ac:dyDescent="0.25">
      <c r="A2323" s="307"/>
      <c r="B2323" s="307"/>
    </row>
    <row r="2324" spans="1:2" x14ac:dyDescent="0.25">
      <c r="A2324" s="307"/>
      <c r="B2324" s="307"/>
    </row>
    <row r="2325" spans="1:2" x14ac:dyDescent="0.25">
      <c r="A2325" s="307"/>
      <c r="B2325" s="307"/>
    </row>
    <row r="2326" spans="1:2" x14ac:dyDescent="0.25">
      <c r="A2326" s="307"/>
      <c r="B2326" s="307"/>
    </row>
    <row r="2327" spans="1:2" x14ac:dyDescent="0.25">
      <c r="A2327" s="307"/>
      <c r="B2327" s="307"/>
    </row>
    <row r="2328" spans="1:2" x14ac:dyDescent="0.25">
      <c r="A2328" s="307"/>
      <c r="B2328" s="307"/>
    </row>
    <row r="2329" spans="1:2" x14ac:dyDescent="0.25">
      <c r="A2329" s="307"/>
      <c r="B2329" s="307"/>
    </row>
    <row r="2330" spans="1:2" x14ac:dyDescent="0.25">
      <c r="A2330" s="307"/>
      <c r="B2330" s="307"/>
    </row>
    <row r="2331" spans="1:2" x14ac:dyDescent="0.25">
      <c r="A2331" s="307"/>
      <c r="B2331" s="307"/>
    </row>
    <row r="2332" spans="1:2" x14ac:dyDescent="0.25">
      <c r="A2332" s="307"/>
      <c r="B2332" s="307"/>
    </row>
    <row r="2333" spans="1:2" x14ac:dyDescent="0.25">
      <c r="A2333" s="307"/>
      <c r="B2333" s="307"/>
    </row>
    <row r="2334" spans="1:2" x14ac:dyDescent="0.25">
      <c r="A2334" s="307"/>
      <c r="B2334" s="307"/>
    </row>
    <row r="2335" spans="1:2" x14ac:dyDescent="0.25">
      <c r="A2335" s="307"/>
      <c r="B2335" s="307"/>
    </row>
    <row r="2336" spans="1:2" x14ac:dyDescent="0.25">
      <c r="A2336" s="307"/>
      <c r="B2336" s="307"/>
    </row>
    <row r="2337" spans="1:2" x14ac:dyDescent="0.25">
      <c r="A2337" s="307"/>
      <c r="B2337" s="307"/>
    </row>
    <row r="2338" spans="1:2" x14ac:dyDescent="0.25">
      <c r="A2338" s="307"/>
      <c r="B2338" s="307"/>
    </row>
    <row r="2339" spans="1:2" x14ac:dyDescent="0.25">
      <c r="A2339" s="307"/>
      <c r="B2339" s="307"/>
    </row>
    <row r="2340" spans="1:2" x14ac:dyDescent="0.25">
      <c r="A2340" s="307"/>
      <c r="B2340" s="307"/>
    </row>
    <row r="2341" spans="1:2" x14ac:dyDescent="0.25">
      <c r="A2341" s="307"/>
      <c r="B2341" s="307"/>
    </row>
    <row r="2342" spans="1:2" x14ac:dyDescent="0.25">
      <c r="A2342" s="307"/>
      <c r="B2342" s="307"/>
    </row>
    <row r="2343" spans="1:2" x14ac:dyDescent="0.25">
      <c r="A2343" s="307"/>
      <c r="B2343" s="307"/>
    </row>
    <row r="2344" spans="1:2" x14ac:dyDescent="0.25">
      <c r="A2344" s="307"/>
      <c r="B2344" s="307"/>
    </row>
    <row r="2345" spans="1:2" x14ac:dyDescent="0.25">
      <c r="A2345" s="307"/>
      <c r="B2345" s="307"/>
    </row>
    <row r="2346" spans="1:2" x14ac:dyDescent="0.25">
      <c r="A2346" s="307"/>
      <c r="B2346" s="307"/>
    </row>
    <row r="2347" spans="1:2" x14ac:dyDescent="0.25">
      <c r="A2347" s="307"/>
      <c r="B2347" s="307"/>
    </row>
    <row r="2348" spans="1:2" x14ac:dyDescent="0.25">
      <c r="A2348" s="307"/>
      <c r="B2348" s="307"/>
    </row>
    <row r="2349" spans="1:2" x14ac:dyDescent="0.25">
      <c r="A2349" s="307"/>
      <c r="B2349" s="307"/>
    </row>
    <row r="2350" spans="1:2" x14ac:dyDescent="0.25">
      <c r="A2350" s="307"/>
      <c r="B2350" s="307"/>
    </row>
    <row r="2351" spans="1:2" x14ac:dyDescent="0.25">
      <c r="A2351" s="307"/>
      <c r="B2351" s="307"/>
    </row>
    <row r="2352" spans="1:2" x14ac:dyDescent="0.25">
      <c r="A2352" s="307"/>
      <c r="B2352" s="307"/>
    </row>
    <row r="2353" spans="1:2" x14ac:dyDescent="0.25">
      <c r="A2353" s="307"/>
      <c r="B2353" s="307"/>
    </row>
    <row r="2354" spans="1:2" x14ac:dyDescent="0.25">
      <c r="A2354" s="307"/>
      <c r="B2354" s="307"/>
    </row>
    <row r="2355" spans="1:2" x14ac:dyDescent="0.25">
      <c r="A2355" s="307"/>
      <c r="B2355" s="307"/>
    </row>
    <row r="2356" spans="1:2" x14ac:dyDescent="0.25">
      <c r="A2356" s="307"/>
      <c r="B2356" s="307"/>
    </row>
    <row r="2357" spans="1:2" x14ac:dyDescent="0.25">
      <c r="A2357" s="307"/>
      <c r="B2357" s="307"/>
    </row>
    <row r="2358" spans="1:2" x14ac:dyDescent="0.25">
      <c r="A2358" s="307"/>
      <c r="B2358" s="307"/>
    </row>
    <row r="2359" spans="1:2" x14ac:dyDescent="0.25">
      <c r="A2359" s="307"/>
      <c r="B2359" s="307"/>
    </row>
    <row r="2360" spans="1:2" x14ac:dyDescent="0.25">
      <c r="A2360" s="307"/>
      <c r="B2360" s="307"/>
    </row>
    <row r="2361" spans="1:2" x14ac:dyDescent="0.25">
      <c r="A2361" s="307"/>
      <c r="B2361" s="307"/>
    </row>
    <row r="2362" spans="1:2" x14ac:dyDescent="0.25">
      <c r="A2362" s="307"/>
      <c r="B2362" s="307"/>
    </row>
    <row r="2363" spans="1:2" x14ac:dyDescent="0.25">
      <c r="A2363" s="307"/>
      <c r="B2363" s="307"/>
    </row>
    <row r="2364" spans="1:2" x14ac:dyDescent="0.25">
      <c r="A2364" s="307"/>
      <c r="B2364" s="307"/>
    </row>
    <row r="2365" spans="1:2" x14ac:dyDescent="0.25">
      <c r="A2365" s="307"/>
      <c r="B2365" s="307"/>
    </row>
    <row r="2366" spans="1:2" x14ac:dyDescent="0.25">
      <c r="A2366" s="307"/>
      <c r="B2366" s="307"/>
    </row>
    <row r="2367" spans="1:2" x14ac:dyDescent="0.25">
      <c r="A2367" s="307"/>
      <c r="B2367" s="307"/>
    </row>
    <row r="2368" spans="1:2" x14ac:dyDescent="0.25">
      <c r="A2368" s="307"/>
      <c r="B2368" s="307"/>
    </row>
    <row r="2369" spans="1:2" x14ac:dyDescent="0.25">
      <c r="A2369" s="307"/>
      <c r="B2369" s="307"/>
    </row>
    <row r="2370" spans="1:2" x14ac:dyDescent="0.25">
      <c r="A2370" s="307"/>
      <c r="B2370" s="307"/>
    </row>
    <row r="2371" spans="1:2" x14ac:dyDescent="0.25">
      <c r="A2371" s="307"/>
      <c r="B2371" s="307"/>
    </row>
    <row r="2372" spans="1:2" x14ac:dyDescent="0.25">
      <c r="A2372" s="307"/>
      <c r="B2372" s="307"/>
    </row>
    <row r="2373" spans="1:2" x14ac:dyDescent="0.25">
      <c r="A2373" s="307"/>
      <c r="B2373" s="307"/>
    </row>
    <row r="2374" spans="1:2" x14ac:dyDescent="0.25">
      <c r="A2374" s="307"/>
      <c r="B2374" s="307"/>
    </row>
    <row r="2375" spans="1:2" x14ac:dyDescent="0.25">
      <c r="A2375" s="307"/>
      <c r="B2375" s="307"/>
    </row>
    <row r="2376" spans="1:2" x14ac:dyDescent="0.25">
      <c r="A2376" s="307"/>
      <c r="B2376" s="307"/>
    </row>
    <row r="2377" spans="1:2" x14ac:dyDescent="0.25">
      <c r="A2377" s="307"/>
      <c r="B2377" s="307"/>
    </row>
    <row r="2378" spans="1:2" x14ac:dyDescent="0.25">
      <c r="A2378" s="307"/>
      <c r="B2378" s="307"/>
    </row>
    <row r="2379" spans="1:2" x14ac:dyDescent="0.25">
      <c r="A2379" s="307"/>
      <c r="B2379" s="307"/>
    </row>
    <row r="2380" spans="1:2" x14ac:dyDescent="0.25">
      <c r="A2380" s="307"/>
      <c r="B2380" s="307"/>
    </row>
    <row r="2381" spans="1:2" x14ac:dyDescent="0.25">
      <c r="A2381" s="307"/>
      <c r="B2381" s="307"/>
    </row>
    <row r="2382" spans="1:2" x14ac:dyDescent="0.25">
      <c r="A2382" s="307"/>
      <c r="B2382" s="307"/>
    </row>
    <row r="2383" spans="1:2" x14ac:dyDescent="0.25">
      <c r="A2383" s="307"/>
      <c r="B2383" s="307"/>
    </row>
    <row r="2384" spans="1:2" x14ac:dyDescent="0.25">
      <c r="A2384" s="307"/>
      <c r="B2384" s="307"/>
    </row>
    <row r="2385" spans="1:2" x14ac:dyDescent="0.25">
      <c r="A2385" s="307"/>
      <c r="B2385" s="307"/>
    </row>
    <row r="2386" spans="1:2" x14ac:dyDescent="0.25">
      <c r="A2386" s="307"/>
      <c r="B2386" s="307"/>
    </row>
    <row r="2387" spans="1:2" x14ac:dyDescent="0.25">
      <c r="A2387" s="307"/>
      <c r="B2387" s="307"/>
    </row>
    <row r="2388" spans="1:2" x14ac:dyDescent="0.25">
      <c r="A2388" s="307"/>
      <c r="B2388" s="307"/>
    </row>
    <row r="2389" spans="1:2" x14ac:dyDescent="0.25">
      <c r="A2389" s="307"/>
      <c r="B2389" s="307"/>
    </row>
    <row r="2390" spans="1:2" x14ac:dyDescent="0.25">
      <c r="A2390" s="307"/>
      <c r="B2390" s="307"/>
    </row>
    <row r="2391" spans="1:2" x14ac:dyDescent="0.25">
      <c r="A2391" s="307"/>
      <c r="B2391" s="307"/>
    </row>
    <row r="2392" spans="1:2" x14ac:dyDescent="0.25">
      <c r="A2392" s="307"/>
      <c r="B2392" s="307"/>
    </row>
    <row r="2393" spans="1:2" x14ac:dyDescent="0.25">
      <c r="A2393" s="307"/>
      <c r="B2393" s="307"/>
    </row>
    <row r="2394" spans="1:2" x14ac:dyDescent="0.25">
      <c r="A2394" s="307"/>
      <c r="B2394" s="307"/>
    </row>
    <row r="2395" spans="1:2" x14ac:dyDescent="0.25">
      <c r="A2395" s="307"/>
      <c r="B2395" s="307"/>
    </row>
    <row r="2396" spans="1:2" x14ac:dyDescent="0.25">
      <c r="A2396" s="307"/>
      <c r="B2396" s="307"/>
    </row>
    <row r="2397" spans="1:2" x14ac:dyDescent="0.25">
      <c r="A2397" s="307"/>
      <c r="B2397" s="307"/>
    </row>
    <row r="2398" spans="1:2" x14ac:dyDescent="0.25">
      <c r="A2398" s="307"/>
      <c r="B2398" s="307"/>
    </row>
    <row r="2399" spans="1:2" x14ac:dyDescent="0.25">
      <c r="A2399" s="307"/>
      <c r="B2399" s="307"/>
    </row>
    <row r="2400" spans="1:2" x14ac:dyDescent="0.25">
      <c r="A2400" s="307"/>
      <c r="B2400" s="307"/>
    </row>
    <row r="2401" spans="1:2" x14ac:dyDescent="0.25">
      <c r="A2401" s="307"/>
      <c r="B2401" s="307"/>
    </row>
    <row r="2402" spans="1:2" x14ac:dyDescent="0.25">
      <c r="A2402" s="307"/>
      <c r="B2402" s="307"/>
    </row>
    <row r="2403" spans="1:2" x14ac:dyDescent="0.25">
      <c r="A2403" s="307"/>
      <c r="B2403" s="307"/>
    </row>
    <row r="2404" spans="1:2" x14ac:dyDescent="0.25">
      <c r="A2404" s="307"/>
      <c r="B2404" s="307"/>
    </row>
    <row r="2405" spans="1:2" x14ac:dyDescent="0.25">
      <c r="A2405" s="307"/>
      <c r="B2405" s="307"/>
    </row>
    <row r="2406" spans="1:2" x14ac:dyDescent="0.25">
      <c r="A2406" s="307"/>
      <c r="B2406" s="307"/>
    </row>
    <row r="2407" spans="1:2" x14ac:dyDescent="0.25">
      <c r="A2407" s="307"/>
      <c r="B2407" s="307"/>
    </row>
    <row r="2408" spans="1:2" x14ac:dyDescent="0.25">
      <c r="A2408" s="307"/>
      <c r="B2408" s="307"/>
    </row>
    <row r="2409" spans="1:2" x14ac:dyDescent="0.25">
      <c r="A2409" s="307"/>
      <c r="B2409" s="307"/>
    </row>
    <row r="2410" spans="1:2" x14ac:dyDescent="0.25">
      <c r="A2410" s="307"/>
      <c r="B2410" s="307"/>
    </row>
    <row r="2411" spans="1:2" x14ac:dyDescent="0.25">
      <c r="A2411" s="307"/>
      <c r="B2411" s="307"/>
    </row>
    <row r="2412" spans="1:2" x14ac:dyDescent="0.25">
      <c r="A2412" s="307"/>
      <c r="B2412" s="307"/>
    </row>
    <row r="2413" spans="1:2" x14ac:dyDescent="0.25">
      <c r="A2413" s="307"/>
      <c r="B2413" s="307"/>
    </row>
    <row r="2414" spans="1:2" x14ac:dyDescent="0.25">
      <c r="A2414" s="307"/>
      <c r="B2414" s="307"/>
    </row>
    <row r="2415" spans="1:2" x14ac:dyDescent="0.25">
      <c r="A2415" s="307"/>
      <c r="B2415" s="307"/>
    </row>
    <row r="2416" spans="1:2" x14ac:dyDescent="0.25">
      <c r="A2416" s="307"/>
      <c r="B2416" s="307"/>
    </row>
    <row r="2417" spans="1:2" x14ac:dyDescent="0.25">
      <c r="A2417" s="307"/>
      <c r="B2417" s="307"/>
    </row>
    <row r="2418" spans="1:2" x14ac:dyDescent="0.25">
      <c r="A2418" s="307"/>
      <c r="B2418" s="307"/>
    </row>
    <row r="2419" spans="1:2" x14ac:dyDescent="0.25">
      <c r="A2419" s="307"/>
      <c r="B2419" s="307"/>
    </row>
    <row r="2420" spans="1:2" x14ac:dyDescent="0.25">
      <c r="A2420" s="307"/>
      <c r="B2420" s="307"/>
    </row>
    <row r="2421" spans="1:2" x14ac:dyDescent="0.25">
      <c r="A2421" s="307"/>
      <c r="B2421" s="307"/>
    </row>
    <row r="2422" spans="1:2" x14ac:dyDescent="0.25">
      <c r="A2422" s="307"/>
      <c r="B2422" s="307"/>
    </row>
    <row r="2423" spans="1:2" x14ac:dyDescent="0.25">
      <c r="A2423" s="307"/>
      <c r="B2423" s="307"/>
    </row>
    <row r="2424" spans="1:2" x14ac:dyDescent="0.25">
      <c r="A2424" s="307"/>
      <c r="B2424" s="307"/>
    </row>
    <row r="2425" spans="1:2" x14ac:dyDescent="0.25">
      <c r="A2425" s="307"/>
      <c r="B2425" s="307"/>
    </row>
    <row r="2426" spans="1:2" x14ac:dyDescent="0.25">
      <c r="A2426" s="307"/>
      <c r="B2426" s="307"/>
    </row>
    <row r="2427" spans="1:2" x14ac:dyDescent="0.25">
      <c r="A2427" s="307"/>
      <c r="B2427" s="307"/>
    </row>
    <row r="2428" spans="1:2" x14ac:dyDescent="0.25">
      <c r="A2428" s="307"/>
      <c r="B2428" s="307"/>
    </row>
    <row r="2429" spans="1:2" x14ac:dyDescent="0.25">
      <c r="A2429" s="307"/>
      <c r="B2429" s="307"/>
    </row>
    <row r="2430" spans="1:2" x14ac:dyDescent="0.25">
      <c r="A2430" s="307"/>
      <c r="B2430" s="307"/>
    </row>
    <row r="2431" spans="1:2" x14ac:dyDescent="0.25">
      <c r="A2431" s="307"/>
      <c r="B2431" s="307"/>
    </row>
    <row r="2432" spans="1:2" x14ac:dyDescent="0.25">
      <c r="A2432" s="307"/>
      <c r="B2432" s="307"/>
    </row>
    <row r="2433" spans="1:2" x14ac:dyDescent="0.25">
      <c r="A2433" s="307"/>
      <c r="B2433" s="307"/>
    </row>
    <row r="2434" spans="1:2" x14ac:dyDescent="0.25">
      <c r="A2434" s="307"/>
      <c r="B2434" s="307"/>
    </row>
    <row r="2435" spans="1:2" x14ac:dyDescent="0.25">
      <c r="A2435" s="307"/>
      <c r="B2435" s="307"/>
    </row>
    <row r="2436" spans="1:2" x14ac:dyDescent="0.25">
      <c r="A2436" s="307"/>
      <c r="B2436" s="307"/>
    </row>
    <row r="2437" spans="1:2" x14ac:dyDescent="0.25">
      <c r="A2437" s="307"/>
      <c r="B2437" s="307"/>
    </row>
    <row r="2438" spans="1:2" x14ac:dyDescent="0.25">
      <c r="A2438" s="307"/>
      <c r="B2438" s="307"/>
    </row>
    <row r="2439" spans="1:2" x14ac:dyDescent="0.25">
      <c r="A2439" s="307"/>
      <c r="B2439" s="307"/>
    </row>
    <row r="2440" spans="1:2" x14ac:dyDescent="0.25">
      <c r="A2440" s="307"/>
      <c r="B2440" s="307"/>
    </row>
    <row r="2441" spans="1:2" x14ac:dyDescent="0.25">
      <c r="A2441" s="307"/>
      <c r="B2441" s="307"/>
    </row>
    <row r="2442" spans="1:2" x14ac:dyDescent="0.25">
      <c r="A2442" s="307"/>
      <c r="B2442" s="307"/>
    </row>
    <row r="2443" spans="1:2" x14ac:dyDescent="0.25">
      <c r="A2443" s="307"/>
      <c r="B2443" s="307"/>
    </row>
    <row r="2444" spans="1:2" x14ac:dyDescent="0.25">
      <c r="A2444" s="307"/>
      <c r="B2444" s="307"/>
    </row>
    <row r="2445" spans="1:2" x14ac:dyDescent="0.25">
      <c r="A2445" s="307"/>
      <c r="B2445" s="307"/>
    </row>
    <row r="2446" spans="1:2" x14ac:dyDescent="0.25">
      <c r="A2446" s="307"/>
      <c r="B2446" s="307"/>
    </row>
    <row r="2447" spans="1:2" x14ac:dyDescent="0.25">
      <c r="A2447" s="307"/>
      <c r="B2447" s="307"/>
    </row>
    <row r="2448" spans="1:2" x14ac:dyDescent="0.25">
      <c r="A2448" s="307"/>
      <c r="B2448" s="307"/>
    </row>
    <row r="2449" spans="1:2" x14ac:dyDescent="0.25">
      <c r="A2449" s="307"/>
      <c r="B2449" s="307"/>
    </row>
    <row r="2450" spans="1:2" x14ac:dyDescent="0.25">
      <c r="A2450" s="307"/>
      <c r="B2450" s="307"/>
    </row>
    <row r="2451" spans="1:2" x14ac:dyDescent="0.25">
      <c r="A2451" s="307"/>
      <c r="B2451" s="307"/>
    </row>
    <row r="2452" spans="1:2" x14ac:dyDescent="0.25">
      <c r="A2452" s="307"/>
      <c r="B2452" s="307"/>
    </row>
    <row r="2453" spans="1:2" x14ac:dyDescent="0.25">
      <c r="A2453" s="307"/>
      <c r="B2453" s="307"/>
    </row>
    <row r="2454" spans="1:2" x14ac:dyDescent="0.25">
      <c r="A2454" s="307"/>
      <c r="B2454" s="307"/>
    </row>
    <row r="2455" spans="1:2" x14ac:dyDescent="0.25">
      <c r="A2455" s="307"/>
      <c r="B2455" s="307"/>
    </row>
    <row r="2456" spans="1:2" x14ac:dyDescent="0.25">
      <c r="A2456" s="307"/>
      <c r="B2456" s="307"/>
    </row>
    <row r="2457" spans="1:2" x14ac:dyDescent="0.25">
      <c r="A2457" s="307"/>
      <c r="B2457" s="307"/>
    </row>
    <row r="2458" spans="1:2" x14ac:dyDescent="0.25">
      <c r="A2458" s="307"/>
      <c r="B2458" s="307"/>
    </row>
    <row r="2459" spans="1:2" x14ac:dyDescent="0.25">
      <c r="A2459" s="307"/>
      <c r="B2459" s="307"/>
    </row>
    <row r="2460" spans="1:2" x14ac:dyDescent="0.25">
      <c r="A2460" s="307"/>
      <c r="B2460" s="307"/>
    </row>
    <row r="2461" spans="1:2" x14ac:dyDescent="0.25">
      <c r="A2461" s="307"/>
      <c r="B2461" s="307"/>
    </row>
    <row r="2462" spans="1:2" x14ac:dyDescent="0.25">
      <c r="A2462" s="307"/>
      <c r="B2462" s="307"/>
    </row>
    <row r="2463" spans="1:2" x14ac:dyDescent="0.25">
      <c r="A2463" s="307"/>
      <c r="B2463" s="307"/>
    </row>
    <row r="2464" spans="1:2" x14ac:dyDescent="0.25">
      <c r="A2464" s="307"/>
      <c r="B2464" s="307"/>
    </row>
    <row r="2465" spans="1:2" x14ac:dyDescent="0.25">
      <c r="A2465" s="307"/>
      <c r="B2465" s="307"/>
    </row>
    <row r="2466" spans="1:2" x14ac:dyDescent="0.25">
      <c r="A2466" s="307"/>
      <c r="B2466" s="307"/>
    </row>
    <row r="2467" spans="1:2" x14ac:dyDescent="0.25">
      <c r="A2467" s="307"/>
      <c r="B2467" s="307"/>
    </row>
    <row r="2468" spans="1:2" x14ac:dyDescent="0.25">
      <c r="A2468" s="307"/>
      <c r="B2468" s="307"/>
    </row>
    <row r="2469" spans="1:2" x14ac:dyDescent="0.25">
      <c r="A2469" s="307"/>
      <c r="B2469" s="307"/>
    </row>
    <row r="2470" spans="1:2" x14ac:dyDescent="0.25">
      <c r="A2470" s="307"/>
      <c r="B2470" s="307"/>
    </row>
    <row r="2471" spans="1:2" x14ac:dyDescent="0.25">
      <c r="A2471" s="307"/>
      <c r="B2471" s="307"/>
    </row>
    <row r="2472" spans="1:2" x14ac:dyDescent="0.25">
      <c r="A2472" s="307"/>
      <c r="B2472" s="307"/>
    </row>
    <row r="2473" spans="1:2" x14ac:dyDescent="0.25">
      <c r="A2473" s="307"/>
      <c r="B2473" s="307"/>
    </row>
    <row r="2474" spans="1:2" x14ac:dyDescent="0.25">
      <c r="A2474" s="307"/>
      <c r="B2474" s="307"/>
    </row>
    <row r="2475" spans="1:2" x14ac:dyDescent="0.25">
      <c r="A2475" s="307"/>
      <c r="B2475" s="307"/>
    </row>
    <row r="2476" spans="1:2" x14ac:dyDescent="0.25">
      <c r="A2476" s="307"/>
      <c r="B2476" s="307"/>
    </row>
    <row r="2477" spans="1:2" x14ac:dyDescent="0.25">
      <c r="A2477" s="307"/>
      <c r="B2477" s="307"/>
    </row>
    <row r="2478" spans="1:2" x14ac:dyDescent="0.25">
      <c r="A2478" s="307"/>
      <c r="B2478" s="307"/>
    </row>
    <row r="2479" spans="1:2" x14ac:dyDescent="0.25">
      <c r="A2479" s="307"/>
      <c r="B2479" s="307"/>
    </row>
    <row r="2480" spans="1:2" x14ac:dyDescent="0.25">
      <c r="A2480" s="307"/>
      <c r="B2480" s="307"/>
    </row>
    <row r="2481" spans="1:2" x14ac:dyDescent="0.25">
      <c r="A2481" s="307"/>
      <c r="B2481" s="307"/>
    </row>
    <row r="2482" spans="1:2" x14ac:dyDescent="0.25">
      <c r="A2482" s="307"/>
      <c r="B2482" s="307"/>
    </row>
    <row r="2483" spans="1:2" x14ac:dyDescent="0.25">
      <c r="A2483" s="307"/>
      <c r="B2483" s="307"/>
    </row>
    <row r="2484" spans="1:2" x14ac:dyDescent="0.25">
      <c r="A2484" s="307"/>
      <c r="B2484" s="307"/>
    </row>
    <row r="2485" spans="1:2" x14ac:dyDescent="0.25">
      <c r="A2485" s="307"/>
      <c r="B2485" s="307"/>
    </row>
    <row r="2486" spans="1:2" x14ac:dyDescent="0.25">
      <c r="A2486" s="307"/>
      <c r="B2486" s="307"/>
    </row>
    <row r="2487" spans="1:2" x14ac:dyDescent="0.25">
      <c r="A2487" s="307"/>
      <c r="B2487" s="307"/>
    </row>
    <row r="2488" spans="1:2" x14ac:dyDescent="0.25">
      <c r="A2488" s="307"/>
      <c r="B2488" s="307"/>
    </row>
    <row r="2489" spans="1:2" x14ac:dyDescent="0.25">
      <c r="A2489" s="307"/>
      <c r="B2489" s="307"/>
    </row>
    <row r="2490" spans="1:2" x14ac:dyDescent="0.25">
      <c r="A2490" s="307"/>
      <c r="B2490" s="307"/>
    </row>
    <row r="2491" spans="1:2" x14ac:dyDescent="0.25">
      <c r="A2491" s="307"/>
      <c r="B2491" s="307"/>
    </row>
    <row r="2492" spans="1:2" x14ac:dyDescent="0.25">
      <c r="A2492" s="307"/>
      <c r="B2492" s="307"/>
    </row>
    <row r="2493" spans="1:2" x14ac:dyDescent="0.25">
      <c r="A2493" s="307"/>
      <c r="B2493" s="307"/>
    </row>
    <row r="2494" spans="1:2" x14ac:dyDescent="0.25">
      <c r="A2494" s="307"/>
      <c r="B2494" s="307"/>
    </row>
    <row r="2495" spans="1:2" x14ac:dyDescent="0.25">
      <c r="A2495" s="307"/>
      <c r="B2495" s="307"/>
    </row>
    <row r="2496" spans="1:2" x14ac:dyDescent="0.25">
      <c r="A2496" s="307"/>
      <c r="B2496" s="307"/>
    </row>
    <row r="2497" spans="1:2" x14ac:dyDescent="0.25">
      <c r="A2497" s="307"/>
      <c r="B2497" s="307"/>
    </row>
    <row r="2498" spans="1:2" x14ac:dyDescent="0.25">
      <c r="A2498" s="307"/>
      <c r="B2498" s="307"/>
    </row>
    <row r="2499" spans="1:2" x14ac:dyDescent="0.25">
      <c r="A2499" s="307"/>
      <c r="B2499" s="307"/>
    </row>
    <row r="2500" spans="1:2" x14ac:dyDescent="0.25">
      <c r="A2500" s="307"/>
      <c r="B2500" s="307"/>
    </row>
    <row r="2501" spans="1:2" x14ac:dyDescent="0.25">
      <c r="A2501" s="307"/>
      <c r="B2501" s="307"/>
    </row>
    <row r="2502" spans="1:2" x14ac:dyDescent="0.25">
      <c r="A2502" s="307"/>
      <c r="B2502" s="307"/>
    </row>
    <row r="2503" spans="1:2" x14ac:dyDescent="0.25">
      <c r="A2503" s="307"/>
      <c r="B2503" s="307"/>
    </row>
    <row r="2504" spans="1:2" x14ac:dyDescent="0.25">
      <c r="A2504" s="307"/>
      <c r="B2504" s="307"/>
    </row>
    <row r="2505" spans="1:2" x14ac:dyDescent="0.25">
      <c r="A2505" s="307"/>
      <c r="B2505" s="307"/>
    </row>
    <row r="2506" spans="1:2" x14ac:dyDescent="0.25">
      <c r="A2506" s="307"/>
      <c r="B2506" s="307"/>
    </row>
    <row r="2507" spans="1:2" x14ac:dyDescent="0.25">
      <c r="A2507" s="307"/>
      <c r="B2507" s="307"/>
    </row>
    <row r="2508" spans="1:2" x14ac:dyDescent="0.25">
      <c r="A2508" s="307"/>
      <c r="B2508" s="307"/>
    </row>
    <row r="2509" spans="1:2" x14ac:dyDescent="0.25">
      <c r="A2509" s="307"/>
      <c r="B2509" s="307"/>
    </row>
    <row r="2510" spans="1:2" x14ac:dyDescent="0.25">
      <c r="A2510" s="307"/>
      <c r="B2510" s="307"/>
    </row>
    <row r="2511" spans="1:2" x14ac:dyDescent="0.25">
      <c r="A2511" s="307"/>
      <c r="B2511" s="307"/>
    </row>
    <row r="2512" spans="1:2" x14ac:dyDescent="0.25">
      <c r="A2512" s="307"/>
      <c r="B2512" s="307"/>
    </row>
    <row r="2513" spans="1:2" x14ac:dyDescent="0.25">
      <c r="A2513" s="307"/>
      <c r="B2513" s="307"/>
    </row>
    <row r="2514" spans="1:2" x14ac:dyDescent="0.25">
      <c r="A2514" s="307"/>
      <c r="B2514" s="307"/>
    </row>
    <row r="2515" spans="1:2" x14ac:dyDescent="0.25">
      <c r="A2515" s="307"/>
      <c r="B2515" s="307"/>
    </row>
    <row r="2516" spans="1:2" x14ac:dyDescent="0.25">
      <c r="A2516" s="307"/>
      <c r="B2516" s="307"/>
    </row>
    <row r="2517" spans="1:2" x14ac:dyDescent="0.25">
      <c r="A2517" s="307"/>
      <c r="B2517" s="307"/>
    </row>
    <row r="2518" spans="1:2" x14ac:dyDescent="0.25">
      <c r="A2518" s="307"/>
      <c r="B2518" s="307"/>
    </row>
    <row r="2519" spans="1:2" x14ac:dyDescent="0.25">
      <c r="A2519" s="307"/>
      <c r="B2519" s="307"/>
    </row>
    <row r="2520" spans="1:2" x14ac:dyDescent="0.25">
      <c r="A2520" s="307"/>
      <c r="B2520" s="307"/>
    </row>
    <row r="2521" spans="1:2" x14ac:dyDescent="0.25">
      <c r="A2521" s="307"/>
      <c r="B2521" s="307"/>
    </row>
    <row r="2522" spans="1:2" x14ac:dyDescent="0.25">
      <c r="A2522" s="307"/>
      <c r="B2522" s="307"/>
    </row>
    <row r="2523" spans="1:2" x14ac:dyDescent="0.25">
      <c r="A2523" s="307"/>
      <c r="B2523" s="307"/>
    </row>
    <row r="2524" spans="1:2" x14ac:dyDescent="0.25">
      <c r="A2524" s="307"/>
      <c r="B2524" s="307"/>
    </row>
    <row r="2525" spans="1:2" x14ac:dyDescent="0.25">
      <c r="A2525" s="307"/>
      <c r="B2525" s="307"/>
    </row>
    <row r="2526" spans="1:2" x14ac:dyDescent="0.25">
      <c r="A2526" s="307"/>
      <c r="B2526" s="307"/>
    </row>
    <row r="2527" spans="1:2" x14ac:dyDescent="0.25">
      <c r="A2527" s="307"/>
      <c r="B2527" s="307"/>
    </row>
    <row r="2528" spans="1:2" x14ac:dyDescent="0.25">
      <c r="A2528" s="307"/>
      <c r="B2528" s="307"/>
    </row>
    <row r="2529" spans="1:2" x14ac:dyDescent="0.25">
      <c r="A2529" s="307"/>
      <c r="B2529" s="307"/>
    </row>
    <row r="2530" spans="1:2" x14ac:dyDescent="0.25">
      <c r="A2530" s="307"/>
      <c r="B2530" s="307"/>
    </row>
    <row r="2531" spans="1:2" x14ac:dyDescent="0.25">
      <c r="A2531" s="307"/>
      <c r="B2531" s="307"/>
    </row>
    <row r="2532" spans="1:2" x14ac:dyDescent="0.25">
      <c r="A2532" s="307"/>
      <c r="B2532" s="307"/>
    </row>
    <row r="2533" spans="1:2" x14ac:dyDescent="0.25">
      <c r="A2533" s="307"/>
      <c r="B2533" s="307"/>
    </row>
    <row r="2534" spans="1:2" x14ac:dyDescent="0.25">
      <c r="A2534" s="307"/>
      <c r="B2534" s="307"/>
    </row>
    <row r="2535" spans="1:2" x14ac:dyDescent="0.25">
      <c r="A2535" s="307"/>
      <c r="B2535" s="307"/>
    </row>
    <row r="2536" spans="1:2" x14ac:dyDescent="0.25">
      <c r="A2536" s="307"/>
      <c r="B2536" s="307"/>
    </row>
    <row r="2537" spans="1:2" x14ac:dyDescent="0.25">
      <c r="A2537" s="307"/>
      <c r="B2537" s="307"/>
    </row>
    <row r="2538" spans="1:2" x14ac:dyDescent="0.25">
      <c r="A2538" s="307"/>
      <c r="B2538" s="307"/>
    </row>
    <row r="2539" spans="1:2" x14ac:dyDescent="0.25">
      <c r="A2539" s="307"/>
      <c r="B2539" s="307"/>
    </row>
    <row r="2540" spans="1:2" x14ac:dyDescent="0.25">
      <c r="A2540" s="307"/>
      <c r="B2540" s="307"/>
    </row>
    <row r="2541" spans="1:2" x14ac:dyDescent="0.25">
      <c r="A2541" s="307"/>
      <c r="B2541" s="307"/>
    </row>
    <row r="2542" spans="1:2" x14ac:dyDescent="0.25">
      <c r="A2542" s="307"/>
      <c r="B2542" s="307"/>
    </row>
    <row r="2543" spans="1:2" x14ac:dyDescent="0.25">
      <c r="A2543" s="307"/>
      <c r="B2543" s="307"/>
    </row>
    <row r="2544" spans="1:2" x14ac:dyDescent="0.25">
      <c r="A2544" s="307"/>
      <c r="B2544" s="307"/>
    </row>
    <row r="2545" spans="1:2" x14ac:dyDescent="0.25">
      <c r="A2545" s="307"/>
      <c r="B2545" s="307"/>
    </row>
    <row r="2546" spans="1:2" x14ac:dyDescent="0.25">
      <c r="A2546" s="307"/>
      <c r="B2546" s="307"/>
    </row>
    <row r="2547" spans="1:2" x14ac:dyDescent="0.25">
      <c r="A2547" s="307"/>
      <c r="B2547" s="307"/>
    </row>
    <row r="2548" spans="1:2" x14ac:dyDescent="0.25">
      <c r="A2548" s="307"/>
      <c r="B2548" s="307"/>
    </row>
    <row r="2549" spans="1:2" x14ac:dyDescent="0.25">
      <c r="A2549" s="307"/>
      <c r="B2549" s="307"/>
    </row>
    <row r="2550" spans="1:2" x14ac:dyDescent="0.25">
      <c r="A2550" s="307"/>
      <c r="B2550" s="307"/>
    </row>
    <row r="2551" spans="1:2" x14ac:dyDescent="0.25">
      <c r="A2551" s="307"/>
      <c r="B2551" s="307"/>
    </row>
    <row r="2552" spans="1:2" x14ac:dyDescent="0.25">
      <c r="A2552" s="307"/>
      <c r="B2552" s="307"/>
    </row>
    <row r="2553" spans="1:2" x14ac:dyDescent="0.25">
      <c r="A2553" s="307"/>
      <c r="B2553" s="307"/>
    </row>
    <row r="2554" spans="1:2" x14ac:dyDescent="0.25">
      <c r="A2554" s="307"/>
      <c r="B2554" s="307"/>
    </row>
    <row r="2555" spans="1:2" x14ac:dyDescent="0.25">
      <c r="A2555" s="307"/>
      <c r="B2555" s="307"/>
    </row>
    <row r="2556" spans="1:2" x14ac:dyDescent="0.25">
      <c r="A2556" s="307"/>
      <c r="B2556" s="307"/>
    </row>
    <row r="2557" spans="1:2" x14ac:dyDescent="0.25">
      <c r="A2557" s="307"/>
      <c r="B2557" s="307"/>
    </row>
    <row r="2558" spans="1:2" x14ac:dyDescent="0.25">
      <c r="A2558" s="307"/>
      <c r="B2558" s="307"/>
    </row>
    <row r="2559" spans="1:2" x14ac:dyDescent="0.25">
      <c r="A2559" s="307"/>
      <c r="B2559" s="307"/>
    </row>
    <row r="2560" spans="1:2" x14ac:dyDescent="0.25">
      <c r="A2560" s="307"/>
      <c r="B2560" s="307"/>
    </row>
    <row r="2561" spans="1:2" x14ac:dyDescent="0.25">
      <c r="A2561" s="307"/>
      <c r="B2561" s="307"/>
    </row>
    <row r="2562" spans="1:2" x14ac:dyDescent="0.25">
      <c r="A2562" s="307"/>
      <c r="B2562" s="307"/>
    </row>
    <row r="2563" spans="1:2" x14ac:dyDescent="0.25">
      <c r="A2563" s="307"/>
      <c r="B2563" s="307"/>
    </row>
    <row r="2564" spans="1:2" x14ac:dyDescent="0.25">
      <c r="A2564" s="307"/>
      <c r="B2564" s="307"/>
    </row>
    <row r="2565" spans="1:2" x14ac:dyDescent="0.25">
      <c r="A2565" s="307"/>
      <c r="B2565" s="307"/>
    </row>
    <row r="2566" spans="1:2" x14ac:dyDescent="0.25">
      <c r="A2566" s="307"/>
      <c r="B2566" s="307"/>
    </row>
    <row r="2567" spans="1:2" x14ac:dyDescent="0.25">
      <c r="A2567" s="307"/>
      <c r="B2567" s="307"/>
    </row>
    <row r="2568" spans="1:2" x14ac:dyDescent="0.25">
      <c r="A2568" s="307"/>
      <c r="B2568" s="307"/>
    </row>
    <row r="2569" spans="1:2" x14ac:dyDescent="0.25">
      <c r="A2569" s="307"/>
      <c r="B2569" s="307"/>
    </row>
    <row r="2570" spans="1:2" x14ac:dyDescent="0.25">
      <c r="A2570" s="307"/>
      <c r="B2570" s="307"/>
    </row>
    <row r="2571" spans="1:2" x14ac:dyDescent="0.25">
      <c r="A2571" s="307"/>
      <c r="B2571" s="307"/>
    </row>
    <row r="2572" spans="1:2" x14ac:dyDescent="0.25">
      <c r="A2572" s="307"/>
      <c r="B2572" s="307"/>
    </row>
    <row r="2573" spans="1:2" x14ac:dyDescent="0.25">
      <c r="A2573" s="307"/>
      <c r="B2573" s="307"/>
    </row>
    <row r="2574" spans="1:2" x14ac:dyDescent="0.25">
      <c r="A2574" s="307"/>
      <c r="B2574" s="307"/>
    </row>
    <row r="2575" spans="1:2" x14ac:dyDescent="0.25">
      <c r="A2575" s="307"/>
      <c r="B2575" s="307"/>
    </row>
    <row r="2576" spans="1:2" x14ac:dyDescent="0.25">
      <c r="A2576" s="307"/>
      <c r="B2576" s="307"/>
    </row>
    <row r="2577" spans="1:2" x14ac:dyDescent="0.25">
      <c r="A2577" s="307"/>
      <c r="B2577" s="307"/>
    </row>
    <row r="2578" spans="1:2" x14ac:dyDescent="0.25">
      <c r="A2578" s="307"/>
      <c r="B2578" s="307"/>
    </row>
    <row r="2579" spans="1:2" x14ac:dyDescent="0.25">
      <c r="A2579" s="307"/>
      <c r="B2579" s="307"/>
    </row>
    <row r="2580" spans="1:2" x14ac:dyDescent="0.25">
      <c r="A2580" s="307"/>
      <c r="B2580" s="307"/>
    </row>
    <row r="2581" spans="1:2" x14ac:dyDescent="0.25">
      <c r="A2581" s="307"/>
      <c r="B2581" s="307"/>
    </row>
    <row r="2582" spans="1:2" x14ac:dyDescent="0.25">
      <c r="A2582" s="307"/>
      <c r="B2582" s="307"/>
    </row>
    <row r="2583" spans="1:2" x14ac:dyDescent="0.25">
      <c r="A2583" s="307"/>
      <c r="B2583" s="307"/>
    </row>
    <row r="2584" spans="1:2" x14ac:dyDescent="0.25">
      <c r="A2584" s="307"/>
      <c r="B2584" s="307"/>
    </row>
    <row r="2585" spans="1:2" x14ac:dyDescent="0.25">
      <c r="A2585" s="307"/>
      <c r="B2585" s="307"/>
    </row>
    <row r="2586" spans="1:2" x14ac:dyDescent="0.25">
      <c r="A2586" s="307"/>
      <c r="B2586" s="307"/>
    </row>
    <row r="2587" spans="1:2" x14ac:dyDescent="0.25">
      <c r="A2587" s="307"/>
      <c r="B2587" s="307"/>
    </row>
    <row r="2588" spans="1:2" x14ac:dyDescent="0.25">
      <c r="A2588" s="307"/>
      <c r="B2588" s="307"/>
    </row>
    <row r="2589" spans="1:2" x14ac:dyDescent="0.25">
      <c r="A2589" s="307"/>
      <c r="B2589" s="307"/>
    </row>
    <row r="2590" spans="1:2" x14ac:dyDescent="0.25">
      <c r="A2590" s="307"/>
      <c r="B2590" s="307"/>
    </row>
    <row r="2591" spans="1:2" x14ac:dyDescent="0.25">
      <c r="A2591" s="307"/>
      <c r="B2591" s="307"/>
    </row>
    <row r="2592" spans="1:2" x14ac:dyDescent="0.25">
      <c r="A2592" s="307"/>
      <c r="B2592" s="307"/>
    </row>
    <row r="2593" spans="1:2" x14ac:dyDescent="0.25">
      <c r="A2593" s="307"/>
      <c r="B2593" s="307"/>
    </row>
    <row r="2594" spans="1:2" x14ac:dyDescent="0.25">
      <c r="A2594" s="307"/>
      <c r="B2594" s="307"/>
    </row>
    <row r="2595" spans="1:2" x14ac:dyDescent="0.25">
      <c r="A2595" s="307"/>
      <c r="B2595" s="307"/>
    </row>
    <row r="2596" spans="1:2" x14ac:dyDescent="0.25">
      <c r="A2596" s="307"/>
      <c r="B2596" s="307"/>
    </row>
    <row r="2597" spans="1:2" x14ac:dyDescent="0.25">
      <c r="A2597" s="307"/>
      <c r="B2597" s="307"/>
    </row>
    <row r="2598" spans="1:2" x14ac:dyDescent="0.25">
      <c r="A2598" s="307"/>
      <c r="B2598" s="307"/>
    </row>
    <row r="2599" spans="1:2" x14ac:dyDescent="0.25">
      <c r="A2599" s="307"/>
      <c r="B2599" s="307"/>
    </row>
    <row r="2600" spans="1:2" x14ac:dyDescent="0.25">
      <c r="A2600" s="307"/>
      <c r="B2600" s="307"/>
    </row>
    <row r="2601" spans="1:2" x14ac:dyDescent="0.25">
      <c r="A2601" s="307"/>
      <c r="B2601" s="307"/>
    </row>
    <row r="2602" spans="1:2" x14ac:dyDescent="0.25">
      <c r="A2602" s="307"/>
      <c r="B2602" s="307"/>
    </row>
    <row r="2603" spans="1:2" x14ac:dyDescent="0.25">
      <c r="A2603" s="307"/>
      <c r="B2603" s="307"/>
    </row>
    <row r="2604" spans="1:2" x14ac:dyDescent="0.25">
      <c r="A2604" s="307"/>
      <c r="B2604" s="307"/>
    </row>
    <row r="2605" spans="1:2" x14ac:dyDescent="0.25">
      <c r="A2605" s="307"/>
      <c r="B2605" s="307"/>
    </row>
    <row r="2606" spans="1:2" x14ac:dyDescent="0.25">
      <c r="A2606" s="307"/>
      <c r="B2606" s="307"/>
    </row>
    <row r="2607" spans="1:2" x14ac:dyDescent="0.25">
      <c r="A2607" s="307"/>
      <c r="B2607" s="307"/>
    </row>
    <row r="2608" spans="1:2" x14ac:dyDescent="0.25">
      <c r="A2608" s="307"/>
      <c r="B2608" s="307"/>
    </row>
    <row r="2609" spans="1:2" x14ac:dyDescent="0.25">
      <c r="A2609" s="307"/>
      <c r="B2609" s="307"/>
    </row>
    <row r="2610" spans="1:2" x14ac:dyDescent="0.25">
      <c r="A2610" s="307"/>
      <c r="B2610" s="307"/>
    </row>
    <row r="2611" spans="1:2" x14ac:dyDescent="0.25">
      <c r="A2611" s="307"/>
      <c r="B2611" s="307"/>
    </row>
    <row r="2612" spans="1:2" x14ac:dyDescent="0.25">
      <c r="A2612" s="307"/>
      <c r="B2612" s="307"/>
    </row>
    <row r="2613" spans="1:2" x14ac:dyDescent="0.25">
      <c r="A2613" s="307"/>
      <c r="B2613" s="307"/>
    </row>
    <row r="2614" spans="1:2" x14ac:dyDescent="0.25">
      <c r="A2614" s="307"/>
      <c r="B2614" s="307"/>
    </row>
    <row r="2615" spans="1:2" x14ac:dyDescent="0.25">
      <c r="A2615" s="307"/>
      <c r="B2615" s="307"/>
    </row>
    <row r="2616" spans="1:2" x14ac:dyDescent="0.25">
      <c r="A2616" s="307"/>
      <c r="B2616" s="307"/>
    </row>
    <row r="2617" spans="1:2" x14ac:dyDescent="0.25">
      <c r="A2617" s="307"/>
      <c r="B2617" s="307"/>
    </row>
    <row r="2618" spans="1:2" x14ac:dyDescent="0.25">
      <c r="A2618" s="307"/>
      <c r="B2618" s="307"/>
    </row>
    <row r="2619" spans="1:2" x14ac:dyDescent="0.25">
      <c r="A2619" s="307"/>
      <c r="B2619" s="307"/>
    </row>
    <row r="2620" spans="1:2" x14ac:dyDescent="0.25">
      <c r="A2620" s="307"/>
      <c r="B2620" s="307"/>
    </row>
    <row r="2621" spans="1:2" x14ac:dyDescent="0.25">
      <c r="A2621" s="307"/>
      <c r="B2621" s="307"/>
    </row>
    <row r="2622" spans="1:2" x14ac:dyDescent="0.25">
      <c r="A2622" s="307"/>
      <c r="B2622" s="307"/>
    </row>
    <row r="2623" spans="1:2" x14ac:dyDescent="0.25">
      <c r="A2623" s="307"/>
      <c r="B2623" s="307"/>
    </row>
    <row r="2624" spans="1:2" x14ac:dyDescent="0.25">
      <c r="A2624" s="307"/>
      <c r="B2624" s="307"/>
    </row>
    <row r="2625" spans="1:2" x14ac:dyDescent="0.25">
      <c r="A2625" s="307"/>
      <c r="B2625" s="307"/>
    </row>
    <row r="2626" spans="1:2" x14ac:dyDescent="0.25">
      <c r="A2626" s="307"/>
      <c r="B2626" s="307"/>
    </row>
    <row r="2627" spans="1:2" x14ac:dyDescent="0.25">
      <c r="A2627" s="307"/>
      <c r="B2627" s="307"/>
    </row>
    <row r="2628" spans="1:2" x14ac:dyDescent="0.25">
      <c r="A2628" s="307"/>
      <c r="B2628" s="307"/>
    </row>
    <row r="2629" spans="1:2" x14ac:dyDescent="0.25">
      <c r="A2629" s="307"/>
      <c r="B2629" s="307"/>
    </row>
    <row r="2630" spans="1:2" x14ac:dyDescent="0.25">
      <c r="A2630" s="307"/>
      <c r="B2630" s="307"/>
    </row>
    <row r="2631" spans="1:2" x14ac:dyDescent="0.25">
      <c r="A2631" s="307"/>
      <c r="B2631" s="307"/>
    </row>
    <row r="2632" spans="1:2" x14ac:dyDescent="0.25">
      <c r="A2632" s="307"/>
      <c r="B2632" s="307"/>
    </row>
    <row r="2633" spans="1:2" x14ac:dyDescent="0.25">
      <c r="A2633" s="307"/>
      <c r="B2633" s="307"/>
    </row>
    <row r="2634" spans="1:2" x14ac:dyDescent="0.25">
      <c r="A2634" s="307"/>
      <c r="B2634" s="307"/>
    </row>
    <row r="2635" spans="1:2" x14ac:dyDescent="0.25">
      <c r="A2635" s="307"/>
      <c r="B2635" s="307"/>
    </row>
    <row r="2636" spans="1:2" x14ac:dyDescent="0.25">
      <c r="A2636" s="307"/>
      <c r="B2636" s="307"/>
    </row>
    <row r="2637" spans="1:2" x14ac:dyDescent="0.25">
      <c r="A2637" s="307"/>
      <c r="B2637" s="307"/>
    </row>
    <row r="2638" spans="1:2" x14ac:dyDescent="0.25">
      <c r="A2638" s="307"/>
      <c r="B2638" s="307"/>
    </row>
    <row r="2639" spans="1:2" x14ac:dyDescent="0.25">
      <c r="A2639" s="307"/>
      <c r="B2639" s="307"/>
    </row>
    <row r="2640" spans="1:2" x14ac:dyDescent="0.25">
      <c r="A2640" s="307"/>
      <c r="B2640" s="307"/>
    </row>
    <row r="2641" spans="1:2" x14ac:dyDescent="0.25">
      <c r="A2641" s="307"/>
      <c r="B2641" s="307"/>
    </row>
    <row r="2642" spans="1:2" x14ac:dyDescent="0.25">
      <c r="A2642" s="307"/>
      <c r="B2642" s="307"/>
    </row>
    <row r="2643" spans="1:2" x14ac:dyDescent="0.25">
      <c r="A2643" s="307"/>
      <c r="B2643" s="307"/>
    </row>
    <row r="2644" spans="1:2" x14ac:dyDescent="0.25">
      <c r="A2644" s="307"/>
      <c r="B2644" s="307"/>
    </row>
    <row r="2645" spans="1:2" x14ac:dyDescent="0.25">
      <c r="A2645" s="307"/>
      <c r="B2645" s="307"/>
    </row>
    <row r="2646" spans="1:2" x14ac:dyDescent="0.25">
      <c r="A2646" s="307"/>
      <c r="B2646" s="307"/>
    </row>
    <row r="2647" spans="1:2" x14ac:dyDescent="0.25">
      <c r="A2647" s="307"/>
      <c r="B2647" s="307"/>
    </row>
    <row r="2648" spans="1:2" x14ac:dyDescent="0.25">
      <c r="A2648" s="307"/>
      <c r="B2648" s="307"/>
    </row>
    <row r="2649" spans="1:2" x14ac:dyDescent="0.25">
      <c r="A2649" s="307"/>
      <c r="B2649" s="307"/>
    </row>
    <row r="2650" spans="1:2" x14ac:dyDescent="0.25">
      <c r="A2650" s="307"/>
      <c r="B2650" s="307"/>
    </row>
    <row r="2651" spans="1:2" x14ac:dyDescent="0.25">
      <c r="A2651" s="307"/>
      <c r="B2651" s="307"/>
    </row>
    <row r="2652" spans="1:2" x14ac:dyDescent="0.25">
      <c r="A2652" s="307"/>
      <c r="B2652" s="307"/>
    </row>
    <row r="2653" spans="1:2" x14ac:dyDescent="0.25">
      <c r="A2653" s="307"/>
      <c r="B2653" s="307"/>
    </row>
    <row r="2654" spans="1:2" x14ac:dyDescent="0.25">
      <c r="A2654" s="307"/>
      <c r="B2654" s="307"/>
    </row>
    <row r="2655" spans="1:2" x14ac:dyDescent="0.25">
      <c r="A2655" s="307"/>
      <c r="B2655" s="307"/>
    </row>
    <row r="2656" spans="1:2" x14ac:dyDescent="0.25">
      <c r="A2656" s="307"/>
      <c r="B2656" s="307"/>
    </row>
    <row r="2657" spans="1:2" x14ac:dyDescent="0.25">
      <c r="A2657" s="307"/>
      <c r="B2657" s="307"/>
    </row>
    <row r="2658" spans="1:2" x14ac:dyDescent="0.25">
      <c r="A2658" s="307"/>
      <c r="B2658" s="307"/>
    </row>
    <row r="2659" spans="1:2" x14ac:dyDescent="0.25">
      <c r="A2659" s="307"/>
      <c r="B2659" s="307"/>
    </row>
    <row r="2660" spans="1:2" x14ac:dyDescent="0.25">
      <c r="A2660" s="307"/>
      <c r="B2660" s="307"/>
    </row>
    <row r="2661" spans="1:2" x14ac:dyDescent="0.25">
      <c r="A2661" s="307"/>
      <c r="B2661" s="307"/>
    </row>
    <row r="2662" spans="1:2" x14ac:dyDescent="0.25">
      <c r="A2662" s="307"/>
      <c r="B2662" s="307"/>
    </row>
    <row r="2663" spans="1:2" x14ac:dyDescent="0.25">
      <c r="A2663" s="307"/>
      <c r="B2663" s="307"/>
    </row>
    <row r="2664" spans="1:2" x14ac:dyDescent="0.25">
      <c r="A2664" s="307"/>
      <c r="B2664" s="307"/>
    </row>
    <row r="2665" spans="1:2" x14ac:dyDescent="0.25">
      <c r="A2665" s="307"/>
      <c r="B2665" s="307"/>
    </row>
    <row r="2666" spans="1:2" x14ac:dyDescent="0.25">
      <c r="A2666" s="307"/>
      <c r="B2666" s="307"/>
    </row>
    <row r="2667" spans="1:2" x14ac:dyDescent="0.25">
      <c r="A2667" s="307"/>
      <c r="B2667" s="307"/>
    </row>
    <row r="2668" spans="1:2" x14ac:dyDescent="0.25">
      <c r="A2668" s="307"/>
      <c r="B2668" s="307"/>
    </row>
    <row r="2669" spans="1:2" x14ac:dyDescent="0.25">
      <c r="A2669" s="307"/>
      <c r="B2669" s="307"/>
    </row>
    <row r="2670" spans="1:2" x14ac:dyDescent="0.25">
      <c r="A2670" s="307"/>
      <c r="B2670" s="307"/>
    </row>
    <row r="2671" spans="1:2" x14ac:dyDescent="0.25">
      <c r="A2671" s="307"/>
      <c r="B2671" s="307"/>
    </row>
    <row r="2672" spans="1:2" x14ac:dyDescent="0.25">
      <c r="A2672" s="307"/>
      <c r="B2672" s="307"/>
    </row>
    <row r="2673" spans="1:2" x14ac:dyDescent="0.25">
      <c r="A2673" s="307"/>
      <c r="B2673" s="307"/>
    </row>
    <row r="2674" spans="1:2" x14ac:dyDescent="0.25">
      <c r="A2674" s="307"/>
      <c r="B2674" s="307"/>
    </row>
    <row r="2675" spans="1:2" x14ac:dyDescent="0.25">
      <c r="A2675" s="307"/>
      <c r="B2675" s="307"/>
    </row>
    <row r="2676" spans="1:2" x14ac:dyDescent="0.25">
      <c r="A2676" s="307"/>
      <c r="B2676" s="307"/>
    </row>
    <row r="2677" spans="1:2" x14ac:dyDescent="0.25">
      <c r="A2677" s="307"/>
      <c r="B2677" s="307"/>
    </row>
    <row r="2678" spans="1:2" x14ac:dyDescent="0.25">
      <c r="A2678" s="307"/>
      <c r="B2678" s="307"/>
    </row>
    <row r="2679" spans="1:2" x14ac:dyDescent="0.25">
      <c r="A2679" s="307"/>
      <c r="B2679" s="307"/>
    </row>
    <row r="2680" spans="1:2" x14ac:dyDescent="0.25">
      <c r="A2680" s="307"/>
      <c r="B2680" s="307"/>
    </row>
    <row r="2681" spans="1:2" x14ac:dyDescent="0.25">
      <c r="A2681" s="307"/>
      <c r="B2681" s="307"/>
    </row>
    <row r="2682" spans="1:2" x14ac:dyDescent="0.25">
      <c r="A2682" s="307"/>
      <c r="B2682" s="307"/>
    </row>
    <row r="2683" spans="1:2" x14ac:dyDescent="0.25">
      <c r="A2683" s="307"/>
      <c r="B2683" s="307"/>
    </row>
    <row r="2684" spans="1:2" x14ac:dyDescent="0.25">
      <c r="A2684" s="307"/>
      <c r="B2684" s="307"/>
    </row>
    <row r="2685" spans="1:2" x14ac:dyDescent="0.25">
      <c r="A2685" s="307"/>
      <c r="B2685" s="307"/>
    </row>
    <row r="2686" spans="1:2" x14ac:dyDescent="0.25">
      <c r="A2686" s="307"/>
      <c r="B2686" s="307"/>
    </row>
    <row r="2687" spans="1:2" x14ac:dyDescent="0.25">
      <c r="A2687" s="307"/>
      <c r="B2687" s="307"/>
    </row>
    <row r="2688" spans="1:2" x14ac:dyDescent="0.25">
      <c r="A2688" s="307"/>
      <c r="B2688" s="307"/>
    </row>
    <row r="2689" spans="1:2" x14ac:dyDescent="0.25">
      <c r="A2689" s="307"/>
      <c r="B2689" s="307"/>
    </row>
    <row r="2690" spans="1:2" x14ac:dyDescent="0.25">
      <c r="A2690" s="307"/>
      <c r="B2690" s="307"/>
    </row>
    <row r="2691" spans="1:2" x14ac:dyDescent="0.25">
      <c r="A2691" s="307"/>
      <c r="B2691" s="307"/>
    </row>
    <row r="2692" spans="1:2" x14ac:dyDescent="0.25">
      <c r="A2692" s="307"/>
      <c r="B2692" s="307"/>
    </row>
    <row r="2693" spans="1:2" x14ac:dyDescent="0.25">
      <c r="A2693" s="307"/>
      <c r="B2693" s="307"/>
    </row>
    <row r="2694" spans="1:2" x14ac:dyDescent="0.25">
      <c r="A2694" s="307"/>
      <c r="B2694" s="307"/>
    </row>
    <row r="2695" spans="1:2" x14ac:dyDescent="0.25">
      <c r="A2695" s="307"/>
      <c r="B2695" s="307"/>
    </row>
    <row r="2696" spans="1:2" x14ac:dyDescent="0.25">
      <c r="A2696" s="307"/>
      <c r="B2696" s="307"/>
    </row>
    <row r="2697" spans="1:2" x14ac:dyDescent="0.25">
      <c r="A2697" s="307"/>
      <c r="B2697" s="307"/>
    </row>
    <row r="2698" spans="1:2" x14ac:dyDescent="0.25">
      <c r="A2698" s="307"/>
      <c r="B2698" s="307"/>
    </row>
    <row r="2699" spans="1:2" x14ac:dyDescent="0.25">
      <c r="A2699" s="307"/>
      <c r="B2699" s="307"/>
    </row>
    <row r="2700" spans="1:2" x14ac:dyDescent="0.25">
      <c r="A2700" s="307"/>
      <c r="B2700" s="307"/>
    </row>
    <row r="2701" spans="1:2" x14ac:dyDescent="0.25">
      <c r="A2701" s="307"/>
      <c r="B2701" s="307"/>
    </row>
    <row r="2702" spans="1:2" x14ac:dyDescent="0.25">
      <c r="A2702" s="307"/>
      <c r="B2702" s="307"/>
    </row>
    <row r="2703" spans="1:2" x14ac:dyDescent="0.25">
      <c r="A2703" s="307"/>
      <c r="B2703" s="307"/>
    </row>
    <row r="2704" spans="1:2" x14ac:dyDescent="0.25">
      <c r="A2704" s="307"/>
      <c r="B2704" s="307"/>
    </row>
    <row r="2705" spans="1:2" x14ac:dyDescent="0.25">
      <c r="A2705" s="307"/>
      <c r="B2705" s="307"/>
    </row>
    <row r="2706" spans="1:2" x14ac:dyDescent="0.25">
      <c r="A2706" s="307"/>
      <c r="B2706" s="307"/>
    </row>
    <row r="2707" spans="1:2" x14ac:dyDescent="0.25">
      <c r="A2707" s="307"/>
      <c r="B2707" s="307"/>
    </row>
    <row r="2708" spans="1:2" x14ac:dyDescent="0.25">
      <c r="A2708" s="307"/>
      <c r="B2708" s="307"/>
    </row>
    <row r="2709" spans="1:2" x14ac:dyDescent="0.25">
      <c r="A2709" s="307"/>
      <c r="B2709" s="307"/>
    </row>
    <row r="2710" spans="1:2" x14ac:dyDescent="0.25">
      <c r="A2710" s="307"/>
      <c r="B2710" s="307"/>
    </row>
    <row r="2711" spans="1:2" x14ac:dyDescent="0.25">
      <c r="A2711" s="307"/>
      <c r="B2711" s="307"/>
    </row>
    <row r="2712" spans="1:2" x14ac:dyDescent="0.25">
      <c r="A2712" s="307"/>
      <c r="B2712" s="307"/>
    </row>
    <row r="2713" spans="1:2" x14ac:dyDescent="0.25">
      <c r="A2713" s="307"/>
      <c r="B2713" s="307"/>
    </row>
    <row r="2714" spans="1:2" x14ac:dyDescent="0.25">
      <c r="A2714" s="307"/>
      <c r="B2714" s="307"/>
    </row>
    <row r="2715" spans="1:2" x14ac:dyDescent="0.25">
      <c r="A2715" s="307"/>
      <c r="B2715" s="307"/>
    </row>
    <row r="2716" spans="1:2" x14ac:dyDescent="0.25">
      <c r="A2716" s="307"/>
      <c r="B2716" s="307"/>
    </row>
    <row r="2717" spans="1:2" x14ac:dyDescent="0.25">
      <c r="A2717" s="307"/>
      <c r="B2717" s="307"/>
    </row>
    <row r="2718" spans="1:2" x14ac:dyDescent="0.25">
      <c r="A2718" s="307"/>
      <c r="B2718" s="307"/>
    </row>
    <row r="2719" spans="1:2" x14ac:dyDescent="0.25">
      <c r="A2719" s="307"/>
      <c r="B2719" s="307"/>
    </row>
    <row r="2720" spans="1:2" x14ac:dyDescent="0.25">
      <c r="A2720" s="307"/>
      <c r="B2720" s="307"/>
    </row>
    <row r="2721" spans="1:2" x14ac:dyDescent="0.25">
      <c r="A2721" s="307"/>
      <c r="B2721" s="307"/>
    </row>
    <row r="2722" spans="1:2" x14ac:dyDescent="0.25">
      <c r="A2722" s="307"/>
      <c r="B2722" s="307"/>
    </row>
    <row r="2723" spans="1:2" x14ac:dyDescent="0.25">
      <c r="A2723" s="307"/>
      <c r="B2723" s="307"/>
    </row>
    <row r="2724" spans="1:2" x14ac:dyDescent="0.25">
      <c r="A2724" s="307"/>
      <c r="B2724" s="307"/>
    </row>
    <row r="2725" spans="1:2" x14ac:dyDescent="0.25">
      <c r="A2725" s="307"/>
      <c r="B2725" s="307"/>
    </row>
    <row r="2726" spans="1:2" x14ac:dyDescent="0.25">
      <c r="A2726" s="307"/>
      <c r="B2726" s="307"/>
    </row>
    <row r="2727" spans="1:2" x14ac:dyDescent="0.25">
      <c r="A2727" s="307"/>
      <c r="B2727" s="307"/>
    </row>
    <row r="2728" spans="1:2" x14ac:dyDescent="0.25">
      <c r="A2728" s="307"/>
      <c r="B2728" s="307"/>
    </row>
    <row r="2729" spans="1:2" x14ac:dyDescent="0.25">
      <c r="A2729" s="307"/>
      <c r="B2729" s="307"/>
    </row>
    <row r="2730" spans="1:2" x14ac:dyDescent="0.25">
      <c r="A2730" s="307"/>
      <c r="B2730" s="307"/>
    </row>
    <row r="2731" spans="1:2" x14ac:dyDescent="0.25">
      <c r="A2731" s="307"/>
      <c r="B2731" s="307"/>
    </row>
    <row r="2732" spans="1:2" x14ac:dyDescent="0.25">
      <c r="A2732" s="307"/>
      <c r="B2732" s="307"/>
    </row>
    <row r="2733" spans="1:2" x14ac:dyDescent="0.25">
      <c r="A2733" s="307"/>
      <c r="B2733" s="307"/>
    </row>
    <row r="2734" spans="1:2" x14ac:dyDescent="0.25">
      <c r="A2734" s="307"/>
      <c r="B2734" s="307"/>
    </row>
    <row r="2735" spans="1:2" x14ac:dyDescent="0.25">
      <c r="A2735" s="307"/>
      <c r="B2735" s="307"/>
    </row>
    <row r="2736" spans="1:2" x14ac:dyDescent="0.25">
      <c r="A2736" s="307"/>
      <c r="B2736" s="307"/>
    </row>
    <row r="2737" spans="1:2" x14ac:dyDescent="0.25">
      <c r="A2737" s="307"/>
      <c r="B2737" s="307"/>
    </row>
    <row r="2738" spans="1:2" x14ac:dyDescent="0.25">
      <c r="A2738" s="307"/>
      <c r="B2738" s="307"/>
    </row>
    <row r="2739" spans="1:2" x14ac:dyDescent="0.25">
      <c r="A2739" s="307"/>
      <c r="B2739" s="307"/>
    </row>
    <row r="2740" spans="1:2" x14ac:dyDescent="0.25">
      <c r="A2740" s="307"/>
      <c r="B2740" s="307"/>
    </row>
    <row r="2741" spans="1:2" x14ac:dyDescent="0.25">
      <c r="A2741" s="307"/>
      <c r="B2741" s="307"/>
    </row>
    <row r="2742" spans="1:2" x14ac:dyDescent="0.25">
      <c r="A2742" s="307"/>
      <c r="B2742" s="307"/>
    </row>
    <row r="2743" spans="1:2" x14ac:dyDescent="0.25">
      <c r="A2743" s="307"/>
      <c r="B2743" s="307"/>
    </row>
    <row r="2744" spans="1:2" x14ac:dyDescent="0.25">
      <c r="A2744" s="307"/>
      <c r="B2744" s="307"/>
    </row>
    <row r="2745" spans="1:2" x14ac:dyDescent="0.25">
      <c r="A2745" s="307"/>
      <c r="B2745" s="307"/>
    </row>
    <row r="2746" spans="1:2" x14ac:dyDescent="0.25">
      <c r="A2746" s="307"/>
      <c r="B2746" s="307"/>
    </row>
    <row r="2747" spans="1:2" x14ac:dyDescent="0.25">
      <c r="A2747" s="307"/>
      <c r="B2747" s="307"/>
    </row>
    <row r="2748" spans="1:2" x14ac:dyDescent="0.25">
      <c r="A2748" s="307"/>
      <c r="B2748" s="307"/>
    </row>
    <row r="2749" spans="1:2" x14ac:dyDescent="0.25">
      <c r="A2749" s="307"/>
      <c r="B2749" s="307"/>
    </row>
    <row r="2750" spans="1:2" x14ac:dyDescent="0.25">
      <c r="A2750" s="307"/>
      <c r="B2750" s="307"/>
    </row>
    <row r="2751" spans="1:2" x14ac:dyDescent="0.25">
      <c r="A2751" s="307"/>
      <c r="B2751" s="307"/>
    </row>
    <row r="2752" spans="1:2" x14ac:dyDescent="0.25">
      <c r="A2752" s="307"/>
      <c r="B2752" s="307"/>
    </row>
    <row r="2753" spans="1:2" x14ac:dyDescent="0.25">
      <c r="A2753" s="307"/>
      <c r="B2753" s="307"/>
    </row>
    <row r="2754" spans="1:2" x14ac:dyDescent="0.25">
      <c r="A2754" s="307"/>
      <c r="B2754" s="307"/>
    </row>
    <row r="2755" spans="1:2" x14ac:dyDescent="0.25">
      <c r="A2755" s="307"/>
      <c r="B2755" s="307"/>
    </row>
    <row r="2756" spans="1:2" x14ac:dyDescent="0.25">
      <c r="A2756" s="307"/>
      <c r="B2756" s="307"/>
    </row>
    <row r="2757" spans="1:2" x14ac:dyDescent="0.25">
      <c r="A2757" s="307"/>
      <c r="B2757" s="307"/>
    </row>
    <row r="2758" spans="1:2" x14ac:dyDescent="0.25">
      <c r="A2758" s="307"/>
      <c r="B2758" s="307"/>
    </row>
    <row r="2759" spans="1:2" x14ac:dyDescent="0.25">
      <c r="A2759" s="307"/>
      <c r="B2759" s="307"/>
    </row>
    <row r="2760" spans="1:2" x14ac:dyDescent="0.25">
      <c r="A2760" s="307"/>
      <c r="B2760" s="307"/>
    </row>
    <row r="2761" spans="1:2" x14ac:dyDescent="0.25">
      <c r="A2761" s="307"/>
      <c r="B2761" s="307"/>
    </row>
    <row r="2762" spans="1:2" x14ac:dyDescent="0.25">
      <c r="A2762" s="307"/>
      <c r="B2762" s="307"/>
    </row>
    <row r="2763" spans="1:2" x14ac:dyDescent="0.25">
      <c r="A2763" s="307"/>
      <c r="B2763" s="307"/>
    </row>
    <row r="2764" spans="1:2" x14ac:dyDescent="0.25">
      <c r="A2764" s="307"/>
      <c r="B2764" s="307"/>
    </row>
    <row r="2765" spans="1:2" x14ac:dyDescent="0.25">
      <c r="A2765" s="307"/>
      <c r="B2765" s="307"/>
    </row>
    <row r="2766" spans="1:2" x14ac:dyDescent="0.25">
      <c r="A2766" s="307"/>
      <c r="B2766" s="307"/>
    </row>
    <row r="2767" spans="1:2" x14ac:dyDescent="0.25">
      <c r="A2767" s="307"/>
      <c r="B2767" s="307"/>
    </row>
    <row r="2768" spans="1:2" x14ac:dyDescent="0.25">
      <c r="A2768" s="307"/>
      <c r="B2768" s="307"/>
    </row>
    <row r="2769" spans="1:2" x14ac:dyDescent="0.25">
      <c r="A2769" s="307"/>
      <c r="B2769" s="307"/>
    </row>
    <row r="2770" spans="1:2" x14ac:dyDescent="0.25">
      <c r="A2770" s="307"/>
      <c r="B2770" s="307"/>
    </row>
    <row r="2771" spans="1:2" x14ac:dyDescent="0.25">
      <c r="A2771" s="307"/>
      <c r="B2771" s="307"/>
    </row>
    <row r="2772" spans="1:2" x14ac:dyDescent="0.25">
      <c r="A2772" s="307"/>
      <c r="B2772" s="307"/>
    </row>
    <row r="2773" spans="1:2" x14ac:dyDescent="0.25">
      <c r="A2773" s="307"/>
      <c r="B2773" s="307"/>
    </row>
    <row r="2774" spans="1:2" x14ac:dyDescent="0.25">
      <c r="A2774" s="307"/>
      <c r="B2774" s="307"/>
    </row>
    <row r="2775" spans="1:2" x14ac:dyDescent="0.25">
      <c r="A2775" s="307"/>
      <c r="B2775" s="307"/>
    </row>
    <row r="2776" spans="1:2" x14ac:dyDescent="0.25">
      <c r="A2776" s="307"/>
      <c r="B2776" s="307"/>
    </row>
    <row r="2777" spans="1:2" x14ac:dyDescent="0.25">
      <c r="A2777" s="307"/>
      <c r="B2777" s="307"/>
    </row>
    <row r="2778" spans="1:2" x14ac:dyDescent="0.25">
      <c r="A2778" s="307"/>
      <c r="B2778" s="307"/>
    </row>
    <row r="2779" spans="1:2" x14ac:dyDescent="0.25">
      <c r="A2779" s="307"/>
      <c r="B2779" s="307"/>
    </row>
    <row r="2780" spans="1:2" x14ac:dyDescent="0.25">
      <c r="A2780" s="307"/>
      <c r="B2780" s="307"/>
    </row>
    <row r="2781" spans="1:2" x14ac:dyDescent="0.25">
      <c r="A2781" s="307"/>
      <c r="B2781" s="307"/>
    </row>
    <row r="2782" spans="1:2" x14ac:dyDescent="0.25">
      <c r="A2782" s="307"/>
      <c r="B2782" s="307"/>
    </row>
    <row r="2783" spans="1:2" x14ac:dyDescent="0.25">
      <c r="A2783" s="307"/>
      <c r="B2783" s="307"/>
    </row>
    <row r="2784" spans="1:2" x14ac:dyDescent="0.25">
      <c r="A2784" s="307"/>
      <c r="B2784" s="307"/>
    </row>
    <row r="2785" spans="1:2" x14ac:dyDescent="0.25">
      <c r="A2785" s="307"/>
      <c r="B2785" s="307"/>
    </row>
    <row r="2786" spans="1:2" x14ac:dyDescent="0.25">
      <c r="A2786" s="307"/>
      <c r="B2786" s="307"/>
    </row>
    <row r="2787" spans="1:2" x14ac:dyDescent="0.25">
      <c r="A2787" s="307"/>
      <c r="B2787" s="307"/>
    </row>
    <row r="2788" spans="1:2" x14ac:dyDescent="0.25">
      <c r="A2788" s="307"/>
      <c r="B2788" s="307"/>
    </row>
    <row r="2789" spans="1:2" x14ac:dyDescent="0.25">
      <c r="A2789" s="307"/>
      <c r="B2789" s="307"/>
    </row>
    <row r="2790" spans="1:2" x14ac:dyDescent="0.25">
      <c r="A2790" s="307"/>
      <c r="B2790" s="307"/>
    </row>
    <row r="2791" spans="1:2" x14ac:dyDescent="0.25">
      <c r="A2791" s="307"/>
      <c r="B2791" s="307"/>
    </row>
    <row r="2792" spans="1:2" x14ac:dyDescent="0.25">
      <c r="A2792" s="307"/>
      <c r="B2792" s="307"/>
    </row>
    <row r="2793" spans="1:2" x14ac:dyDescent="0.25">
      <c r="A2793" s="307"/>
      <c r="B2793" s="307"/>
    </row>
    <row r="2794" spans="1:2" x14ac:dyDescent="0.25">
      <c r="A2794" s="307"/>
      <c r="B2794" s="307"/>
    </row>
    <row r="2795" spans="1:2" x14ac:dyDescent="0.25">
      <c r="A2795" s="307"/>
      <c r="B2795" s="307"/>
    </row>
    <row r="2796" spans="1:2" x14ac:dyDescent="0.25">
      <c r="A2796" s="307"/>
      <c r="B2796" s="307"/>
    </row>
    <row r="2797" spans="1:2" x14ac:dyDescent="0.25">
      <c r="A2797" s="307"/>
      <c r="B2797" s="307"/>
    </row>
    <row r="2798" spans="1:2" x14ac:dyDescent="0.25">
      <c r="A2798" s="307"/>
      <c r="B2798" s="307"/>
    </row>
    <row r="2799" spans="1:2" x14ac:dyDescent="0.25">
      <c r="A2799" s="307"/>
      <c r="B2799" s="307"/>
    </row>
    <row r="2800" spans="1:2" x14ac:dyDescent="0.25">
      <c r="A2800" s="307"/>
      <c r="B2800" s="307"/>
    </row>
    <row r="2801" spans="1:2" x14ac:dyDescent="0.25">
      <c r="A2801" s="307"/>
      <c r="B2801" s="307"/>
    </row>
    <row r="2802" spans="1:2" x14ac:dyDescent="0.25">
      <c r="A2802" s="307"/>
      <c r="B2802" s="307"/>
    </row>
    <row r="2803" spans="1:2" x14ac:dyDescent="0.25">
      <c r="A2803" s="307"/>
      <c r="B2803" s="307"/>
    </row>
    <row r="2804" spans="1:2" x14ac:dyDescent="0.25">
      <c r="A2804" s="307"/>
      <c r="B2804" s="307"/>
    </row>
    <row r="2805" spans="1:2" x14ac:dyDescent="0.25">
      <c r="A2805" s="307"/>
      <c r="B2805" s="307"/>
    </row>
    <row r="2806" spans="1:2" x14ac:dyDescent="0.25">
      <c r="A2806" s="307"/>
      <c r="B2806" s="307"/>
    </row>
    <row r="2807" spans="1:2" x14ac:dyDescent="0.25">
      <c r="A2807" s="307"/>
      <c r="B2807" s="307"/>
    </row>
    <row r="2808" spans="1:2" x14ac:dyDescent="0.25">
      <c r="A2808" s="307"/>
      <c r="B2808" s="307"/>
    </row>
    <row r="2809" spans="1:2" x14ac:dyDescent="0.25">
      <c r="A2809" s="307"/>
      <c r="B2809" s="307"/>
    </row>
    <row r="2810" spans="1:2" x14ac:dyDescent="0.25">
      <c r="A2810" s="307"/>
      <c r="B2810" s="307"/>
    </row>
    <row r="2811" spans="1:2" x14ac:dyDescent="0.25">
      <c r="A2811" s="307"/>
      <c r="B2811" s="307"/>
    </row>
    <row r="2812" spans="1:2" x14ac:dyDescent="0.25">
      <c r="A2812" s="307"/>
      <c r="B2812" s="307"/>
    </row>
    <row r="2813" spans="1:2" x14ac:dyDescent="0.25">
      <c r="A2813" s="307"/>
      <c r="B2813" s="307"/>
    </row>
    <row r="2814" spans="1:2" x14ac:dyDescent="0.25">
      <c r="A2814" s="307"/>
      <c r="B2814" s="307"/>
    </row>
    <row r="2815" spans="1:2" x14ac:dyDescent="0.25">
      <c r="A2815" s="307"/>
      <c r="B2815" s="307"/>
    </row>
    <row r="2816" spans="1:2" x14ac:dyDescent="0.25">
      <c r="A2816" s="307"/>
      <c r="B2816" s="307"/>
    </row>
    <row r="2817" spans="1:2" x14ac:dyDescent="0.25">
      <c r="A2817" s="307"/>
      <c r="B2817" s="307"/>
    </row>
    <row r="2818" spans="1:2" x14ac:dyDescent="0.25">
      <c r="A2818" s="307"/>
      <c r="B2818" s="307"/>
    </row>
    <row r="2819" spans="1:2" x14ac:dyDescent="0.25">
      <c r="A2819" s="307"/>
      <c r="B2819" s="307"/>
    </row>
    <row r="2820" spans="1:2" x14ac:dyDescent="0.25">
      <c r="A2820" s="307"/>
      <c r="B2820" s="307"/>
    </row>
    <row r="2821" spans="1:2" x14ac:dyDescent="0.25">
      <c r="A2821" s="307"/>
      <c r="B2821" s="307"/>
    </row>
    <row r="2822" spans="1:2" x14ac:dyDescent="0.25">
      <c r="A2822" s="307"/>
      <c r="B2822" s="307"/>
    </row>
    <row r="2823" spans="1:2" x14ac:dyDescent="0.25">
      <c r="A2823" s="307"/>
      <c r="B2823" s="307"/>
    </row>
    <row r="2824" spans="1:2" x14ac:dyDescent="0.25">
      <c r="A2824" s="307"/>
      <c r="B2824" s="307"/>
    </row>
    <row r="2825" spans="1:2" x14ac:dyDescent="0.25">
      <c r="A2825" s="307"/>
      <c r="B2825" s="307"/>
    </row>
    <row r="2826" spans="1:2" x14ac:dyDescent="0.25">
      <c r="A2826" s="307"/>
      <c r="B2826" s="307"/>
    </row>
    <row r="2827" spans="1:2" x14ac:dyDescent="0.25">
      <c r="A2827" s="307"/>
      <c r="B2827" s="307"/>
    </row>
    <row r="2828" spans="1:2" x14ac:dyDescent="0.25">
      <c r="A2828" s="307"/>
      <c r="B2828" s="307"/>
    </row>
    <row r="2829" spans="1:2" x14ac:dyDescent="0.25">
      <c r="A2829" s="307"/>
      <c r="B2829" s="307"/>
    </row>
    <row r="2830" spans="1:2" x14ac:dyDescent="0.25">
      <c r="A2830" s="307"/>
      <c r="B2830" s="307"/>
    </row>
    <row r="2831" spans="1:2" x14ac:dyDescent="0.25">
      <c r="A2831" s="307"/>
      <c r="B2831" s="307"/>
    </row>
    <row r="2832" spans="1:2" x14ac:dyDescent="0.25">
      <c r="A2832" s="307"/>
      <c r="B2832" s="307"/>
    </row>
    <row r="2833" spans="1:2" x14ac:dyDescent="0.25">
      <c r="A2833" s="307"/>
      <c r="B2833" s="307"/>
    </row>
    <row r="2834" spans="1:2" x14ac:dyDescent="0.25">
      <c r="A2834" s="307"/>
      <c r="B2834" s="307"/>
    </row>
    <row r="2835" spans="1:2" x14ac:dyDescent="0.25">
      <c r="A2835" s="307"/>
      <c r="B2835" s="307"/>
    </row>
    <row r="2836" spans="1:2" x14ac:dyDescent="0.25">
      <c r="A2836" s="307"/>
      <c r="B2836" s="307"/>
    </row>
    <row r="2837" spans="1:2" x14ac:dyDescent="0.25">
      <c r="A2837" s="307"/>
      <c r="B2837" s="307"/>
    </row>
    <row r="2838" spans="1:2" x14ac:dyDescent="0.25">
      <c r="A2838" s="307"/>
      <c r="B2838" s="307"/>
    </row>
    <row r="2839" spans="1:2" x14ac:dyDescent="0.25">
      <c r="A2839" s="307"/>
      <c r="B2839" s="307"/>
    </row>
    <row r="2840" spans="1:2" x14ac:dyDescent="0.25">
      <c r="A2840" s="307"/>
      <c r="B2840" s="307"/>
    </row>
    <row r="2841" spans="1:2" x14ac:dyDescent="0.25">
      <c r="A2841" s="307"/>
      <c r="B2841" s="307"/>
    </row>
    <row r="2842" spans="1:2" x14ac:dyDescent="0.25">
      <c r="A2842" s="307"/>
      <c r="B2842" s="307"/>
    </row>
    <row r="2843" spans="1:2" x14ac:dyDescent="0.25">
      <c r="A2843" s="307"/>
      <c r="B2843" s="307"/>
    </row>
    <row r="2844" spans="1:2" x14ac:dyDescent="0.25">
      <c r="A2844" s="307"/>
      <c r="B2844" s="307"/>
    </row>
    <row r="2845" spans="1:2" x14ac:dyDescent="0.25">
      <c r="A2845" s="307"/>
      <c r="B2845" s="307"/>
    </row>
    <row r="2846" spans="1:2" x14ac:dyDescent="0.25">
      <c r="A2846" s="307"/>
      <c r="B2846" s="307"/>
    </row>
    <row r="2847" spans="1:2" x14ac:dyDescent="0.25">
      <c r="A2847" s="307"/>
      <c r="B2847" s="307"/>
    </row>
    <row r="2848" spans="1:2" x14ac:dyDescent="0.25">
      <c r="A2848" s="307"/>
      <c r="B2848" s="307"/>
    </row>
    <row r="2849" spans="1:2" x14ac:dyDescent="0.25">
      <c r="A2849" s="307"/>
      <c r="B2849" s="307"/>
    </row>
    <row r="2850" spans="1:2" x14ac:dyDescent="0.25">
      <c r="A2850" s="307"/>
      <c r="B2850" s="307"/>
    </row>
    <row r="2851" spans="1:2" x14ac:dyDescent="0.25">
      <c r="A2851" s="307"/>
      <c r="B2851" s="307"/>
    </row>
    <row r="2852" spans="1:2" x14ac:dyDescent="0.25">
      <c r="A2852" s="307"/>
      <c r="B2852" s="307"/>
    </row>
    <row r="2853" spans="1:2" x14ac:dyDescent="0.25">
      <c r="A2853" s="307"/>
      <c r="B2853" s="307"/>
    </row>
    <row r="2854" spans="1:2" x14ac:dyDescent="0.25">
      <c r="A2854" s="307"/>
      <c r="B2854" s="307"/>
    </row>
    <row r="2855" spans="1:2" x14ac:dyDescent="0.25">
      <c r="A2855" s="307"/>
      <c r="B2855" s="307"/>
    </row>
    <row r="2856" spans="1:2" x14ac:dyDescent="0.25">
      <c r="A2856" s="307"/>
      <c r="B2856" s="307"/>
    </row>
    <row r="2857" spans="1:2" x14ac:dyDescent="0.25">
      <c r="A2857" s="307"/>
      <c r="B2857" s="307"/>
    </row>
    <row r="2858" spans="1:2" x14ac:dyDescent="0.25">
      <c r="A2858" s="307"/>
      <c r="B2858" s="307"/>
    </row>
    <row r="2859" spans="1:2" x14ac:dyDescent="0.25">
      <c r="A2859" s="307"/>
      <c r="B2859" s="307"/>
    </row>
    <row r="2860" spans="1:2" x14ac:dyDescent="0.25">
      <c r="A2860" s="307"/>
      <c r="B2860" s="307"/>
    </row>
    <row r="2861" spans="1:2" x14ac:dyDescent="0.25">
      <c r="A2861" s="307"/>
      <c r="B2861" s="307"/>
    </row>
    <row r="2862" spans="1:2" x14ac:dyDescent="0.25">
      <c r="A2862" s="307"/>
      <c r="B2862" s="307"/>
    </row>
    <row r="2863" spans="1:2" x14ac:dyDescent="0.25">
      <c r="A2863" s="307"/>
      <c r="B2863" s="307"/>
    </row>
    <row r="2864" spans="1:2" x14ac:dyDescent="0.25">
      <c r="A2864" s="307"/>
      <c r="B2864" s="307"/>
    </row>
    <row r="2865" spans="1:2" x14ac:dyDescent="0.25">
      <c r="A2865" s="307"/>
      <c r="B2865" s="307"/>
    </row>
    <row r="2866" spans="1:2" x14ac:dyDescent="0.25">
      <c r="A2866" s="307"/>
      <c r="B2866" s="307"/>
    </row>
    <row r="2867" spans="1:2" x14ac:dyDescent="0.25">
      <c r="A2867" s="307"/>
      <c r="B2867" s="307"/>
    </row>
    <row r="2868" spans="1:2" x14ac:dyDescent="0.25">
      <c r="A2868" s="307"/>
      <c r="B2868" s="307"/>
    </row>
    <row r="2869" spans="1:2" x14ac:dyDescent="0.25">
      <c r="A2869" s="307"/>
      <c r="B2869" s="307"/>
    </row>
    <row r="2870" spans="1:2" x14ac:dyDescent="0.25">
      <c r="A2870" s="307"/>
      <c r="B2870" s="307"/>
    </row>
    <row r="2871" spans="1:2" x14ac:dyDescent="0.25">
      <c r="A2871" s="307"/>
      <c r="B2871" s="307"/>
    </row>
    <row r="2872" spans="1:2" x14ac:dyDescent="0.25">
      <c r="A2872" s="307"/>
      <c r="B2872" s="307"/>
    </row>
    <row r="2873" spans="1:2" x14ac:dyDescent="0.25">
      <c r="A2873" s="307"/>
      <c r="B2873" s="307"/>
    </row>
    <row r="2874" spans="1:2" x14ac:dyDescent="0.25">
      <c r="A2874" s="307"/>
      <c r="B2874" s="307"/>
    </row>
    <row r="2875" spans="1:2" x14ac:dyDescent="0.25">
      <c r="A2875" s="307"/>
      <c r="B2875" s="307"/>
    </row>
    <row r="2876" spans="1:2" x14ac:dyDescent="0.25">
      <c r="A2876" s="307"/>
      <c r="B2876" s="307"/>
    </row>
    <row r="2877" spans="1:2" x14ac:dyDescent="0.25">
      <c r="A2877" s="307"/>
      <c r="B2877" s="307"/>
    </row>
    <row r="2878" spans="1:2" x14ac:dyDescent="0.25">
      <c r="A2878" s="307"/>
      <c r="B2878" s="307"/>
    </row>
    <row r="2879" spans="1:2" x14ac:dyDescent="0.25">
      <c r="A2879" s="307"/>
      <c r="B2879" s="307"/>
    </row>
    <row r="2880" spans="1:2" x14ac:dyDescent="0.25">
      <c r="A2880" s="307"/>
      <c r="B2880" s="307"/>
    </row>
    <row r="2881" spans="1:2" x14ac:dyDescent="0.25">
      <c r="A2881" s="307"/>
      <c r="B2881" s="307"/>
    </row>
    <row r="2882" spans="1:2" x14ac:dyDescent="0.25">
      <c r="A2882" s="307"/>
      <c r="B2882" s="307"/>
    </row>
    <row r="2883" spans="1:2" x14ac:dyDescent="0.25">
      <c r="A2883" s="307"/>
      <c r="B2883" s="307"/>
    </row>
    <row r="2884" spans="1:2" x14ac:dyDescent="0.25">
      <c r="A2884" s="307"/>
      <c r="B2884" s="307"/>
    </row>
    <row r="2885" spans="1:2" x14ac:dyDescent="0.25">
      <c r="A2885" s="307"/>
      <c r="B2885" s="307"/>
    </row>
    <row r="2886" spans="1:2" x14ac:dyDescent="0.25">
      <c r="A2886" s="307"/>
      <c r="B2886" s="307"/>
    </row>
    <row r="2887" spans="1:2" x14ac:dyDescent="0.25">
      <c r="A2887" s="307"/>
      <c r="B2887" s="307"/>
    </row>
    <row r="2888" spans="1:2" x14ac:dyDescent="0.25">
      <c r="A2888" s="307"/>
      <c r="B2888" s="307"/>
    </row>
    <row r="2889" spans="1:2" x14ac:dyDescent="0.25">
      <c r="A2889" s="307"/>
      <c r="B2889" s="307"/>
    </row>
    <row r="2890" spans="1:2" x14ac:dyDescent="0.25">
      <c r="A2890" s="307"/>
      <c r="B2890" s="307"/>
    </row>
    <row r="2891" spans="1:2" x14ac:dyDescent="0.25">
      <c r="A2891" s="307"/>
      <c r="B2891" s="307"/>
    </row>
    <row r="2892" spans="1:2" x14ac:dyDescent="0.25">
      <c r="A2892" s="307"/>
      <c r="B2892" s="307"/>
    </row>
    <row r="2893" spans="1:2" x14ac:dyDescent="0.25">
      <c r="A2893" s="307"/>
      <c r="B2893" s="307"/>
    </row>
    <row r="2894" spans="1:2" x14ac:dyDescent="0.25">
      <c r="A2894" s="307"/>
      <c r="B2894" s="307"/>
    </row>
    <row r="2895" spans="1:2" x14ac:dyDescent="0.25">
      <c r="A2895" s="307"/>
      <c r="B2895" s="307"/>
    </row>
    <row r="2896" spans="1:2" x14ac:dyDescent="0.25">
      <c r="A2896" s="307"/>
      <c r="B2896" s="307"/>
    </row>
    <row r="2897" spans="1:2" x14ac:dyDescent="0.25">
      <c r="A2897" s="307"/>
      <c r="B2897" s="307"/>
    </row>
    <row r="2898" spans="1:2" x14ac:dyDescent="0.25">
      <c r="A2898" s="307"/>
      <c r="B2898" s="307"/>
    </row>
    <row r="2899" spans="1:2" x14ac:dyDescent="0.25">
      <c r="A2899" s="307"/>
      <c r="B2899" s="307"/>
    </row>
    <row r="2900" spans="1:2" x14ac:dyDescent="0.25">
      <c r="A2900" s="307"/>
      <c r="B2900" s="307"/>
    </row>
    <row r="2901" spans="1:2" x14ac:dyDescent="0.25">
      <c r="A2901" s="307"/>
      <c r="B2901" s="307"/>
    </row>
    <row r="2902" spans="1:2" x14ac:dyDescent="0.25">
      <c r="A2902" s="307"/>
      <c r="B2902" s="307"/>
    </row>
    <row r="2903" spans="1:2" x14ac:dyDescent="0.25">
      <c r="A2903" s="307"/>
      <c r="B2903" s="307"/>
    </row>
    <row r="2904" spans="1:2" x14ac:dyDescent="0.25">
      <c r="A2904" s="307"/>
      <c r="B2904" s="307"/>
    </row>
    <row r="2905" spans="1:2" x14ac:dyDescent="0.25">
      <c r="A2905" s="307"/>
      <c r="B2905" s="307"/>
    </row>
    <row r="2906" spans="1:2" x14ac:dyDescent="0.25">
      <c r="A2906" s="307"/>
      <c r="B2906" s="307"/>
    </row>
    <row r="2907" spans="1:2" x14ac:dyDescent="0.25">
      <c r="A2907" s="307"/>
      <c r="B2907" s="307"/>
    </row>
    <row r="2908" spans="1:2" x14ac:dyDescent="0.25">
      <c r="A2908" s="307"/>
      <c r="B2908" s="307"/>
    </row>
    <row r="2909" spans="1:2" x14ac:dyDescent="0.25">
      <c r="A2909" s="307"/>
      <c r="B2909" s="307"/>
    </row>
    <row r="2910" spans="1:2" x14ac:dyDescent="0.25">
      <c r="A2910" s="307"/>
      <c r="B2910" s="307"/>
    </row>
    <row r="2911" spans="1:2" x14ac:dyDescent="0.25">
      <c r="A2911" s="307"/>
      <c r="B2911" s="307"/>
    </row>
    <row r="2912" spans="1:2" x14ac:dyDescent="0.25">
      <c r="A2912" s="307"/>
      <c r="B2912" s="307"/>
    </row>
    <row r="2913" spans="1:2" x14ac:dyDescent="0.25">
      <c r="A2913" s="307"/>
      <c r="B2913" s="307"/>
    </row>
    <row r="2914" spans="1:2" x14ac:dyDescent="0.25">
      <c r="A2914" s="307"/>
      <c r="B2914" s="307"/>
    </row>
    <row r="2915" spans="1:2" x14ac:dyDescent="0.25">
      <c r="A2915" s="307"/>
      <c r="B2915" s="307"/>
    </row>
    <row r="2916" spans="1:2" x14ac:dyDescent="0.25">
      <c r="A2916" s="307"/>
      <c r="B2916" s="307"/>
    </row>
    <row r="2917" spans="1:2" x14ac:dyDescent="0.25">
      <c r="A2917" s="307"/>
      <c r="B2917" s="307"/>
    </row>
    <row r="2918" spans="1:2" x14ac:dyDescent="0.25">
      <c r="A2918" s="307"/>
      <c r="B2918" s="307"/>
    </row>
    <row r="2919" spans="1:2" x14ac:dyDescent="0.25">
      <c r="A2919" s="307"/>
      <c r="B2919" s="307"/>
    </row>
    <row r="2920" spans="1:2" x14ac:dyDescent="0.25">
      <c r="A2920" s="307"/>
      <c r="B2920" s="307"/>
    </row>
    <row r="2921" spans="1:2" x14ac:dyDescent="0.25">
      <c r="A2921" s="307"/>
      <c r="B2921" s="307"/>
    </row>
    <row r="2922" spans="1:2" x14ac:dyDescent="0.25">
      <c r="A2922" s="307"/>
      <c r="B2922" s="307"/>
    </row>
    <row r="2923" spans="1:2" x14ac:dyDescent="0.25">
      <c r="A2923" s="307"/>
      <c r="B2923" s="307"/>
    </row>
    <row r="2924" spans="1:2" x14ac:dyDescent="0.25">
      <c r="A2924" s="307"/>
      <c r="B2924" s="307"/>
    </row>
    <row r="2925" spans="1:2" x14ac:dyDescent="0.25">
      <c r="A2925" s="307"/>
      <c r="B2925" s="307"/>
    </row>
    <row r="2926" spans="1:2" x14ac:dyDescent="0.25">
      <c r="A2926" s="307"/>
      <c r="B2926" s="307"/>
    </row>
    <row r="2927" spans="1:2" x14ac:dyDescent="0.25">
      <c r="A2927" s="307"/>
      <c r="B2927" s="307"/>
    </row>
    <row r="2928" spans="1:2" x14ac:dyDescent="0.25">
      <c r="A2928" s="307"/>
      <c r="B2928" s="307"/>
    </row>
    <row r="2929" spans="1:2" x14ac:dyDescent="0.25">
      <c r="A2929" s="307"/>
      <c r="B2929" s="307"/>
    </row>
    <row r="2930" spans="1:2" x14ac:dyDescent="0.25">
      <c r="A2930" s="307"/>
      <c r="B2930" s="307"/>
    </row>
    <row r="2931" spans="1:2" x14ac:dyDescent="0.25">
      <c r="A2931" s="307"/>
      <c r="B2931" s="307"/>
    </row>
    <row r="2932" spans="1:2" x14ac:dyDescent="0.25">
      <c r="A2932" s="307"/>
      <c r="B2932" s="307"/>
    </row>
    <row r="2933" spans="1:2" x14ac:dyDescent="0.25">
      <c r="A2933" s="307"/>
      <c r="B2933" s="307"/>
    </row>
    <row r="2934" spans="1:2" x14ac:dyDescent="0.25">
      <c r="A2934" s="307"/>
      <c r="B2934" s="307"/>
    </row>
    <row r="2935" spans="1:2" x14ac:dyDescent="0.25">
      <c r="A2935" s="307"/>
      <c r="B2935" s="307"/>
    </row>
    <row r="2936" spans="1:2" x14ac:dyDescent="0.25">
      <c r="A2936" s="307"/>
      <c r="B2936" s="307"/>
    </row>
    <row r="2937" spans="1:2" x14ac:dyDescent="0.25">
      <c r="A2937" s="307"/>
      <c r="B2937" s="307"/>
    </row>
    <row r="2938" spans="1:2" x14ac:dyDescent="0.25">
      <c r="A2938" s="307"/>
      <c r="B2938" s="307"/>
    </row>
    <row r="2939" spans="1:2" x14ac:dyDescent="0.25">
      <c r="A2939" s="307"/>
      <c r="B2939" s="307"/>
    </row>
    <row r="2940" spans="1:2" x14ac:dyDescent="0.25">
      <c r="A2940" s="307"/>
      <c r="B2940" s="307"/>
    </row>
    <row r="2941" spans="1:2" x14ac:dyDescent="0.25">
      <c r="A2941" s="307"/>
      <c r="B2941" s="307"/>
    </row>
    <row r="2942" spans="1:2" x14ac:dyDescent="0.25">
      <c r="A2942" s="307"/>
      <c r="B2942" s="307"/>
    </row>
    <row r="2943" spans="1:2" x14ac:dyDescent="0.25">
      <c r="A2943" s="307"/>
      <c r="B2943" s="307"/>
    </row>
    <row r="2944" spans="1:2" x14ac:dyDescent="0.25">
      <c r="A2944" s="307"/>
      <c r="B2944" s="307"/>
    </row>
    <row r="2945" spans="1:2" x14ac:dyDescent="0.25">
      <c r="A2945" s="307"/>
      <c r="B2945" s="307"/>
    </row>
    <row r="2946" spans="1:2" x14ac:dyDescent="0.25">
      <c r="A2946" s="307"/>
      <c r="B2946" s="307"/>
    </row>
    <row r="2947" spans="1:2" x14ac:dyDescent="0.25">
      <c r="A2947" s="307"/>
      <c r="B2947" s="307"/>
    </row>
    <row r="2948" spans="1:2" x14ac:dyDescent="0.25">
      <c r="A2948" s="307"/>
      <c r="B2948" s="307"/>
    </row>
    <row r="2949" spans="1:2" x14ac:dyDescent="0.25">
      <c r="A2949" s="307"/>
      <c r="B2949" s="307"/>
    </row>
    <row r="2950" spans="1:2" x14ac:dyDescent="0.25">
      <c r="A2950" s="307"/>
      <c r="B2950" s="307"/>
    </row>
    <row r="2951" spans="1:2" x14ac:dyDescent="0.25">
      <c r="A2951" s="307"/>
      <c r="B2951" s="307"/>
    </row>
    <row r="2952" spans="1:2" x14ac:dyDescent="0.25">
      <c r="A2952" s="307"/>
      <c r="B2952" s="307"/>
    </row>
    <row r="2953" spans="1:2" x14ac:dyDescent="0.25">
      <c r="A2953" s="307"/>
      <c r="B2953" s="307"/>
    </row>
    <row r="2954" spans="1:2" x14ac:dyDescent="0.25">
      <c r="A2954" s="307"/>
      <c r="B2954" s="307"/>
    </row>
    <row r="2955" spans="1:2" x14ac:dyDescent="0.25">
      <c r="A2955" s="307"/>
      <c r="B2955" s="307"/>
    </row>
    <row r="2956" spans="1:2" x14ac:dyDescent="0.25">
      <c r="A2956" s="307"/>
      <c r="B2956" s="307"/>
    </row>
    <row r="2957" spans="1:2" x14ac:dyDescent="0.25">
      <c r="A2957" s="307"/>
      <c r="B2957" s="307"/>
    </row>
    <row r="2958" spans="1:2" x14ac:dyDescent="0.25">
      <c r="A2958" s="307"/>
      <c r="B2958" s="307"/>
    </row>
    <row r="2959" spans="1:2" x14ac:dyDescent="0.25">
      <c r="A2959" s="307"/>
      <c r="B2959" s="307"/>
    </row>
    <row r="2960" spans="1:2" x14ac:dyDescent="0.25">
      <c r="A2960" s="307"/>
      <c r="B2960" s="307"/>
    </row>
    <row r="2961" spans="1:2" x14ac:dyDescent="0.25">
      <c r="A2961" s="307"/>
      <c r="B2961" s="307"/>
    </row>
    <row r="2962" spans="1:2" x14ac:dyDescent="0.25">
      <c r="A2962" s="307"/>
      <c r="B2962" s="307"/>
    </row>
    <row r="2963" spans="1:2" x14ac:dyDescent="0.25">
      <c r="A2963" s="307"/>
      <c r="B2963" s="307"/>
    </row>
    <row r="2964" spans="1:2" x14ac:dyDescent="0.25">
      <c r="A2964" s="307"/>
      <c r="B2964" s="307"/>
    </row>
    <row r="2965" spans="1:2" x14ac:dyDescent="0.25">
      <c r="A2965" s="307"/>
      <c r="B2965" s="307"/>
    </row>
    <row r="2966" spans="1:2" x14ac:dyDescent="0.25">
      <c r="A2966" s="307"/>
      <c r="B2966" s="307"/>
    </row>
    <row r="2967" spans="1:2" x14ac:dyDescent="0.25">
      <c r="A2967" s="307"/>
      <c r="B2967" s="307"/>
    </row>
    <row r="2968" spans="1:2" x14ac:dyDescent="0.25">
      <c r="A2968" s="307"/>
      <c r="B2968" s="307"/>
    </row>
    <row r="2969" spans="1:2" x14ac:dyDescent="0.25">
      <c r="A2969" s="307"/>
      <c r="B2969" s="307"/>
    </row>
    <row r="2970" spans="1:2" x14ac:dyDescent="0.25">
      <c r="A2970" s="307"/>
      <c r="B2970" s="307"/>
    </row>
    <row r="2971" spans="1:2" x14ac:dyDescent="0.25">
      <c r="A2971" s="307"/>
      <c r="B2971" s="307"/>
    </row>
    <row r="2972" spans="1:2" x14ac:dyDescent="0.25">
      <c r="A2972" s="307"/>
      <c r="B2972" s="307"/>
    </row>
    <row r="2973" spans="1:2" x14ac:dyDescent="0.25">
      <c r="A2973" s="307"/>
      <c r="B2973" s="307"/>
    </row>
    <row r="2974" spans="1:2" x14ac:dyDescent="0.25">
      <c r="A2974" s="307"/>
      <c r="B2974" s="307"/>
    </row>
    <row r="2975" spans="1:2" x14ac:dyDescent="0.25">
      <c r="A2975" s="307"/>
      <c r="B2975" s="307"/>
    </row>
    <row r="2976" spans="1:2" x14ac:dyDescent="0.25">
      <c r="A2976" s="307"/>
      <c r="B2976" s="307"/>
    </row>
    <row r="2977" spans="1:2" x14ac:dyDescent="0.25">
      <c r="A2977" s="307"/>
      <c r="B2977" s="307"/>
    </row>
    <row r="2978" spans="1:2" x14ac:dyDescent="0.25">
      <c r="A2978" s="307"/>
      <c r="B2978" s="307"/>
    </row>
    <row r="2979" spans="1:2" x14ac:dyDescent="0.25">
      <c r="A2979" s="307"/>
      <c r="B2979" s="307"/>
    </row>
    <row r="2980" spans="1:2" x14ac:dyDescent="0.25">
      <c r="A2980" s="307"/>
      <c r="B2980" s="307"/>
    </row>
    <row r="2981" spans="1:2" x14ac:dyDescent="0.25">
      <c r="A2981" s="307"/>
      <c r="B2981" s="307"/>
    </row>
    <row r="2982" spans="1:2" x14ac:dyDescent="0.25">
      <c r="A2982" s="307"/>
      <c r="B2982" s="307"/>
    </row>
    <row r="2983" spans="1:2" x14ac:dyDescent="0.25">
      <c r="A2983" s="307"/>
      <c r="B2983" s="307"/>
    </row>
    <row r="2984" spans="1:2" x14ac:dyDescent="0.25">
      <c r="A2984" s="307"/>
      <c r="B2984" s="307"/>
    </row>
    <row r="2985" spans="1:2" x14ac:dyDescent="0.25">
      <c r="A2985" s="307"/>
      <c r="B2985" s="307"/>
    </row>
    <row r="2986" spans="1:2" x14ac:dyDescent="0.25">
      <c r="A2986" s="307"/>
      <c r="B2986" s="307"/>
    </row>
    <row r="2987" spans="1:2" x14ac:dyDescent="0.25">
      <c r="A2987" s="307"/>
      <c r="B2987" s="307"/>
    </row>
    <row r="2988" spans="1:2" x14ac:dyDescent="0.25">
      <c r="A2988" s="307"/>
      <c r="B2988" s="307"/>
    </row>
    <row r="2989" spans="1:2" x14ac:dyDescent="0.25">
      <c r="A2989" s="307"/>
      <c r="B2989" s="307"/>
    </row>
    <row r="2990" spans="1:2" x14ac:dyDescent="0.25">
      <c r="A2990" s="307"/>
      <c r="B2990" s="307"/>
    </row>
    <row r="2991" spans="1:2" x14ac:dyDescent="0.25">
      <c r="A2991" s="307"/>
      <c r="B2991" s="307"/>
    </row>
    <row r="2992" spans="1:2" x14ac:dyDescent="0.25">
      <c r="A2992" s="307"/>
      <c r="B2992" s="307"/>
    </row>
    <row r="2993" spans="1:2" x14ac:dyDescent="0.25">
      <c r="A2993" s="307"/>
      <c r="B2993" s="307"/>
    </row>
    <row r="2994" spans="1:2" x14ac:dyDescent="0.25">
      <c r="A2994" s="307"/>
      <c r="B2994" s="307"/>
    </row>
    <row r="2995" spans="1:2" x14ac:dyDescent="0.25">
      <c r="A2995" s="307"/>
      <c r="B2995" s="307"/>
    </row>
    <row r="2996" spans="1:2" x14ac:dyDescent="0.25">
      <c r="A2996" s="307"/>
      <c r="B2996" s="307"/>
    </row>
    <row r="2997" spans="1:2" x14ac:dyDescent="0.25">
      <c r="A2997" s="307"/>
      <c r="B2997" s="307"/>
    </row>
    <row r="2998" spans="1:2" x14ac:dyDescent="0.25">
      <c r="A2998" s="307"/>
      <c r="B2998" s="307"/>
    </row>
    <row r="2999" spans="1:2" x14ac:dyDescent="0.25">
      <c r="A2999" s="307"/>
      <c r="B2999" s="307"/>
    </row>
    <row r="3000" spans="1:2" x14ac:dyDescent="0.25">
      <c r="A3000" s="307"/>
      <c r="B3000" s="307"/>
    </row>
    <row r="3001" spans="1:2" x14ac:dyDescent="0.25">
      <c r="A3001" s="307"/>
      <c r="B3001" s="307"/>
    </row>
    <row r="3002" spans="1:2" x14ac:dyDescent="0.25">
      <c r="A3002" s="307"/>
      <c r="B3002" s="307"/>
    </row>
    <row r="3003" spans="1:2" x14ac:dyDescent="0.25">
      <c r="A3003" s="307"/>
      <c r="B3003" s="307"/>
    </row>
    <row r="3004" spans="1:2" x14ac:dyDescent="0.25">
      <c r="A3004" s="307"/>
      <c r="B3004" s="307"/>
    </row>
    <row r="3005" spans="1:2" x14ac:dyDescent="0.25">
      <c r="A3005" s="307"/>
      <c r="B3005" s="307"/>
    </row>
    <row r="3006" spans="1:2" x14ac:dyDescent="0.25">
      <c r="A3006" s="307"/>
      <c r="B3006" s="307"/>
    </row>
    <row r="3007" spans="1:2" x14ac:dyDescent="0.25">
      <c r="A3007" s="307"/>
      <c r="B3007" s="307"/>
    </row>
    <row r="3008" spans="1:2" x14ac:dyDescent="0.25">
      <c r="A3008" s="307"/>
      <c r="B3008" s="307"/>
    </row>
    <row r="3009" spans="1:2" x14ac:dyDescent="0.25">
      <c r="A3009" s="307"/>
      <c r="B3009" s="307"/>
    </row>
    <row r="3010" spans="1:2" x14ac:dyDescent="0.25">
      <c r="A3010" s="307"/>
      <c r="B3010" s="307"/>
    </row>
    <row r="3011" spans="1:2" x14ac:dyDescent="0.25">
      <c r="A3011" s="307"/>
      <c r="B3011" s="307"/>
    </row>
    <row r="3012" spans="1:2" x14ac:dyDescent="0.25">
      <c r="A3012" s="307"/>
      <c r="B3012" s="307"/>
    </row>
    <row r="3013" spans="1:2" x14ac:dyDescent="0.25">
      <c r="A3013" s="307"/>
      <c r="B3013" s="307"/>
    </row>
    <row r="3014" spans="1:2" x14ac:dyDescent="0.25">
      <c r="A3014" s="307"/>
      <c r="B3014" s="307"/>
    </row>
    <row r="3015" spans="1:2" x14ac:dyDescent="0.25">
      <c r="A3015" s="307"/>
      <c r="B3015" s="307"/>
    </row>
    <row r="3016" spans="1:2" x14ac:dyDescent="0.25">
      <c r="A3016" s="307"/>
      <c r="B3016" s="307"/>
    </row>
    <row r="3017" spans="1:2" x14ac:dyDescent="0.25">
      <c r="A3017" s="307"/>
      <c r="B3017" s="307"/>
    </row>
    <row r="3018" spans="1:2" x14ac:dyDescent="0.25">
      <c r="A3018" s="307"/>
      <c r="B3018" s="307"/>
    </row>
    <row r="3019" spans="1:2" x14ac:dyDescent="0.25">
      <c r="A3019" s="307"/>
      <c r="B3019" s="307"/>
    </row>
    <row r="3020" spans="1:2" x14ac:dyDescent="0.25">
      <c r="A3020" s="307"/>
      <c r="B3020" s="307"/>
    </row>
    <row r="3021" spans="1:2" x14ac:dyDescent="0.25">
      <c r="A3021" s="307"/>
      <c r="B3021" s="307"/>
    </row>
    <row r="3022" spans="1:2" x14ac:dyDescent="0.25">
      <c r="A3022" s="307"/>
      <c r="B3022" s="307"/>
    </row>
    <row r="3023" spans="1:2" x14ac:dyDescent="0.25">
      <c r="A3023" s="307"/>
      <c r="B3023" s="307"/>
    </row>
    <row r="3024" spans="1:2" x14ac:dyDescent="0.25">
      <c r="A3024" s="307"/>
      <c r="B3024" s="307"/>
    </row>
    <row r="3025" spans="1:2" x14ac:dyDescent="0.25">
      <c r="A3025" s="307"/>
      <c r="B3025" s="307"/>
    </row>
    <row r="3026" spans="1:2" x14ac:dyDescent="0.25">
      <c r="A3026" s="307"/>
      <c r="B3026" s="307"/>
    </row>
    <row r="3027" spans="1:2" x14ac:dyDescent="0.25">
      <c r="A3027" s="307"/>
      <c r="B3027" s="307"/>
    </row>
    <row r="3028" spans="1:2" x14ac:dyDescent="0.25">
      <c r="A3028" s="307"/>
      <c r="B3028" s="307"/>
    </row>
    <row r="3029" spans="1:2" x14ac:dyDescent="0.25">
      <c r="A3029" s="307"/>
      <c r="B3029" s="307"/>
    </row>
    <row r="3030" spans="1:2" x14ac:dyDescent="0.25">
      <c r="A3030" s="307"/>
      <c r="B3030" s="307"/>
    </row>
    <row r="3031" spans="1:2" x14ac:dyDescent="0.25">
      <c r="A3031" s="307"/>
      <c r="B3031" s="307"/>
    </row>
    <row r="3032" spans="1:2" x14ac:dyDescent="0.25">
      <c r="A3032" s="307"/>
      <c r="B3032" s="307"/>
    </row>
    <row r="3033" spans="1:2" x14ac:dyDescent="0.25">
      <c r="A3033" s="307"/>
      <c r="B3033" s="307"/>
    </row>
    <row r="3034" spans="1:2" x14ac:dyDescent="0.25">
      <c r="A3034" s="307"/>
      <c r="B3034" s="307"/>
    </row>
    <row r="3035" spans="1:2" x14ac:dyDescent="0.25">
      <c r="A3035" s="307"/>
      <c r="B3035" s="307"/>
    </row>
    <row r="3036" spans="1:2" x14ac:dyDescent="0.25">
      <c r="A3036" s="307"/>
      <c r="B3036" s="307"/>
    </row>
    <row r="3037" spans="1:2" x14ac:dyDescent="0.25">
      <c r="A3037" s="307"/>
      <c r="B3037" s="307"/>
    </row>
    <row r="3038" spans="1:2" x14ac:dyDescent="0.25">
      <c r="A3038" s="307"/>
      <c r="B3038" s="307"/>
    </row>
    <row r="3039" spans="1:2" x14ac:dyDescent="0.25">
      <c r="A3039" s="307"/>
      <c r="B3039" s="307"/>
    </row>
    <row r="3040" spans="1:2" x14ac:dyDescent="0.25">
      <c r="A3040" s="307"/>
      <c r="B3040" s="307"/>
    </row>
    <row r="3041" spans="1:2" x14ac:dyDescent="0.25">
      <c r="A3041" s="307"/>
      <c r="B3041" s="307"/>
    </row>
    <row r="3042" spans="1:2" x14ac:dyDescent="0.25">
      <c r="A3042" s="307"/>
      <c r="B3042" s="307"/>
    </row>
    <row r="3043" spans="1:2" x14ac:dyDescent="0.25">
      <c r="A3043" s="307"/>
      <c r="B3043" s="307"/>
    </row>
    <row r="3044" spans="1:2" x14ac:dyDescent="0.25">
      <c r="A3044" s="307"/>
      <c r="B3044" s="307"/>
    </row>
    <row r="3045" spans="1:2" x14ac:dyDescent="0.25">
      <c r="A3045" s="307"/>
      <c r="B3045" s="307"/>
    </row>
    <row r="3046" spans="1:2" x14ac:dyDescent="0.25">
      <c r="A3046" s="307"/>
      <c r="B3046" s="307"/>
    </row>
    <row r="3047" spans="1:2" x14ac:dyDescent="0.25">
      <c r="A3047" s="307"/>
      <c r="B3047" s="307"/>
    </row>
    <row r="3048" spans="1:2" x14ac:dyDescent="0.25">
      <c r="A3048" s="307"/>
      <c r="B3048" s="307"/>
    </row>
    <row r="3049" spans="1:2" x14ac:dyDescent="0.25">
      <c r="A3049" s="307"/>
      <c r="B3049" s="307"/>
    </row>
    <row r="3050" spans="1:2" x14ac:dyDescent="0.25">
      <c r="A3050" s="307"/>
      <c r="B3050" s="307"/>
    </row>
    <row r="3051" spans="1:2" x14ac:dyDescent="0.25">
      <c r="A3051" s="307"/>
      <c r="B3051" s="307"/>
    </row>
    <row r="3052" spans="1:2" x14ac:dyDescent="0.25">
      <c r="A3052" s="307"/>
      <c r="B3052" s="307"/>
    </row>
    <row r="3053" spans="1:2" x14ac:dyDescent="0.25">
      <c r="A3053" s="307"/>
      <c r="B3053" s="307"/>
    </row>
    <row r="3054" spans="1:2" x14ac:dyDescent="0.25">
      <c r="A3054" s="307"/>
      <c r="B3054" s="307"/>
    </row>
    <row r="3055" spans="1:2" x14ac:dyDescent="0.25">
      <c r="A3055" s="307"/>
      <c r="B3055" s="307"/>
    </row>
    <row r="3056" spans="1:2" x14ac:dyDescent="0.25">
      <c r="A3056" s="307"/>
      <c r="B3056" s="307"/>
    </row>
    <row r="3057" spans="1:2" x14ac:dyDescent="0.25">
      <c r="A3057" s="307"/>
      <c r="B3057" s="307"/>
    </row>
    <row r="3058" spans="1:2" x14ac:dyDescent="0.25">
      <c r="A3058" s="307"/>
      <c r="B3058" s="307"/>
    </row>
    <row r="3059" spans="1:2" x14ac:dyDescent="0.25">
      <c r="A3059" s="307"/>
      <c r="B3059" s="307"/>
    </row>
    <row r="3060" spans="1:2" x14ac:dyDescent="0.25">
      <c r="A3060" s="307"/>
      <c r="B3060" s="307"/>
    </row>
    <row r="3061" spans="1:2" x14ac:dyDescent="0.25">
      <c r="A3061" s="307"/>
      <c r="B3061" s="307"/>
    </row>
    <row r="3062" spans="1:2" x14ac:dyDescent="0.25">
      <c r="A3062" s="307"/>
      <c r="B3062" s="307"/>
    </row>
    <row r="3063" spans="1:2" x14ac:dyDescent="0.25">
      <c r="A3063" s="307"/>
      <c r="B3063" s="307"/>
    </row>
    <row r="3064" spans="1:2" x14ac:dyDescent="0.25">
      <c r="A3064" s="307"/>
      <c r="B3064" s="307"/>
    </row>
    <row r="3065" spans="1:2" x14ac:dyDescent="0.25">
      <c r="A3065" s="307"/>
      <c r="B3065" s="307"/>
    </row>
    <row r="3066" spans="1:2" x14ac:dyDescent="0.25">
      <c r="A3066" s="307"/>
      <c r="B3066" s="307"/>
    </row>
    <row r="3067" spans="1:2" x14ac:dyDescent="0.25">
      <c r="A3067" s="307"/>
      <c r="B3067" s="307"/>
    </row>
    <row r="3068" spans="1:2" x14ac:dyDescent="0.25">
      <c r="A3068" s="307"/>
      <c r="B3068" s="307"/>
    </row>
    <row r="3069" spans="1:2" x14ac:dyDescent="0.25">
      <c r="A3069" s="307"/>
      <c r="B3069" s="307"/>
    </row>
    <row r="3070" spans="1:2" x14ac:dyDescent="0.25">
      <c r="A3070" s="307"/>
      <c r="B3070" s="307"/>
    </row>
    <row r="3071" spans="1:2" x14ac:dyDescent="0.25">
      <c r="A3071" s="307"/>
      <c r="B3071" s="307"/>
    </row>
    <row r="3072" spans="1:2" x14ac:dyDescent="0.25">
      <c r="A3072" s="307"/>
      <c r="B3072" s="307"/>
    </row>
    <row r="3073" spans="1:2" x14ac:dyDescent="0.25">
      <c r="A3073" s="307"/>
      <c r="B3073" s="307"/>
    </row>
    <row r="3074" spans="1:2" x14ac:dyDescent="0.25">
      <c r="A3074" s="307"/>
      <c r="B3074" s="307"/>
    </row>
    <row r="3075" spans="1:2" x14ac:dyDescent="0.25">
      <c r="A3075" s="307"/>
      <c r="B3075" s="307"/>
    </row>
    <row r="3076" spans="1:2" x14ac:dyDescent="0.25">
      <c r="A3076" s="307"/>
      <c r="B3076" s="307"/>
    </row>
    <row r="3077" spans="1:2" x14ac:dyDescent="0.25">
      <c r="A3077" s="307"/>
      <c r="B3077" s="307"/>
    </row>
    <row r="3078" spans="1:2" x14ac:dyDescent="0.25">
      <c r="A3078" s="307"/>
      <c r="B3078" s="307"/>
    </row>
    <row r="3079" spans="1:2" x14ac:dyDescent="0.25">
      <c r="A3079" s="307"/>
      <c r="B3079" s="307"/>
    </row>
    <row r="3080" spans="1:2" x14ac:dyDescent="0.25">
      <c r="A3080" s="307"/>
      <c r="B3080" s="307"/>
    </row>
    <row r="3081" spans="1:2" x14ac:dyDescent="0.25">
      <c r="A3081" s="307"/>
      <c r="B3081" s="307"/>
    </row>
    <row r="3082" spans="1:2" x14ac:dyDescent="0.25">
      <c r="A3082" s="307"/>
      <c r="B3082" s="307"/>
    </row>
    <row r="3083" spans="1:2" x14ac:dyDescent="0.25">
      <c r="A3083" s="307"/>
      <c r="B3083" s="307"/>
    </row>
    <row r="3084" spans="1:2" x14ac:dyDescent="0.25">
      <c r="A3084" s="307"/>
      <c r="B3084" s="307"/>
    </row>
    <row r="3085" spans="1:2" x14ac:dyDescent="0.25">
      <c r="A3085" s="307"/>
      <c r="B3085" s="307"/>
    </row>
    <row r="3086" spans="1:2" x14ac:dyDescent="0.25">
      <c r="A3086" s="307"/>
      <c r="B3086" s="307"/>
    </row>
    <row r="3087" spans="1:2" x14ac:dyDescent="0.25">
      <c r="A3087" s="307"/>
      <c r="B3087" s="307"/>
    </row>
    <row r="3088" spans="1:2" x14ac:dyDescent="0.25">
      <c r="A3088" s="307"/>
      <c r="B3088" s="307"/>
    </row>
    <row r="3089" spans="1:2" x14ac:dyDescent="0.25">
      <c r="A3089" s="307"/>
      <c r="B3089" s="307"/>
    </row>
    <row r="3090" spans="1:2" x14ac:dyDescent="0.25">
      <c r="A3090" s="307"/>
      <c r="B3090" s="307"/>
    </row>
    <row r="3091" spans="1:2" x14ac:dyDescent="0.25">
      <c r="A3091" s="307"/>
      <c r="B3091" s="307"/>
    </row>
    <row r="3092" spans="1:2" x14ac:dyDescent="0.25">
      <c r="A3092" s="307"/>
      <c r="B3092" s="307"/>
    </row>
    <row r="3093" spans="1:2" x14ac:dyDescent="0.25">
      <c r="A3093" s="307"/>
      <c r="B3093" s="307"/>
    </row>
    <row r="3094" spans="1:2" x14ac:dyDescent="0.25">
      <c r="A3094" s="307"/>
      <c r="B3094" s="307"/>
    </row>
    <row r="3095" spans="1:2" x14ac:dyDescent="0.25">
      <c r="A3095" s="307"/>
      <c r="B3095" s="307"/>
    </row>
    <row r="3096" spans="1:2" x14ac:dyDescent="0.25">
      <c r="A3096" s="307"/>
      <c r="B3096" s="307"/>
    </row>
    <row r="3097" spans="1:2" x14ac:dyDescent="0.25">
      <c r="A3097" s="307"/>
      <c r="B3097" s="307"/>
    </row>
    <row r="3098" spans="1:2" x14ac:dyDescent="0.25">
      <c r="A3098" s="307"/>
      <c r="B3098" s="307"/>
    </row>
    <row r="3099" spans="1:2" x14ac:dyDescent="0.25">
      <c r="A3099" s="307"/>
      <c r="B3099" s="307"/>
    </row>
    <row r="3100" spans="1:2" x14ac:dyDescent="0.25">
      <c r="A3100" s="307"/>
      <c r="B3100" s="307"/>
    </row>
    <row r="3101" spans="1:2" x14ac:dyDescent="0.25">
      <c r="A3101" s="307"/>
      <c r="B3101" s="307"/>
    </row>
    <row r="3102" spans="1:2" x14ac:dyDescent="0.25">
      <c r="A3102" s="307"/>
      <c r="B3102" s="307"/>
    </row>
    <row r="3103" spans="1:2" x14ac:dyDescent="0.25">
      <c r="A3103" s="307"/>
      <c r="B3103" s="307"/>
    </row>
    <row r="3104" spans="1:2" x14ac:dyDescent="0.25">
      <c r="A3104" s="307"/>
      <c r="B3104" s="307"/>
    </row>
    <row r="3105" spans="1:2" x14ac:dyDescent="0.25">
      <c r="A3105" s="307"/>
      <c r="B3105" s="307"/>
    </row>
    <row r="3106" spans="1:2" x14ac:dyDescent="0.25">
      <c r="A3106" s="307"/>
      <c r="B3106" s="307"/>
    </row>
    <row r="3107" spans="1:2" x14ac:dyDescent="0.25">
      <c r="A3107" s="307"/>
      <c r="B3107" s="307"/>
    </row>
    <row r="3108" spans="1:2" x14ac:dyDescent="0.25">
      <c r="A3108" s="307"/>
      <c r="B3108" s="307"/>
    </row>
    <row r="3109" spans="1:2" x14ac:dyDescent="0.25">
      <c r="A3109" s="307"/>
      <c r="B3109" s="307"/>
    </row>
    <row r="3110" spans="1:2" x14ac:dyDescent="0.25">
      <c r="A3110" s="307"/>
      <c r="B3110" s="307"/>
    </row>
    <row r="3111" spans="1:2" x14ac:dyDescent="0.25">
      <c r="A3111" s="307"/>
      <c r="B3111" s="307"/>
    </row>
    <row r="3112" spans="1:2" x14ac:dyDescent="0.25">
      <c r="A3112" s="307"/>
      <c r="B3112" s="307"/>
    </row>
    <row r="3113" spans="1:2" x14ac:dyDescent="0.25">
      <c r="A3113" s="307"/>
      <c r="B3113" s="307"/>
    </row>
    <row r="3114" spans="1:2" x14ac:dyDescent="0.25">
      <c r="A3114" s="307"/>
      <c r="B3114" s="307"/>
    </row>
    <row r="3115" spans="1:2" x14ac:dyDescent="0.25">
      <c r="A3115" s="307"/>
      <c r="B3115" s="307"/>
    </row>
    <row r="3116" spans="1:2" x14ac:dyDescent="0.25">
      <c r="A3116" s="307"/>
      <c r="B3116" s="307"/>
    </row>
    <row r="3117" spans="1:2" x14ac:dyDescent="0.25">
      <c r="A3117" s="307"/>
      <c r="B3117" s="307"/>
    </row>
    <row r="3118" spans="1:2" x14ac:dyDescent="0.25">
      <c r="A3118" s="307"/>
      <c r="B3118" s="307"/>
    </row>
    <row r="3119" spans="1:2" x14ac:dyDescent="0.25">
      <c r="A3119" s="307"/>
      <c r="B3119" s="307"/>
    </row>
    <row r="3120" spans="1:2" x14ac:dyDescent="0.25">
      <c r="A3120" s="307"/>
      <c r="B3120" s="307"/>
    </row>
    <row r="3121" spans="1:2" x14ac:dyDescent="0.25">
      <c r="A3121" s="307"/>
      <c r="B3121" s="307"/>
    </row>
    <row r="3122" spans="1:2" x14ac:dyDescent="0.25">
      <c r="A3122" s="307"/>
      <c r="B3122" s="307"/>
    </row>
    <row r="3123" spans="1:2" x14ac:dyDescent="0.25">
      <c r="A3123" s="307"/>
      <c r="B3123" s="307"/>
    </row>
    <row r="3124" spans="1:2" x14ac:dyDescent="0.25">
      <c r="A3124" s="307"/>
      <c r="B3124" s="307"/>
    </row>
    <row r="3125" spans="1:2" x14ac:dyDescent="0.25">
      <c r="A3125" s="307"/>
      <c r="B3125" s="307"/>
    </row>
    <row r="3126" spans="1:2" x14ac:dyDescent="0.25">
      <c r="A3126" s="307"/>
      <c r="B3126" s="307"/>
    </row>
    <row r="3127" spans="1:2" x14ac:dyDescent="0.25">
      <c r="A3127" s="307"/>
      <c r="B3127" s="307"/>
    </row>
    <row r="3128" spans="1:2" x14ac:dyDescent="0.25">
      <c r="A3128" s="307"/>
      <c r="B3128" s="307"/>
    </row>
    <row r="3129" spans="1:2" x14ac:dyDescent="0.25">
      <c r="A3129" s="307"/>
      <c r="B3129" s="307"/>
    </row>
    <row r="3130" spans="1:2" x14ac:dyDescent="0.25">
      <c r="A3130" s="307"/>
      <c r="B3130" s="307"/>
    </row>
    <row r="3131" spans="1:2" x14ac:dyDescent="0.25">
      <c r="A3131" s="307"/>
      <c r="B3131" s="307"/>
    </row>
    <row r="3132" spans="1:2" x14ac:dyDescent="0.25">
      <c r="A3132" s="307"/>
      <c r="B3132" s="307"/>
    </row>
    <row r="3133" spans="1:2" x14ac:dyDescent="0.25">
      <c r="A3133" s="307"/>
      <c r="B3133" s="307"/>
    </row>
    <row r="3134" spans="1:2" x14ac:dyDescent="0.25">
      <c r="A3134" s="307"/>
      <c r="B3134" s="307"/>
    </row>
    <row r="3135" spans="1:2" x14ac:dyDescent="0.25">
      <c r="A3135" s="307"/>
      <c r="B3135" s="307"/>
    </row>
    <row r="3136" spans="1:2" x14ac:dyDescent="0.25">
      <c r="A3136" s="307"/>
      <c r="B3136" s="307"/>
    </row>
    <row r="3137" spans="1:2" x14ac:dyDescent="0.25">
      <c r="A3137" s="307"/>
      <c r="B3137" s="307"/>
    </row>
    <row r="3138" spans="1:2" x14ac:dyDescent="0.25">
      <c r="A3138" s="307"/>
      <c r="B3138" s="307"/>
    </row>
    <row r="3139" spans="1:2" x14ac:dyDescent="0.25">
      <c r="A3139" s="307"/>
      <c r="B3139" s="307"/>
    </row>
    <row r="3140" spans="1:2" x14ac:dyDescent="0.25">
      <c r="A3140" s="307"/>
      <c r="B3140" s="307"/>
    </row>
    <row r="3141" spans="1:2" x14ac:dyDescent="0.25">
      <c r="A3141" s="307"/>
      <c r="B3141" s="307"/>
    </row>
    <row r="3142" spans="1:2" x14ac:dyDescent="0.25">
      <c r="A3142" s="307"/>
      <c r="B3142" s="307"/>
    </row>
    <row r="3143" spans="1:2" x14ac:dyDescent="0.25">
      <c r="A3143" s="307"/>
      <c r="B3143" s="307"/>
    </row>
    <row r="3144" spans="1:2" x14ac:dyDescent="0.25">
      <c r="A3144" s="307"/>
      <c r="B3144" s="307"/>
    </row>
    <row r="3145" spans="1:2" x14ac:dyDescent="0.25">
      <c r="A3145" s="307"/>
      <c r="B3145" s="307"/>
    </row>
    <row r="3146" spans="1:2" x14ac:dyDescent="0.25">
      <c r="A3146" s="307"/>
      <c r="B3146" s="307"/>
    </row>
    <row r="3147" spans="1:2" x14ac:dyDescent="0.25">
      <c r="A3147" s="307"/>
      <c r="B3147" s="307"/>
    </row>
    <row r="3148" spans="1:2" x14ac:dyDescent="0.25">
      <c r="A3148" s="307"/>
      <c r="B3148" s="307"/>
    </row>
    <row r="3149" spans="1:2" x14ac:dyDescent="0.25">
      <c r="A3149" s="307"/>
      <c r="B3149" s="307"/>
    </row>
    <row r="3150" spans="1:2" x14ac:dyDescent="0.25">
      <c r="A3150" s="307"/>
      <c r="B3150" s="307"/>
    </row>
    <row r="3151" spans="1:2" x14ac:dyDescent="0.25">
      <c r="A3151" s="307"/>
      <c r="B3151" s="307"/>
    </row>
    <row r="3152" spans="1:2" x14ac:dyDescent="0.25">
      <c r="A3152" s="307"/>
      <c r="B3152" s="307"/>
    </row>
    <row r="3153" spans="1:2" x14ac:dyDescent="0.25">
      <c r="A3153" s="307"/>
      <c r="B3153" s="307"/>
    </row>
    <row r="3154" spans="1:2" x14ac:dyDescent="0.25">
      <c r="A3154" s="307"/>
      <c r="B3154" s="307"/>
    </row>
    <row r="3155" spans="1:2" x14ac:dyDescent="0.25">
      <c r="A3155" s="307"/>
      <c r="B3155" s="307"/>
    </row>
    <row r="3156" spans="1:2" x14ac:dyDescent="0.25">
      <c r="A3156" s="307"/>
      <c r="B3156" s="307"/>
    </row>
    <row r="3157" spans="1:2" x14ac:dyDescent="0.25">
      <c r="A3157" s="307"/>
      <c r="B3157" s="307"/>
    </row>
    <row r="3158" spans="1:2" x14ac:dyDescent="0.25">
      <c r="A3158" s="307"/>
      <c r="B3158" s="307"/>
    </row>
    <row r="3159" spans="1:2" x14ac:dyDescent="0.25">
      <c r="A3159" s="307"/>
      <c r="B3159" s="307"/>
    </row>
    <row r="3160" spans="1:2" x14ac:dyDescent="0.25">
      <c r="A3160" s="307"/>
      <c r="B3160" s="307"/>
    </row>
    <row r="3161" spans="1:2" x14ac:dyDescent="0.25">
      <c r="A3161" s="307"/>
      <c r="B3161" s="307"/>
    </row>
    <row r="3162" spans="1:2" x14ac:dyDescent="0.25">
      <c r="A3162" s="307"/>
      <c r="B3162" s="307"/>
    </row>
    <row r="3163" spans="1:2" x14ac:dyDescent="0.25">
      <c r="A3163" s="307"/>
      <c r="B3163" s="307"/>
    </row>
    <row r="3164" spans="1:2" x14ac:dyDescent="0.25">
      <c r="A3164" s="307"/>
      <c r="B3164" s="307"/>
    </row>
    <row r="3165" spans="1:2" x14ac:dyDescent="0.25">
      <c r="A3165" s="307"/>
      <c r="B3165" s="307"/>
    </row>
    <row r="3166" spans="1:2" x14ac:dyDescent="0.25">
      <c r="A3166" s="307"/>
      <c r="B3166" s="307"/>
    </row>
    <row r="3167" spans="1:2" x14ac:dyDescent="0.25">
      <c r="A3167" s="307"/>
      <c r="B3167" s="307"/>
    </row>
    <row r="3168" spans="1:2" x14ac:dyDescent="0.25">
      <c r="A3168" s="307"/>
      <c r="B3168" s="307"/>
    </row>
    <row r="3169" spans="1:2" x14ac:dyDescent="0.25">
      <c r="A3169" s="307"/>
      <c r="B3169" s="307"/>
    </row>
    <row r="3170" spans="1:2" x14ac:dyDescent="0.25">
      <c r="A3170" s="307"/>
      <c r="B3170" s="307"/>
    </row>
    <row r="3171" spans="1:2" x14ac:dyDescent="0.25">
      <c r="A3171" s="307"/>
      <c r="B3171" s="307"/>
    </row>
    <row r="3172" spans="1:2" x14ac:dyDescent="0.25">
      <c r="A3172" s="307"/>
      <c r="B3172" s="307"/>
    </row>
    <row r="3173" spans="1:2" x14ac:dyDescent="0.25">
      <c r="A3173" s="307"/>
      <c r="B3173" s="307"/>
    </row>
    <row r="3174" spans="1:2" x14ac:dyDescent="0.25">
      <c r="A3174" s="307"/>
      <c r="B3174" s="307"/>
    </row>
    <row r="3175" spans="1:2" x14ac:dyDescent="0.25">
      <c r="A3175" s="307"/>
      <c r="B3175" s="307"/>
    </row>
    <row r="3176" spans="1:2" x14ac:dyDescent="0.25">
      <c r="A3176" s="307"/>
      <c r="B3176" s="307"/>
    </row>
    <row r="3177" spans="1:2" x14ac:dyDescent="0.25">
      <c r="A3177" s="307"/>
      <c r="B3177" s="307"/>
    </row>
    <row r="3178" spans="1:2" x14ac:dyDescent="0.25">
      <c r="A3178" s="307"/>
      <c r="B3178" s="307"/>
    </row>
    <row r="3179" spans="1:2" x14ac:dyDescent="0.25">
      <c r="A3179" s="307"/>
      <c r="B3179" s="307"/>
    </row>
    <row r="3180" spans="1:2" x14ac:dyDescent="0.25">
      <c r="A3180" s="307"/>
      <c r="B3180" s="307"/>
    </row>
    <row r="3181" spans="1:2" x14ac:dyDescent="0.25">
      <c r="A3181" s="307"/>
      <c r="B3181" s="307"/>
    </row>
    <row r="3182" spans="1:2" x14ac:dyDescent="0.25">
      <c r="A3182" s="307"/>
      <c r="B3182" s="307"/>
    </row>
    <row r="3183" spans="1:2" x14ac:dyDescent="0.25">
      <c r="A3183" s="307"/>
      <c r="B3183" s="307"/>
    </row>
    <row r="3184" spans="1:2" x14ac:dyDescent="0.25">
      <c r="A3184" s="307"/>
      <c r="B3184" s="307"/>
    </row>
    <row r="3185" spans="1:2" x14ac:dyDescent="0.25">
      <c r="A3185" s="307"/>
      <c r="B3185" s="307"/>
    </row>
    <row r="3186" spans="1:2" x14ac:dyDescent="0.25">
      <c r="A3186" s="307"/>
      <c r="B3186" s="307"/>
    </row>
    <row r="3187" spans="1:2" x14ac:dyDescent="0.25">
      <c r="A3187" s="307"/>
      <c r="B3187" s="307"/>
    </row>
    <row r="3188" spans="1:2" x14ac:dyDescent="0.25">
      <c r="A3188" s="307"/>
      <c r="B3188" s="307"/>
    </row>
    <row r="3189" spans="1:2" x14ac:dyDescent="0.25">
      <c r="A3189" s="307"/>
      <c r="B3189" s="307"/>
    </row>
    <row r="3190" spans="1:2" x14ac:dyDescent="0.25">
      <c r="A3190" s="307"/>
      <c r="B3190" s="307"/>
    </row>
    <row r="3191" spans="1:2" x14ac:dyDescent="0.25">
      <c r="A3191" s="307"/>
      <c r="B3191" s="307"/>
    </row>
    <row r="3192" spans="1:2" x14ac:dyDescent="0.25">
      <c r="A3192" s="307"/>
      <c r="B3192" s="307"/>
    </row>
    <row r="3193" spans="1:2" x14ac:dyDescent="0.25">
      <c r="A3193" s="307"/>
      <c r="B3193" s="307"/>
    </row>
    <row r="3194" spans="1:2" x14ac:dyDescent="0.25">
      <c r="A3194" s="307"/>
      <c r="B3194" s="307"/>
    </row>
    <row r="3195" spans="1:2" x14ac:dyDescent="0.25">
      <c r="A3195" s="307"/>
      <c r="B3195" s="307"/>
    </row>
    <row r="3196" spans="1:2" x14ac:dyDescent="0.25">
      <c r="A3196" s="307"/>
      <c r="B3196" s="307"/>
    </row>
    <row r="3197" spans="1:2" x14ac:dyDescent="0.25">
      <c r="A3197" s="307"/>
      <c r="B3197" s="307"/>
    </row>
    <row r="3198" spans="1:2" x14ac:dyDescent="0.25">
      <c r="A3198" s="307"/>
      <c r="B3198" s="307"/>
    </row>
    <row r="3199" spans="1:2" x14ac:dyDescent="0.25">
      <c r="A3199" s="307"/>
      <c r="B3199" s="307"/>
    </row>
    <row r="3200" spans="1:2" x14ac:dyDescent="0.25">
      <c r="A3200" s="307"/>
      <c r="B3200" s="307"/>
    </row>
    <row r="3201" spans="1:2" x14ac:dyDescent="0.25">
      <c r="A3201" s="307"/>
      <c r="B3201" s="307"/>
    </row>
    <row r="3202" spans="1:2" x14ac:dyDescent="0.25">
      <c r="A3202" s="307"/>
      <c r="B3202" s="307"/>
    </row>
    <row r="3203" spans="1:2" x14ac:dyDescent="0.25">
      <c r="A3203" s="307"/>
      <c r="B3203" s="307"/>
    </row>
    <row r="3204" spans="1:2" x14ac:dyDescent="0.25">
      <c r="A3204" s="307"/>
      <c r="B3204" s="307"/>
    </row>
    <row r="3205" spans="1:2" x14ac:dyDescent="0.25">
      <c r="A3205" s="307"/>
      <c r="B3205" s="307"/>
    </row>
    <row r="3206" spans="1:2" x14ac:dyDescent="0.25">
      <c r="A3206" s="307"/>
      <c r="B3206" s="307"/>
    </row>
    <row r="3207" spans="1:2" x14ac:dyDescent="0.25">
      <c r="A3207" s="307"/>
      <c r="B3207" s="307"/>
    </row>
    <row r="3208" spans="1:2" x14ac:dyDescent="0.25">
      <c r="A3208" s="307"/>
      <c r="B3208" s="307"/>
    </row>
    <row r="3209" spans="1:2" x14ac:dyDescent="0.25">
      <c r="A3209" s="307"/>
      <c r="B3209" s="307"/>
    </row>
    <row r="3210" spans="1:2" x14ac:dyDescent="0.25">
      <c r="A3210" s="307"/>
      <c r="B3210" s="307"/>
    </row>
    <row r="3211" spans="1:2" x14ac:dyDescent="0.25">
      <c r="A3211" s="307"/>
      <c r="B3211" s="307"/>
    </row>
    <row r="3212" spans="1:2" x14ac:dyDescent="0.25">
      <c r="A3212" s="307"/>
      <c r="B3212" s="307"/>
    </row>
    <row r="3213" spans="1:2" x14ac:dyDescent="0.25">
      <c r="A3213" s="307"/>
      <c r="B3213" s="307"/>
    </row>
    <row r="3214" spans="1:2" x14ac:dyDescent="0.25">
      <c r="A3214" s="307"/>
      <c r="B3214" s="307"/>
    </row>
    <row r="3215" spans="1:2" x14ac:dyDescent="0.25">
      <c r="A3215" s="307"/>
      <c r="B3215" s="307"/>
    </row>
    <row r="3216" spans="1:2" x14ac:dyDescent="0.25">
      <c r="A3216" s="307"/>
      <c r="B3216" s="307"/>
    </row>
    <row r="3217" spans="1:2" x14ac:dyDescent="0.25">
      <c r="A3217" s="307"/>
      <c r="B3217" s="307"/>
    </row>
    <row r="3218" spans="1:2" x14ac:dyDescent="0.25">
      <c r="A3218" s="307"/>
      <c r="B3218" s="307"/>
    </row>
    <row r="3219" spans="1:2" x14ac:dyDescent="0.25">
      <c r="A3219" s="307"/>
      <c r="B3219" s="307"/>
    </row>
    <row r="3220" spans="1:2" x14ac:dyDescent="0.25">
      <c r="A3220" s="307"/>
      <c r="B3220" s="307"/>
    </row>
    <row r="3221" spans="1:2" x14ac:dyDescent="0.25">
      <c r="A3221" s="307"/>
      <c r="B3221" s="307"/>
    </row>
    <row r="3222" spans="1:2" x14ac:dyDescent="0.25">
      <c r="A3222" s="307"/>
      <c r="B3222" s="307"/>
    </row>
    <row r="3223" spans="1:2" x14ac:dyDescent="0.25">
      <c r="A3223" s="307"/>
      <c r="B3223" s="307"/>
    </row>
    <row r="3224" spans="1:2" x14ac:dyDescent="0.25">
      <c r="A3224" s="307"/>
      <c r="B3224" s="307"/>
    </row>
    <row r="3225" spans="1:2" x14ac:dyDescent="0.25">
      <c r="A3225" s="307"/>
      <c r="B3225" s="307"/>
    </row>
    <row r="3226" spans="1:2" x14ac:dyDescent="0.25">
      <c r="A3226" s="307"/>
      <c r="B3226" s="307"/>
    </row>
    <row r="3227" spans="1:2" x14ac:dyDescent="0.25">
      <c r="A3227" s="307"/>
      <c r="B3227" s="307"/>
    </row>
    <row r="3228" spans="1:2" x14ac:dyDescent="0.25">
      <c r="A3228" s="307"/>
      <c r="B3228" s="307"/>
    </row>
    <row r="3229" spans="1:2" x14ac:dyDescent="0.25">
      <c r="A3229" s="307"/>
      <c r="B3229" s="307"/>
    </row>
    <row r="3230" spans="1:2" x14ac:dyDescent="0.25">
      <c r="A3230" s="307"/>
      <c r="B3230" s="307"/>
    </row>
    <row r="3231" spans="1:2" x14ac:dyDescent="0.25">
      <c r="A3231" s="307"/>
      <c r="B3231" s="307"/>
    </row>
    <row r="3232" spans="1:2" x14ac:dyDescent="0.25">
      <c r="A3232" s="307"/>
      <c r="B3232" s="307"/>
    </row>
    <row r="3233" spans="1:2" x14ac:dyDescent="0.25">
      <c r="A3233" s="307"/>
      <c r="B3233" s="307"/>
    </row>
    <row r="3234" spans="1:2" x14ac:dyDescent="0.25">
      <c r="A3234" s="307"/>
      <c r="B3234" s="307"/>
    </row>
    <row r="3235" spans="1:2" x14ac:dyDescent="0.25">
      <c r="A3235" s="307"/>
      <c r="B3235" s="307"/>
    </row>
    <row r="3236" spans="1:2" x14ac:dyDescent="0.25">
      <c r="A3236" s="307"/>
      <c r="B3236" s="307"/>
    </row>
    <row r="3237" spans="1:2" x14ac:dyDescent="0.25">
      <c r="A3237" s="307"/>
      <c r="B3237" s="307"/>
    </row>
    <row r="3238" spans="1:2" x14ac:dyDescent="0.25">
      <c r="A3238" s="307"/>
      <c r="B3238" s="307"/>
    </row>
    <row r="3239" spans="1:2" x14ac:dyDescent="0.25">
      <c r="A3239" s="307"/>
      <c r="B3239" s="307"/>
    </row>
    <row r="3240" spans="1:2" x14ac:dyDescent="0.25">
      <c r="A3240" s="307"/>
      <c r="B3240" s="307"/>
    </row>
    <row r="3241" spans="1:2" x14ac:dyDescent="0.25">
      <c r="A3241" s="307"/>
      <c r="B3241" s="307"/>
    </row>
    <row r="3242" spans="1:2" x14ac:dyDescent="0.25">
      <c r="A3242" s="307"/>
      <c r="B3242" s="307"/>
    </row>
    <row r="3243" spans="1:2" x14ac:dyDescent="0.25">
      <c r="A3243" s="307"/>
      <c r="B3243" s="307"/>
    </row>
    <row r="3244" spans="1:2" x14ac:dyDescent="0.25">
      <c r="A3244" s="307"/>
      <c r="B3244" s="307"/>
    </row>
    <row r="3245" spans="1:2" x14ac:dyDescent="0.25">
      <c r="A3245" s="307"/>
      <c r="B3245" s="307"/>
    </row>
    <row r="3246" spans="1:2" x14ac:dyDescent="0.25">
      <c r="A3246" s="307"/>
      <c r="B3246" s="307"/>
    </row>
    <row r="3247" spans="1:2" x14ac:dyDescent="0.25">
      <c r="A3247" s="307"/>
      <c r="B3247" s="307"/>
    </row>
    <row r="3248" spans="1:2" x14ac:dyDescent="0.25">
      <c r="A3248" s="307"/>
      <c r="B3248" s="307"/>
    </row>
    <row r="3249" spans="1:2" x14ac:dyDescent="0.25">
      <c r="A3249" s="307"/>
      <c r="B3249" s="307"/>
    </row>
    <row r="3250" spans="1:2" x14ac:dyDescent="0.25">
      <c r="A3250" s="307"/>
      <c r="B3250" s="307"/>
    </row>
    <row r="3251" spans="1:2" x14ac:dyDescent="0.25">
      <c r="A3251" s="307"/>
      <c r="B3251" s="307"/>
    </row>
    <row r="3252" spans="1:2" x14ac:dyDescent="0.25">
      <c r="A3252" s="307"/>
      <c r="B3252" s="307"/>
    </row>
    <row r="3253" spans="1:2" x14ac:dyDescent="0.25">
      <c r="A3253" s="307"/>
      <c r="B3253" s="307"/>
    </row>
    <row r="3254" spans="1:2" x14ac:dyDescent="0.25">
      <c r="A3254" s="307"/>
      <c r="B3254" s="307"/>
    </row>
    <row r="3255" spans="1:2" x14ac:dyDescent="0.25">
      <c r="A3255" s="307"/>
      <c r="B3255" s="307"/>
    </row>
    <row r="3256" spans="1:2" x14ac:dyDescent="0.25">
      <c r="A3256" s="307"/>
      <c r="B3256" s="307"/>
    </row>
    <row r="3257" spans="1:2" x14ac:dyDescent="0.25">
      <c r="A3257" s="307"/>
      <c r="B3257" s="307"/>
    </row>
    <row r="3258" spans="1:2" x14ac:dyDescent="0.25">
      <c r="A3258" s="307"/>
      <c r="B3258" s="307"/>
    </row>
    <row r="3259" spans="1:2" x14ac:dyDescent="0.25">
      <c r="A3259" s="307"/>
      <c r="B3259" s="307"/>
    </row>
    <row r="3260" spans="1:2" x14ac:dyDescent="0.25">
      <c r="A3260" s="307"/>
      <c r="B3260" s="307"/>
    </row>
    <row r="3261" spans="1:2" x14ac:dyDescent="0.25">
      <c r="A3261" s="307"/>
      <c r="B3261" s="307"/>
    </row>
    <row r="3262" spans="1:2" x14ac:dyDescent="0.25">
      <c r="A3262" s="307"/>
      <c r="B3262" s="307"/>
    </row>
    <row r="3263" spans="1:2" x14ac:dyDescent="0.25">
      <c r="A3263" s="307"/>
      <c r="B3263" s="307"/>
    </row>
    <row r="3264" spans="1:2" x14ac:dyDescent="0.25">
      <c r="A3264" s="307"/>
      <c r="B3264" s="307"/>
    </row>
    <row r="3265" spans="1:2" x14ac:dyDescent="0.25">
      <c r="A3265" s="307"/>
      <c r="B3265" s="307"/>
    </row>
    <row r="3266" spans="1:2" x14ac:dyDescent="0.25">
      <c r="A3266" s="307"/>
      <c r="B3266" s="307"/>
    </row>
    <row r="3267" spans="1:2" x14ac:dyDescent="0.25">
      <c r="A3267" s="307"/>
      <c r="B3267" s="307"/>
    </row>
    <row r="3268" spans="1:2" x14ac:dyDescent="0.25">
      <c r="A3268" s="307"/>
      <c r="B3268" s="307"/>
    </row>
    <row r="3269" spans="1:2" x14ac:dyDescent="0.25">
      <c r="A3269" s="307"/>
      <c r="B3269" s="307"/>
    </row>
    <row r="3270" spans="1:2" x14ac:dyDescent="0.25">
      <c r="A3270" s="307"/>
      <c r="B3270" s="307"/>
    </row>
    <row r="3271" spans="1:2" x14ac:dyDescent="0.25">
      <c r="A3271" s="307"/>
      <c r="B3271" s="307"/>
    </row>
    <row r="3272" spans="1:2" x14ac:dyDescent="0.25">
      <c r="A3272" s="307"/>
      <c r="B3272" s="307"/>
    </row>
    <row r="3273" spans="1:2" x14ac:dyDescent="0.25">
      <c r="A3273" s="307"/>
      <c r="B3273" s="307"/>
    </row>
    <row r="3274" spans="1:2" x14ac:dyDescent="0.25">
      <c r="A3274" s="307"/>
      <c r="B3274" s="307"/>
    </row>
    <row r="3275" spans="1:2" x14ac:dyDescent="0.25">
      <c r="A3275" s="307"/>
      <c r="B3275" s="307"/>
    </row>
    <row r="3276" spans="1:2" x14ac:dyDescent="0.25">
      <c r="A3276" s="307"/>
      <c r="B3276" s="307"/>
    </row>
    <row r="3277" spans="1:2" x14ac:dyDescent="0.25">
      <c r="A3277" s="307"/>
      <c r="B3277" s="307"/>
    </row>
    <row r="3278" spans="1:2" x14ac:dyDescent="0.25">
      <c r="A3278" s="307"/>
      <c r="B3278" s="307"/>
    </row>
    <row r="3279" spans="1:2" x14ac:dyDescent="0.25">
      <c r="A3279" s="307"/>
      <c r="B3279" s="307"/>
    </row>
    <row r="3280" spans="1:2" x14ac:dyDescent="0.25">
      <c r="A3280" s="307"/>
      <c r="B3280" s="307"/>
    </row>
    <row r="3281" spans="1:2" x14ac:dyDescent="0.25">
      <c r="A3281" s="307"/>
      <c r="B3281" s="307"/>
    </row>
    <row r="3282" spans="1:2" x14ac:dyDescent="0.25">
      <c r="A3282" s="307"/>
      <c r="B3282" s="307"/>
    </row>
    <row r="3283" spans="1:2" x14ac:dyDescent="0.25">
      <c r="A3283" s="307"/>
      <c r="B3283" s="307"/>
    </row>
    <row r="3284" spans="1:2" x14ac:dyDescent="0.25">
      <c r="A3284" s="307"/>
      <c r="B3284" s="307"/>
    </row>
    <row r="3285" spans="1:2" x14ac:dyDescent="0.25">
      <c r="A3285" s="307"/>
      <c r="B3285" s="307"/>
    </row>
    <row r="3286" spans="1:2" x14ac:dyDescent="0.25">
      <c r="A3286" s="307"/>
      <c r="B3286" s="307"/>
    </row>
    <row r="3287" spans="1:2" x14ac:dyDescent="0.25">
      <c r="A3287" s="307"/>
      <c r="B3287" s="307"/>
    </row>
    <row r="3288" spans="1:2" x14ac:dyDescent="0.25">
      <c r="A3288" s="307"/>
      <c r="B3288" s="307"/>
    </row>
    <row r="3289" spans="1:2" x14ac:dyDescent="0.25">
      <c r="A3289" s="307"/>
      <c r="B3289" s="307"/>
    </row>
    <row r="3290" spans="1:2" x14ac:dyDescent="0.25">
      <c r="A3290" s="307"/>
      <c r="B3290" s="307"/>
    </row>
    <row r="3291" spans="1:2" x14ac:dyDescent="0.25">
      <c r="A3291" s="307"/>
      <c r="B3291" s="307"/>
    </row>
    <row r="3292" spans="1:2" x14ac:dyDescent="0.25">
      <c r="A3292" s="307"/>
      <c r="B3292" s="307"/>
    </row>
    <row r="3293" spans="1:2" x14ac:dyDescent="0.25">
      <c r="A3293" s="307"/>
      <c r="B3293" s="307"/>
    </row>
    <row r="3294" spans="1:2" x14ac:dyDescent="0.25">
      <c r="A3294" s="307"/>
      <c r="B3294" s="307"/>
    </row>
    <row r="3295" spans="1:2" x14ac:dyDescent="0.25">
      <c r="A3295" s="307"/>
      <c r="B3295" s="307"/>
    </row>
    <row r="3296" spans="1:2" x14ac:dyDescent="0.25">
      <c r="A3296" s="307"/>
      <c r="B3296" s="307"/>
    </row>
    <row r="3297" spans="1:2" x14ac:dyDescent="0.25">
      <c r="A3297" s="307"/>
      <c r="B3297" s="307"/>
    </row>
    <row r="3298" spans="1:2" x14ac:dyDescent="0.25">
      <c r="A3298" s="307"/>
      <c r="B3298" s="307"/>
    </row>
    <row r="3299" spans="1:2" x14ac:dyDescent="0.25">
      <c r="A3299" s="307"/>
      <c r="B3299" s="307"/>
    </row>
    <row r="3300" spans="1:2" x14ac:dyDescent="0.25">
      <c r="A3300" s="307"/>
      <c r="B3300" s="307"/>
    </row>
    <row r="3301" spans="1:2" x14ac:dyDescent="0.25">
      <c r="A3301" s="307"/>
      <c r="B3301" s="307"/>
    </row>
    <row r="3302" spans="1:2" x14ac:dyDescent="0.25">
      <c r="A3302" s="307"/>
      <c r="B3302" s="307"/>
    </row>
    <row r="3303" spans="1:2" x14ac:dyDescent="0.25">
      <c r="A3303" s="307"/>
      <c r="B3303" s="307"/>
    </row>
    <row r="3304" spans="1:2" x14ac:dyDescent="0.25">
      <c r="A3304" s="307"/>
      <c r="B3304" s="307"/>
    </row>
    <row r="3305" spans="1:2" x14ac:dyDescent="0.25">
      <c r="A3305" s="307"/>
      <c r="B3305" s="307"/>
    </row>
    <row r="3306" spans="1:2" x14ac:dyDescent="0.25">
      <c r="A3306" s="307"/>
      <c r="B3306" s="307"/>
    </row>
    <row r="3307" spans="1:2" x14ac:dyDescent="0.25">
      <c r="A3307" s="307"/>
      <c r="B3307" s="307"/>
    </row>
    <row r="3308" spans="1:2" x14ac:dyDescent="0.25">
      <c r="A3308" s="307"/>
      <c r="B3308" s="307"/>
    </row>
    <row r="3309" spans="1:2" x14ac:dyDescent="0.25">
      <c r="A3309" s="307"/>
      <c r="B3309" s="307"/>
    </row>
    <row r="3310" spans="1:2" x14ac:dyDescent="0.25">
      <c r="A3310" s="307"/>
      <c r="B3310" s="307"/>
    </row>
    <row r="3311" spans="1:2" x14ac:dyDescent="0.25">
      <c r="A3311" s="307"/>
      <c r="B3311" s="307"/>
    </row>
    <row r="3312" spans="1:2" x14ac:dyDescent="0.25">
      <c r="A3312" s="307"/>
      <c r="B3312" s="307"/>
    </row>
    <row r="3313" spans="1:2" x14ac:dyDescent="0.25">
      <c r="A3313" s="307"/>
      <c r="B3313" s="307"/>
    </row>
    <row r="3314" spans="1:2" x14ac:dyDescent="0.25">
      <c r="A3314" s="307"/>
      <c r="B3314" s="307"/>
    </row>
    <row r="3315" spans="1:2" x14ac:dyDescent="0.25">
      <c r="A3315" s="307"/>
      <c r="B3315" s="307"/>
    </row>
    <row r="3316" spans="1:2" x14ac:dyDescent="0.25">
      <c r="A3316" s="307"/>
      <c r="B3316" s="307"/>
    </row>
    <row r="3317" spans="1:2" x14ac:dyDescent="0.25">
      <c r="A3317" s="307"/>
      <c r="B3317" s="307"/>
    </row>
    <row r="3318" spans="1:2" x14ac:dyDescent="0.25">
      <c r="A3318" s="307"/>
      <c r="B3318" s="307"/>
    </row>
    <row r="3319" spans="1:2" x14ac:dyDescent="0.25">
      <c r="A3319" s="307"/>
      <c r="B3319" s="307"/>
    </row>
    <row r="3320" spans="1:2" x14ac:dyDescent="0.25">
      <c r="A3320" s="307"/>
      <c r="B3320" s="307"/>
    </row>
    <row r="3321" spans="1:2" x14ac:dyDescent="0.25">
      <c r="A3321" s="307"/>
      <c r="B3321" s="307"/>
    </row>
    <row r="3322" spans="1:2" x14ac:dyDescent="0.25">
      <c r="A3322" s="307"/>
      <c r="B3322" s="307"/>
    </row>
    <row r="3323" spans="1:2" x14ac:dyDescent="0.25">
      <c r="A3323" s="307"/>
      <c r="B3323" s="307"/>
    </row>
    <row r="3324" spans="1:2" x14ac:dyDescent="0.25">
      <c r="A3324" s="307"/>
      <c r="B3324" s="307"/>
    </row>
    <row r="3325" spans="1:2" x14ac:dyDescent="0.25">
      <c r="A3325" s="307"/>
      <c r="B3325" s="307"/>
    </row>
    <row r="3326" spans="1:2" x14ac:dyDescent="0.25">
      <c r="A3326" s="307"/>
      <c r="B3326" s="307"/>
    </row>
    <row r="3327" spans="1:2" x14ac:dyDescent="0.25">
      <c r="A3327" s="307"/>
      <c r="B3327" s="307"/>
    </row>
    <row r="3328" spans="1:2" x14ac:dyDescent="0.25">
      <c r="A3328" s="307"/>
      <c r="B3328" s="307"/>
    </row>
    <row r="3329" spans="1:2" x14ac:dyDescent="0.25">
      <c r="A3329" s="307"/>
      <c r="B3329" s="307"/>
    </row>
    <row r="3330" spans="1:2" x14ac:dyDescent="0.25">
      <c r="A3330" s="307"/>
      <c r="B3330" s="307"/>
    </row>
    <row r="3331" spans="1:2" x14ac:dyDescent="0.25">
      <c r="A3331" s="307"/>
      <c r="B3331" s="307"/>
    </row>
    <row r="3332" spans="1:2" x14ac:dyDescent="0.25">
      <c r="A3332" s="307"/>
      <c r="B3332" s="307"/>
    </row>
    <row r="3333" spans="1:2" x14ac:dyDescent="0.25">
      <c r="A3333" s="307"/>
      <c r="B3333" s="307"/>
    </row>
    <row r="3334" spans="1:2" x14ac:dyDescent="0.25">
      <c r="A3334" s="307"/>
      <c r="B3334" s="307"/>
    </row>
    <row r="3335" spans="1:2" x14ac:dyDescent="0.25">
      <c r="A3335" s="307"/>
      <c r="B3335" s="307"/>
    </row>
    <row r="3336" spans="1:2" x14ac:dyDescent="0.25">
      <c r="A3336" s="307"/>
      <c r="B3336" s="307"/>
    </row>
    <row r="3337" spans="1:2" x14ac:dyDescent="0.25">
      <c r="A3337" s="307"/>
      <c r="B3337" s="307"/>
    </row>
    <row r="3338" spans="1:2" x14ac:dyDescent="0.25">
      <c r="A3338" s="307"/>
      <c r="B3338" s="307"/>
    </row>
    <row r="3339" spans="1:2" x14ac:dyDescent="0.25">
      <c r="A3339" s="307"/>
      <c r="B3339" s="307"/>
    </row>
    <row r="3340" spans="1:2" x14ac:dyDescent="0.25">
      <c r="A3340" s="307"/>
      <c r="B3340" s="307"/>
    </row>
    <row r="3341" spans="1:2" x14ac:dyDescent="0.25">
      <c r="A3341" s="307"/>
      <c r="B3341" s="307"/>
    </row>
    <row r="3342" spans="1:2" x14ac:dyDescent="0.25">
      <c r="A3342" s="307"/>
      <c r="B3342" s="307"/>
    </row>
    <row r="3343" spans="1:2" x14ac:dyDescent="0.25">
      <c r="A3343" s="307"/>
      <c r="B3343" s="307"/>
    </row>
    <row r="3344" spans="1:2" x14ac:dyDescent="0.25">
      <c r="A3344" s="307"/>
      <c r="B3344" s="307"/>
    </row>
    <row r="3345" spans="1:2" x14ac:dyDescent="0.25">
      <c r="A3345" s="307"/>
      <c r="B3345" s="307"/>
    </row>
    <row r="3346" spans="1:2" x14ac:dyDescent="0.25">
      <c r="A3346" s="307"/>
      <c r="B3346" s="307"/>
    </row>
    <row r="3347" spans="1:2" x14ac:dyDescent="0.25">
      <c r="A3347" s="307"/>
      <c r="B3347" s="307"/>
    </row>
    <row r="3348" spans="1:2" x14ac:dyDescent="0.25">
      <c r="A3348" s="307"/>
      <c r="B3348" s="307"/>
    </row>
    <row r="3349" spans="1:2" x14ac:dyDescent="0.25">
      <c r="A3349" s="307"/>
      <c r="B3349" s="307"/>
    </row>
    <row r="3350" spans="1:2" x14ac:dyDescent="0.25">
      <c r="A3350" s="307"/>
      <c r="B3350" s="307"/>
    </row>
    <row r="3351" spans="1:2" x14ac:dyDescent="0.25">
      <c r="A3351" s="307"/>
      <c r="B3351" s="307"/>
    </row>
    <row r="3352" spans="1:2" x14ac:dyDescent="0.25">
      <c r="A3352" s="307"/>
      <c r="B3352" s="307"/>
    </row>
    <row r="3353" spans="1:2" x14ac:dyDescent="0.25">
      <c r="A3353" s="307"/>
      <c r="B3353" s="307"/>
    </row>
    <row r="3354" spans="1:2" x14ac:dyDescent="0.25">
      <c r="A3354" s="307"/>
      <c r="B3354" s="307"/>
    </row>
    <row r="3355" spans="1:2" x14ac:dyDescent="0.25">
      <c r="A3355" s="307"/>
      <c r="B3355" s="307"/>
    </row>
    <row r="3356" spans="1:2" x14ac:dyDescent="0.25">
      <c r="A3356" s="307"/>
      <c r="B3356" s="307"/>
    </row>
    <row r="3357" spans="1:2" x14ac:dyDescent="0.25">
      <c r="A3357" s="307"/>
      <c r="B3357" s="307"/>
    </row>
    <row r="3358" spans="1:2" x14ac:dyDescent="0.25">
      <c r="A3358" s="307"/>
      <c r="B3358" s="307"/>
    </row>
    <row r="3359" spans="1:2" x14ac:dyDescent="0.25">
      <c r="A3359" s="307"/>
      <c r="B3359" s="307"/>
    </row>
    <row r="3360" spans="1:2" x14ac:dyDescent="0.25">
      <c r="A3360" s="307"/>
      <c r="B3360" s="307"/>
    </row>
    <row r="3361" spans="1:2" x14ac:dyDescent="0.25">
      <c r="A3361" s="307"/>
      <c r="B3361" s="307"/>
    </row>
    <row r="3362" spans="1:2" x14ac:dyDescent="0.25">
      <c r="A3362" s="307"/>
      <c r="B3362" s="307"/>
    </row>
    <row r="3363" spans="1:2" x14ac:dyDescent="0.25">
      <c r="A3363" s="307"/>
      <c r="B3363" s="307"/>
    </row>
    <row r="3364" spans="1:2" x14ac:dyDescent="0.25">
      <c r="A3364" s="307"/>
      <c r="B3364" s="307"/>
    </row>
    <row r="3365" spans="1:2" x14ac:dyDescent="0.25">
      <c r="A3365" s="307"/>
      <c r="B3365" s="307"/>
    </row>
    <row r="3366" spans="1:2" x14ac:dyDescent="0.25">
      <c r="A3366" s="307"/>
      <c r="B3366" s="307"/>
    </row>
    <row r="3367" spans="1:2" x14ac:dyDescent="0.25">
      <c r="A3367" s="307"/>
      <c r="B3367" s="307"/>
    </row>
    <row r="3368" spans="1:2" x14ac:dyDescent="0.25">
      <c r="A3368" s="307"/>
      <c r="B3368" s="307"/>
    </row>
    <row r="3369" spans="1:2" x14ac:dyDescent="0.25">
      <c r="A3369" s="307"/>
      <c r="B3369" s="307"/>
    </row>
    <row r="3370" spans="1:2" x14ac:dyDescent="0.25">
      <c r="A3370" s="307"/>
      <c r="B3370" s="307"/>
    </row>
    <row r="3371" spans="1:2" x14ac:dyDescent="0.25">
      <c r="A3371" s="307"/>
      <c r="B3371" s="307"/>
    </row>
    <row r="3372" spans="1:2" x14ac:dyDescent="0.25">
      <c r="A3372" s="307"/>
      <c r="B3372" s="307"/>
    </row>
    <row r="3373" spans="1:2" x14ac:dyDescent="0.25">
      <c r="A3373" s="307"/>
      <c r="B3373" s="307"/>
    </row>
    <row r="3374" spans="1:2" x14ac:dyDescent="0.25">
      <c r="A3374" s="307"/>
      <c r="B3374" s="307"/>
    </row>
    <row r="3375" spans="1:2" x14ac:dyDescent="0.25">
      <c r="A3375" s="307"/>
      <c r="B3375" s="307"/>
    </row>
    <row r="3376" spans="1:2" x14ac:dyDescent="0.25">
      <c r="A3376" s="307"/>
      <c r="B3376" s="307"/>
    </row>
    <row r="3377" spans="1:2" x14ac:dyDescent="0.25">
      <c r="A3377" s="307"/>
      <c r="B3377" s="307"/>
    </row>
    <row r="3378" spans="1:2" x14ac:dyDescent="0.25">
      <c r="A3378" s="307"/>
      <c r="B3378" s="307"/>
    </row>
    <row r="3379" spans="1:2" x14ac:dyDescent="0.25">
      <c r="A3379" s="307"/>
      <c r="B3379" s="307"/>
    </row>
    <row r="3380" spans="1:2" x14ac:dyDescent="0.25">
      <c r="A3380" s="307"/>
      <c r="B3380" s="307"/>
    </row>
    <row r="3381" spans="1:2" x14ac:dyDescent="0.25">
      <c r="A3381" s="307"/>
      <c r="B3381" s="307"/>
    </row>
    <row r="3382" spans="1:2" x14ac:dyDescent="0.25">
      <c r="A3382" s="307"/>
      <c r="B3382" s="307"/>
    </row>
    <row r="3383" spans="1:2" x14ac:dyDescent="0.25">
      <c r="A3383" s="307"/>
      <c r="B3383" s="307"/>
    </row>
    <row r="3384" spans="1:2" x14ac:dyDescent="0.25">
      <c r="A3384" s="307"/>
      <c r="B3384" s="307"/>
    </row>
    <row r="3385" spans="1:2" x14ac:dyDescent="0.25">
      <c r="A3385" s="307"/>
      <c r="B3385" s="307"/>
    </row>
    <row r="3386" spans="1:2" x14ac:dyDescent="0.25">
      <c r="A3386" s="307"/>
      <c r="B3386" s="307"/>
    </row>
    <row r="3387" spans="1:2" x14ac:dyDescent="0.25">
      <c r="A3387" s="307"/>
      <c r="B3387" s="307"/>
    </row>
    <row r="3388" spans="1:2" x14ac:dyDescent="0.25">
      <c r="A3388" s="307"/>
      <c r="B3388" s="307"/>
    </row>
    <row r="3389" spans="1:2" x14ac:dyDescent="0.25">
      <c r="A3389" s="307"/>
      <c r="B3389" s="307"/>
    </row>
    <row r="3390" spans="1:2" x14ac:dyDescent="0.25">
      <c r="A3390" s="307"/>
      <c r="B3390" s="307"/>
    </row>
    <row r="3391" spans="1:2" x14ac:dyDescent="0.25">
      <c r="A3391" s="307"/>
      <c r="B3391" s="307"/>
    </row>
    <row r="3392" spans="1:2" x14ac:dyDescent="0.25">
      <c r="A3392" s="307"/>
      <c r="B3392" s="307"/>
    </row>
    <row r="3393" spans="1:2" x14ac:dyDescent="0.25">
      <c r="A3393" s="307"/>
      <c r="B3393" s="307"/>
    </row>
    <row r="3394" spans="1:2" x14ac:dyDescent="0.25">
      <c r="A3394" s="307"/>
      <c r="B3394" s="307"/>
    </row>
    <row r="3395" spans="1:2" x14ac:dyDescent="0.25">
      <c r="A3395" s="307"/>
      <c r="B3395" s="307"/>
    </row>
    <row r="3396" spans="1:2" x14ac:dyDescent="0.25">
      <c r="A3396" s="307"/>
      <c r="B3396" s="307"/>
    </row>
    <row r="3397" spans="1:2" x14ac:dyDescent="0.25">
      <c r="A3397" s="307"/>
      <c r="B3397" s="307"/>
    </row>
    <row r="3398" spans="1:2" x14ac:dyDescent="0.25">
      <c r="A3398" s="307"/>
      <c r="B3398" s="307"/>
    </row>
    <row r="3399" spans="1:2" x14ac:dyDescent="0.25">
      <c r="A3399" s="307"/>
      <c r="B3399" s="307"/>
    </row>
    <row r="3400" spans="1:2" x14ac:dyDescent="0.25">
      <c r="A3400" s="307"/>
      <c r="B3400" s="307"/>
    </row>
    <row r="3401" spans="1:2" x14ac:dyDescent="0.25">
      <c r="A3401" s="307"/>
      <c r="B3401" s="307"/>
    </row>
    <row r="3402" spans="1:2" x14ac:dyDescent="0.25">
      <c r="A3402" s="307"/>
      <c r="B3402" s="307"/>
    </row>
    <row r="3403" spans="1:2" x14ac:dyDescent="0.25">
      <c r="A3403" s="307"/>
      <c r="B3403" s="307"/>
    </row>
    <row r="3404" spans="1:2" x14ac:dyDescent="0.25">
      <c r="A3404" s="307"/>
      <c r="B3404" s="307"/>
    </row>
    <row r="3405" spans="1:2" x14ac:dyDescent="0.25">
      <c r="A3405" s="307"/>
      <c r="B3405" s="307"/>
    </row>
    <row r="3406" spans="1:2" x14ac:dyDescent="0.25">
      <c r="A3406" s="307"/>
      <c r="B3406" s="307"/>
    </row>
    <row r="3407" spans="1:2" x14ac:dyDescent="0.25">
      <c r="A3407" s="307"/>
      <c r="B3407" s="307"/>
    </row>
    <row r="3408" spans="1:2" x14ac:dyDescent="0.25">
      <c r="A3408" s="307"/>
      <c r="B3408" s="307"/>
    </row>
    <row r="3409" spans="1:2" x14ac:dyDescent="0.25">
      <c r="A3409" s="307"/>
      <c r="B3409" s="307"/>
    </row>
    <row r="3410" spans="1:2" x14ac:dyDescent="0.25">
      <c r="A3410" s="307"/>
      <c r="B3410" s="307"/>
    </row>
    <row r="3411" spans="1:2" x14ac:dyDescent="0.25">
      <c r="A3411" s="307"/>
      <c r="B3411" s="307"/>
    </row>
    <row r="3412" spans="1:2" x14ac:dyDescent="0.25">
      <c r="A3412" s="307"/>
      <c r="B3412" s="307"/>
    </row>
    <row r="3413" spans="1:2" x14ac:dyDescent="0.25">
      <c r="A3413" s="307"/>
      <c r="B3413" s="307"/>
    </row>
    <row r="3414" spans="1:2" x14ac:dyDescent="0.25">
      <c r="A3414" s="307"/>
      <c r="B3414" s="307"/>
    </row>
    <row r="3415" spans="1:2" x14ac:dyDescent="0.25">
      <c r="A3415" s="307"/>
      <c r="B3415" s="307"/>
    </row>
    <row r="3416" spans="1:2" x14ac:dyDescent="0.25">
      <c r="A3416" s="307"/>
      <c r="B3416" s="307"/>
    </row>
    <row r="3417" spans="1:2" x14ac:dyDescent="0.25">
      <c r="A3417" s="307"/>
      <c r="B3417" s="307"/>
    </row>
    <row r="3418" spans="1:2" x14ac:dyDescent="0.25">
      <c r="A3418" s="307"/>
      <c r="B3418" s="307"/>
    </row>
    <row r="3419" spans="1:2" x14ac:dyDescent="0.25">
      <c r="A3419" s="307"/>
      <c r="B3419" s="307"/>
    </row>
    <row r="3420" spans="1:2" x14ac:dyDescent="0.25">
      <c r="A3420" s="307"/>
      <c r="B3420" s="307"/>
    </row>
    <row r="3421" spans="1:2" x14ac:dyDescent="0.25">
      <c r="A3421" s="307"/>
      <c r="B3421" s="307"/>
    </row>
    <row r="3422" spans="1:2" x14ac:dyDescent="0.25">
      <c r="A3422" s="307"/>
      <c r="B3422" s="307"/>
    </row>
    <row r="3423" spans="1:2" x14ac:dyDescent="0.25">
      <c r="A3423" s="307"/>
      <c r="B3423" s="307"/>
    </row>
    <row r="3424" spans="1:2" x14ac:dyDescent="0.25">
      <c r="A3424" s="307"/>
      <c r="B3424" s="307"/>
    </row>
    <row r="3425" spans="1:2" x14ac:dyDescent="0.25">
      <c r="A3425" s="307"/>
      <c r="B3425" s="307"/>
    </row>
    <row r="3426" spans="1:2" x14ac:dyDescent="0.25">
      <c r="A3426" s="307"/>
      <c r="B3426" s="307"/>
    </row>
    <row r="3427" spans="1:2" x14ac:dyDescent="0.25">
      <c r="A3427" s="307"/>
      <c r="B3427" s="307"/>
    </row>
    <row r="3428" spans="1:2" x14ac:dyDescent="0.25">
      <c r="A3428" s="307"/>
      <c r="B3428" s="307"/>
    </row>
    <row r="3429" spans="1:2" x14ac:dyDescent="0.25">
      <c r="A3429" s="307"/>
      <c r="B3429" s="307"/>
    </row>
    <row r="3430" spans="1:2" x14ac:dyDescent="0.25">
      <c r="A3430" s="307"/>
      <c r="B3430" s="307"/>
    </row>
    <row r="3431" spans="1:2" x14ac:dyDescent="0.25">
      <c r="A3431" s="307"/>
      <c r="B3431" s="307"/>
    </row>
    <row r="3432" spans="1:2" x14ac:dyDescent="0.25">
      <c r="A3432" s="307"/>
      <c r="B3432" s="307"/>
    </row>
    <row r="3433" spans="1:2" x14ac:dyDescent="0.25">
      <c r="A3433" s="307"/>
      <c r="B3433" s="307"/>
    </row>
    <row r="3434" spans="1:2" x14ac:dyDescent="0.25">
      <c r="A3434" s="307"/>
      <c r="B3434" s="307"/>
    </row>
    <row r="3435" spans="1:2" x14ac:dyDescent="0.25">
      <c r="A3435" s="307"/>
      <c r="B3435" s="307"/>
    </row>
    <row r="3436" spans="1:2" x14ac:dyDescent="0.25">
      <c r="A3436" s="307"/>
      <c r="B3436" s="307"/>
    </row>
    <row r="3437" spans="1:2" x14ac:dyDescent="0.25">
      <c r="A3437" s="307"/>
      <c r="B3437" s="307"/>
    </row>
    <row r="3438" spans="1:2" x14ac:dyDescent="0.25">
      <c r="A3438" s="307"/>
      <c r="B3438" s="307"/>
    </row>
    <row r="3439" spans="1:2" x14ac:dyDescent="0.25">
      <c r="A3439" s="307"/>
      <c r="B3439" s="307"/>
    </row>
    <row r="3440" spans="1:2" x14ac:dyDescent="0.25">
      <c r="A3440" s="307"/>
      <c r="B3440" s="307"/>
    </row>
    <row r="3441" spans="1:2" x14ac:dyDescent="0.25">
      <c r="A3441" s="307"/>
      <c r="B3441" s="307"/>
    </row>
    <row r="3442" spans="1:2" x14ac:dyDescent="0.25">
      <c r="A3442" s="307"/>
      <c r="B3442" s="307"/>
    </row>
    <row r="3443" spans="1:2" x14ac:dyDescent="0.25">
      <c r="A3443" s="307"/>
      <c r="B3443" s="307"/>
    </row>
    <row r="3444" spans="1:2" x14ac:dyDescent="0.25">
      <c r="A3444" s="307"/>
      <c r="B3444" s="307"/>
    </row>
    <row r="3445" spans="1:2" x14ac:dyDescent="0.25">
      <c r="A3445" s="307"/>
      <c r="B3445" s="307"/>
    </row>
    <row r="3446" spans="1:2" x14ac:dyDescent="0.25">
      <c r="A3446" s="307"/>
      <c r="B3446" s="307"/>
    </row>
    <row r="3447" spans="1:2" x14ac:dyDescent="0.25">
      <c r="A3447" s="307"/>
      <c r="B3447" s="307"/>
    </row>
    <row r="3448" spans="1:2" x14ac:dyDescent="0.25">
      <c r="A3448" s="307"/>
      <c r="B3448" s="307"/>
    </row>
    <row r="3449" spans="1:2" x14ac:dyDescent="0.25">
      <c r="A3449" s="307"/>
      <c r="B3449" s="307"/>
    </row>
    <row r="3450" spans="1:2" x14ac:dyDescent="0.25">
      <c r="A3450" s="307"/>
      <c r="B3450" s="307"/>
    </row>
    <row r="3451" spans="1:2" x14ac:dyDescent="0.25">
      <c r="A3451" s="307"/>
      <c r="B3451" s="307"/>
    </row>
    <row r="3452" spans="1:2" x14ac:dyDescent="0.25">
      <c r="A3452" s="307"/>
      <c r="B3452" s="307"/>
    </row>
    <row r="3453" spans="1:2" x14ac:dyDescent="0.25">
      <c r="A3453" s="307"/>
      <c r="B3453" s="307"/>
    </row>
    <row r="3454" spans="1:2" x14ac:dyDescent="0.25">
      <c r="A3454" s="307"/>
      <c r="B3454" s="307"/>
    </row>
    <row r="3455" spans="1:2" x14ac:dyDescent="0.25">
      <c r="A3455" s="307"/>
      <c r="B3455" s="307"/>
    </row>
    <row r="3456" spans="1:2" x14ac:dyDescent="0.25">
      <c r="A3456" s="307"/>
      <c r="B3456" s="307"/>
    </row>
    <row r="3457" spans="1:2" x14ac:dyDescent="0.25">
      <c r="A3457" s="307"/>
      <c r="B3457" s="307"/>
    </row>
    <row r="3458" spans="1:2" x14ac:dyDescent="0.25">
      <c r="A3458" s="307"/>
      <c r="B3458" s="307"/>
    </row>
    <row r="3459" spans="1:2" x14ac:dyDescent="0.25">
      <c r="A3459" s="307"/>
      <c r="B3459" s="307"/>
    </row>
    <row r="3460" spans="1:2" x14ac:dyDescent="0.25">
      <c r="A3460" s="307"/>
      <c r="B3460" s="307"/>
    </row>
    <row r="3461" spans="1:2" x14ac:dyDescent="0.25">
      <c r="A3461" s="307"/>
      <c r="B3461" s="307"/>
    </row>
    <row r="3462" spans="1:2" x14ac:dyDescent="0.25">
      <c r="A3462" s="307"/>
      <c r="B3462" s="307"/>
    </row>
    <row r="3463" spans="1:2" x14ac:dyDescent="0.25">
      <c r="A3463" s="307"/>
      <c r="B3463" s="307"/>
    </row>
    <row r="3464" spans="1:2" x14ac:dyDescent="0.25">
      <c r="A3464" s="307"/>
      <c r="B3464" s="307"/>
    </row>
    <row r="3465" spans="1:2" x14ac:dyDescent="0.25">
      <c r="A3465" s="307"/>
      <c r="B3465" s="307"/>
    </row>
    <row r="3466" spans="1:2" x14ac:dyDescent="0.25">
      <c r="A3466" s="307"/>
      <c r="B3466" s="307"/>
    </row>
    <row r="3467" spans="1:2" x14ac:dyDescent="0.25">
      <c r="A3467" s="307"/>
      <c r="B3467" s="307"/>
    </row>
    <row r="3468" spans="1:2" x14ac:dyDescent="0.25">
      <c r="A3468" s="307"/>
      <c r="B3468" s="307"/>
    </row>
    <row r="3469" spans="1:2" x14ac:dyDescent="0.25">
      <c r="A3469" s="307"/>
      <c r="B3469" s="307"/>
    </row>
    <row r="3470" spans="1:2" x14ac:dyDescent="0.25">
      <c r="A3470" s="307"/>
      <c r="B3470" s="307"/>
    </row>
    <row r="3471" spans="1:2" x14ac:dyDescent="0.25">
      <c r="A3471" s="307"/>
      <c r="B3471" s="307"/>
    </row>
    <row r="3472" spans="1:2" x14ac:dyDescent="0.25">
      <c r="A3472" s="307"/>
      <c r="B3472" s="307"/>
    </row>
    <row r="3473" spans="1:2" x14ac:dyDescent="0.25">
      <c r="A3473" s="307"/>
      <c r="B3473" s="307"/>
    </row>
    <row r="3474" spans="1:2" x14ac:dyDescent="0.25">
      <c r="A3474" s="307"/>
      <c r="B3474" s="307"/>
    </row>
    <row r="3475" spans="1:2" x14ac:dyDescent="0.25">
      <c r="A3475" s="307"/>
      <c r="B3475" s="307"/>
    </row>
    <row r="3476" spans="1:2" x14ac:dyDescent="0.25">
      <c r="A3476" s="307"/>
      <c r="B3476" s="307"/>
    </row>
    <row r="3477" spans="1:2" x14ac:dyDescent="0.25">
      <c r="A3477" s="307"/>
      <c r="B3477" s="307"/>
    </row>
    <row r="3478" spans="1:2" x14ac:dyDescent="0.25">
      <c r="A3478" s="307"/>
      <c r="B3478" s="307"/>
    </row>
    <row r="3479" spans="1:2" x14ac:dyDescent="0.25">
      <c r="A3479" s="307"/>
      <c r="B3479" s="307"/>
    </row>
    <row r="3480" spans="1:2" x14ac:dyDescent="0.25">
      <c r="A3480" s="307"/>
      <c r="B3480" s="307"/>
    </row>
    <row r="3481" spans="1:2" x14ac:dyDescent="0.25">
      <c r="A3481" s="307"/>
      <c r="B3481" s="307"/>
    </row>
    <row r="3482" spans="1:2" x14ac:dyDescent="0.25">
      <c r="A3482" s="307"/>
      <c r="B3482" s="307"/>
    </row>
    <row r="3483" spans="1:2" x14ac:dyDescent="0.25">
      <c r="A3483" s="307"/>
      <c r="B3483" s="307"/>
    </row>
    <row r="3484" spans="1:2" x14ac:dyDescent="0.25">
      <c r="A3484" s="307"/>
      <c r="B3484" s="307"/>
    </row>
    <row r="3485" spans="1:2" x14ac:dyDescent="0.25">
      <c r="A3485" s="307"/>
      <c r="B3485" s="307"/>
    </row>
    <row r="3486" spans="1:2" x14ac:dyDescent="0.25">
      <c r="A3486" s="307"/>
      <c r="B3486" s="307"/>
    </row>
    <row r="3487" spans="1:2" x14ac:dyDescent="0.25">
      <c r="A3487" s="307"/>
      <c r="B3487" s="307"/>
    </row>
    <row r="3488" spans="1:2" x14ac:dyDescent="0.25">
      <c r="A3488" s="307"/>
      <c r="B3488" s="307"/>
    </row>
    <row r="3489" spans="1:2" x14ac:dyDescent="0.25">
      <c r="A3489" s="307"/>
      <c r="B3489" s="307"/>
    </row>
    <row r="3490" spans="1:2" x14ac:dyDescent="0.25">
      <c r="A3490" s="307"/>
      <c r="B3490" s="307"/>
    </row>
    <row r="3491" spans="1:2" x14ac:dyDescent="0.25">
      <c r="A3491" s="307"/>
      <c r="B3491" s="307"/>
    </row>
    <row r="3492" spans="1:2" x14ac:dyDescent="0.25">
      <c r="A3492" s="307"/>
      <c r="B3492" s="307"/>
    </row>
    <row r="3493" spans="1:2" x14ac:dyDescent="0.25">
      <c r="A3493" s="307"/>
      <c r="B3493" s="307"/>
    </row>
    <row r="3494" spans="1:2" x14ac:dyDescent="0.25">
      <c r="A3494" s="307"/>
      <c r="B3494" s="307"/>
    </row>
    <row r="3495" spans="1:2" x14ac:dyDescent="0.25">
      <c r="A3495" s="307"/>
      <c r="B3495" s="307"/>
    </row>
    <row r="3496" spans="1:2" x14ac:dyDescent="0.25">
      <c r="A3496" s="307"/>
      <c r="B3496" s="307"/>
    </row>
    <row r="3497" spans="1:2" x14ac:dyDescent="0.25">
      <c r="A3497" s="307"/>
      <c r="B3497" s="307"/>
    </row>
    <row r="3498" spans="1:2" x14ac:dyDescent="0.25">
      <c r="A3498" s="307"/>
      <c r="B3498" s="307"/>
    </row>
    <row r="3499" spans="1:2" x14ac:dyDescent="0.25">
      <c r="A3499" s="307"/>
      <c r="B3499" s="307"/>
    </row>
    <row r="3500" spans="1:2" x14ac:dyDescent="0.25">
      <c r="A3500" s="307"/>
      <c r="B3500" s="307"/>
    </row>
    <row r="3501" spans="1:2" x14ac:dyDescent="0.25">
      <c r="A3501" s="307"/>
      <c r="B3501" s="307"/>
    </row>
    <row r="3502" spans="1:2" x14ac:dyDescent="0.25">
      <c r="A3502" s="307"/>
      <c r="B3502" s="307"/>
    </row>
    <row r="3503" spans="1:2" x14ac:dyDescent="0.25">
      <c r="A3503" s="307"/>
      <c r="B3503" s="307"/>
    </row>
    <row r="3504" spans="1:2" x14ac:dyDescent="0.25">
      <c r="A3504" s="307"/>
      <c r="B3504" s="307"/>
    </row>
    <row r="3505" spans="1:2" x14ac:dyDescent="0.25">
      <c r="A3505" s="307"/>
      <c r="B3505" s="307"/>
    </row>
    <row r="3506" spans="1:2" x14ac:dyDescent="0.25">
      <c r="A3506" s="307"/>
      <c r="B3506" s="307"/>
    </row>
    <row r="3507" spans="1:2" x14ac:dyDescent="0.25">
      <c r="A3507" s="307"/>
      <c r="B3507" s="307"/>
    </row>
    <row r="3508" spans="1:2" x14ac:dyDescent="0.25">
      <c r="A3508" s="307"/>
      <c r="B3508" s="307"/>
    </row>
    <row r="3509" spans="1:2" x14ac:dyDescent="0.25">
      <c r="A3509" s="307"/>
      <c r="B3509" s="307"/>
    </row>
    <row r="3510" spans="1:2" x14ac:dyDescent="0.25">
      <c r="A3510" s="307"/>
      <c r="B3510" s="307"/>
    </row>
    <row r="3511" spans="1:2" x14ac:dyDescent="0.25">
      <c r="A3511" s="307"/>
      <c r="B3511" s="307"/>
    </row>
    <row r="3512" spans="1:2" x14ac:dyDescent="0.25">
      <c r="A3512" s="307"/>
      <c r="B3512" s="307"/>
    </row>
    <row r="3513" spans="1:2" x14ac:dyDescent="0.25">
      <c r="A3513" s="307"/>
      <c r="B3513" s="307"/>
    </row>
    <row r="3514" spans="1:2" x14ac:dyDescent="0.25">
      <c r="A3514" s="307"/>
      <c r="B3514" s="307"/>
    </row>
    <row r="3515" spans="1:2" x14ac:dyDescent="0.25">
      <c r="A3515" s="307"/>
      <c r="B3515" s="307"/>
    </row>
    <row r="3516" spans="1:2" x14ac:dyDescent="0.25">
      <c r="A3516" s="307"/>
      <c r="B3516" s="307"/>
    </row>
    <row r="3517" spans="1:2" x14ac:dyDescent="0.25">
      <c r="A3517" s="307"/>
      <c r="B3517" s="307"/>
    </row>
    <row r="3518" spans="1:2" x14ac:dyDescent="0.25">
      <c r="A3518" s="307"/>
      <c r="B3518" s="307"/>
    </row>
    <row r="3519" spans="1:2" x14ac:dyDescent="0.25">
      <c r="A3519" s="307"/>
      <c r="B3519" s="307"/>
    </row>
    <row r="3520" spans="1:2" x14ac:dyDescent="0.25">
      <c r="A3520" s="307"/>
      <c r="B3520" s="307"/>
    </row>
    <row r="3521" spans="1:2" x14ac:dyDescent="0.25">
      <c r="A3521" s="307"/>
      <c r="B3521" s="307"/>
    </row>
    <row r="3522" spans="1:2" x14ac:dyDescent="0.25">
      <c r="A3522" s="307"/>
      <c r="B3522" s="307"/>
    </row>
    <row r="3523" spans="1:2" x14ac:dyDescent="0.25">
      <c r="A3523" s="307"/>
      <c r="B3523" s="307"/>
    </row>
    <row r="3524" spans="1:2" x14ac:dyDescent="0.25">
      <c r="A3524" s="307"/>
      <c r="B3524" s="307"/>
    </row>
    <row r="3525" spans="1:2" x14ac:dyDescent="0.25">
      <c r="A3525" s="307"/>
      <c r="B3525" s="307"/>
    </row>
    <row r="3526" spans="1:2" x14ac:dyDescent="0.25">
      <c r="A3526" s="307"/>
      <c r="B3526" s="307"/>
    </row>
    <row r="3527" spans="1:2" x14ac:dyDescent="0.25">
      <c r="A3527" s="307"/>
      <c r="B3527" s="307"/>
    </row>
    <row r="3528" spans="1:2" x14ac:dyDescent="0.25">
      <c r="A3528" s="307"/>
      <c r="B3528" s="307"/>
    </row>
    <row r="3529" spans="1:2" x14ac:dyDescent="0.25">
      <c r="A3529" s="307"/>
      <c r="B3529" s="307"/>
    </row>
    <row r="3530" spans="1:2" x14ac:dyDescent="0.25">
      <c r="A3530" s="307"/>
      <c r="B3530" s="307"/>
    </row>
    <row r="3531" spans="1:2" x14ac:dyDescent="0.25">
      <c r="A3531" s="307"/>
      <c r="B3531" s="307"/>
    </row>
    <row r="3532" spans="1:2" x14ac:dyDescent="0.25">
      <c r="A3532" s="307"/>
      <c r="B3532" s="307"/>
    </row>
    <row r="3533" spans="1:2" x14ac:dyDescent="0.25">
      <c r="A3533" s="307"/>
      <c r="B3533" s="307"/>
    </row>
    <row r="3534" spans="1:2" x14ac:dyDescent="0.25">
      <c r="A3534" s="307"/>
      <c r="B3534" s="307"/>
    </row>
    <row r="3535" spans="1:2" x14ac:dyDescent="0.25">
      <c r="A3535" s="307"/>
      <c r="B3535" s="307"/>
    </row>
    <row r="3536" spans="1:2" x14ac:dyDescent="0.25">
      <c r="A3536" s="307"/>
      <c r="B3536" s="307"/>
    </row>
    <row r="3537" spans="1:2" x14ac:dyDescent="0.25">
      <c r="A3537" s="307"/>
      <c r="B3537" s="307"/>
    </row>
    <row r="3538" spans="1:2" x14ac:dyDescent="0.25">
      <c r="A3538" s="307"/>
      <c r="B3538" s="307"/>
    </row>
    <row r="3539" spans="1:2" x14ac:dyDescent="0.25">
      <c r="A3539" s="307"/>
      <c r="B3539" s="307"/>
    </row>
    <row r="3540" spans="1:2" x14ac:dyDescent="0.25">
      <c r="A3540" s="307"/>
      <c r="B3540" s="307"/>
    </row>
    <row r="3541" spans="1:2" x14ac:dyDescent="0.25">
      <c r="A3541" s="307"/>
      <c r="B3541" s="307"/>
    </row>
    <row r="3542" spans="1:2" x14ac:dyDescent="0.25">
      <c r="A3542" s="307"/>
      <c r="B3542" s="307"/>
    </row>
    <row r="3543" spans="1:2" x14ac:dyDescent="0.25">
      <c r="A3543" s="307"/>
      <c r="B3543" s="307"/>
    </row>
    <row r="3544" spans="1:2" x14ac:dyDescent="0.25">
      <c r="A3544" s="307"/>
      <c r="B3544" s="307"/>
    </row>
    <row r="3545" spans="1:2" x14ac:dyDescent="0.25">
      <c r="A3545" s="307"/>
      <c r="B3545" s="307"/>
    </row>
    <row r="3546" spans="1:2" x14ac:dyDescent="0.25">
      <c r="A3546" s="307"/>
      <c r="B3546" s="307"/>
    </row>
    <row r="3547" spans="1:2" x14ac:dyDescent="0.25">
      <c r="A3547" s="307"/>
      <c r="B3547" s="307"/>
    </row>
    <row r="3548" spans="1:2" x14ac:dyDescent="0.25">
      <c r="A3548" s="307"/>
      <c r="B3548" s="307"/>
    </row>
    <row r="3549" spans="1:2" x14ac:dyDescent="0.25">
      <c r="A3549" s="307"/>
      <c r="B3549" s="307"/>
    </row>
    <row r="3550" spans="1:2" x14ac:dyDescent="0.25">
      <c r="A3550" s="307"/>
      <c r="B3550" s="307"/>
    </row>
    <row r="3551" spans="1:2" x14ac:dyDescent="0.25">
      <c r="A3551" s="307"/>
      <c r="B3551" s="307"/>
    </row>
    <row r="3552" spans="1:2" x14ac:dyDescent="0.25">
      <c r="A3552" s="307"/>
      <c r="B3552" s="307"/>
    </row>
    <row r="3553" spans="1:2" x14ac:dyDescent="0.25">
      <c r="A3553" s="307"/>
      <c r="B3553" s="307"/>
    </row>
    <row r="3554" spans="1:2" x14ac:dyDescent="0.25">
      <c r="A3554" s="307"/>
      <c r="B3554" s="307"/>
    </row>
    <row r="3555" spans="1:2" x14ac:dyDescent="0.25">
      <c r="A3555" s="307"/>
      <c r="B3555" s="307"/>
    </row>
    <row r="3556" spans="1:2" x14ac:dyDescent="0.25">
      <c r="A3556" s="307"/>
      <c r="B3556" s="307"/>
    </row>
    <row r="3557" spans="1:2" x14ac:dyDescent="0.25">
      <c r="A3557" s="307"/>
      <c r="B3557" s="307"/>
    </row>
    <row r="3558" spans="1:2" x14ac:dyDescent="0.25">
      <c r="A3558" s="307"/>
      <c r="B3558" s="307"/>
    </row>
    <row r="3559" spans="1:2" x14ac:dyDescent="0.25">
      <c r="A3559" s="307"/>
      <c r="B3559" s="307"/>
    </row>
    <row r="3560" spans="1:2" x14ac:dyDescent="0.25">
      <c r="A3560" s="307"/>
      <c r="B3560" s="307"/>
    </row>
    <row r="3561" spans="1:2" x14ac:dyDescent="0.25">
      <c r="A3561" s="307"/>
      <c r="B3561" s="307"/>
    </row>
    <row r="3562" spans="1:2" x14ac:dyDescent="0.25">
      <c r="A3562" s="307"/>
      <c r="B3562" s="307"/>
    </row>
    <row r="3563" spans="1:2" x14ac:dyDescent="0.25">
      <c r="A3563" s="307"/>
      <c r="B3563" s="307"/>
    </row>
    <row r="3564" spans="1:2" x14ac:dyDescent="0.25">
      <c r="A3564" s="307"/>
      <c r="B3564" s="307"/>
    </row>
    <row r="3565" spans="1:2" x14ac:dyDescent="0.25">
      <c r="A3565" s="307"/>
      <c r="B3565" s="307"/>
    </row>
    <row r="3566" spans="1:2" x14ac:dyDescent="0.25">
      <c r="A3566" s="307"/>
      <c r="B3566" s="307"/>
    </row>
    <row r="3567" spans="1:2" x14ac:dyDescent="0.25">
      <c r="A3567" s="307"/>
      <c r="B3567" s="307"/>
    </row>
    <row r="3568" spans="1:2" x14ac:dyDescent="0.25">
      <c r="A3568" s="307"/>
      <c r="B3568" s="307"/>
    </row>
    <row r="3569" spans="1:2" x14ac:dyDescent="0.25">
      <c r="A3569" s="307"/>
      <c r="B3569" s="307"/>
    </row>
    <row r="3570" spans="1:2" x14ac:dyDescent="0.25">
      <c r="A3570" s="307"/>
      <c r="B3570" s="307"/>
    </row>
    <row r="3571" spans="1:2" x14ac:dyDescent="0.25">
      <c r="A3571" s="307"/>
      <c r="B3571" s="307"/>
    </row>
    <row r="3572" spans="1:2" x14ac:dyDescent="0.25">
      <c r="A3572" s="307"/>
      <c r="B3572" s="307"/>
    </row>
    <row r="3573" spans="1:2" x14ac:dyDescent="0.25">
      <c r="A3573" s="307"/>
      <c r="B3573" s="307"/>
    </row>
    <row r="3574" spans="1:2" x14ac:dyDescent="0.25">
      <c r="A3574" s="307"/>
      <c r="B3574" s="307"/>
    </row>
    <row r="3575" spans="1:2" x14ac:dyDescent="0.25">
      <c r="A3575" s="307"/>
      <c r="B3575" s="307"/>
    </row>
    <row r="3576" spans="1:2" x14ac:dyDescent="0.25">
      <c r="A3576" s="307"/>
      <c r="B3576" s="307"/>
    </row>
    <row r="3577" spans="1:2" x14ac:dyDescent="0.25">
      <c r="A3577" s="307"/>
      <c r="B3577" s="307"/>
    </row>
    <row r="3578" spans="1:2" x14ac:dyDescent="0.25">
      <c r="A3578" s="307"/>
      <c r="B3578" s="307"/>
    </row>
    <row r="3579" spans="1:2" x14ac:dyDescent="0.25">
      <c r="A3579" s="307"/>
      <c r="B3579" s="307"/>
    </row>
    <row r="3580" spans="1:2" x14ac:dyDescent="0.25">
      <c r="A3580" s="307"/>
      <c r="B3580" s="307"/>
    </row>
    <row r="3581" spans="1:2" x14ac:dyDescent="0.25">
      <c r="A3581" s="307"/>
      <c r="B3581" s="307"/>
    </row>
    <row r="3582" spans="1:2" x14ac:dyDescent="0.25">
      <c r="A3582" s="307"/>
      <c r="B3582" s="307"/>
    </row>
    <row r="3583" spans="1:2" x14ac:dyDescent="0.25">
      <c r="A3583" s="307"/>
      <c r="B3583" s="307"/>
    </row>
    <row r="3584" spans="1:2" x14ac:dyDescent="0.25">
      <c r="A3584" s="307"/>
      <c r="B3584" s="307"/>
    </row>
    <row r="3585" spans="1:2" x14ac:dyDescent="0.25">
      <c r="A3585" s="307"/>
      <c r="B3585" s="307"/>
    </row>
    <row r="3586" spans="1:2" x14ac:dyDescent="0.25">
      <c r="A3586" s="307"/>
      <c r="B3586" s="307"/>
    </row>
    <row r="3587" spans="1:2" x14ac:dyDescent="0.25">
      <c r="A3587" s="307"/>
      <c r="B3587" s="307"/>
    </row>
    <row r="3588" spans="1:2" x14ac:dyDescent="0.25">
      <c r="A3588" s="307"/>
      <c r="B3588" s="307"/>
    </row>
    <row r="3589" spans="1:2" x14ac:dyDescent="0.25">
      <c r="A3589" s="307"/>
      <c r="B3589" s="307"/>
    </row>
    <row r="3590" spans="1:2" x14ac:dyDescent="0.25">
      <c r="A3590" s="307"/>
      <c r="B3590" s="307"/>
    </row>
    <row r="3591" spans="1:2" x14ac:dyDescent="0.25">
      <c r="A3591" s="307"/>
      <c r="B3591" s="307"/>
    </row>
    <row r="3592" spans="1:2" x14ac:dyDescent="0.25">
      <c r="A3592" s="307"/>
      <c r="B3592" s="307"/>
    </row>
    <row r="3593" spans="1:2" x14ac:dyDescent="0.25">
      <c r="A3593" s="307"/>
      <c r="B3593" s="307"/>
    </row>
    <row r="3594" spans="1:2" x14ac:dyDescent="0.25">
      <c r="A3594" s="307"/>
      <c r="B3594" s="307"/>
    </row>
    <row r="3595" spans="1:2" x14ac:dyDescent="0.25">
      <c r="A3595" s="307"/>
      <c r="B3595" s="307"/>
    </row>
    <row r="3596" spans="1:2" x14ac:dyDescent="0.25">
      <c r="A3596" s="307"/>
      <c r="B3596" s="307"/>
    </row>
    <row r="3597" spans="1:2" x14ac:dyDescent="0.25">
      <c r="A3597" s="307"/>
      <c r="B3597" s="307"/>
    </row>
    <row r="3598" spans="1:2" x14ac:dyDescent="0.25">
      <c r="A3598" s="307"/>
      <c r="B3598" s="307"/>
    </row>
    <row r="3599" spans="1:2" x14ac:dyDescent="0.25">
      <c r="A3599" s="307"/>
      <c r="B3599" s="307"/>
    </row>
    <row r="3600" spans="1:2" x14ac:dyDescent="0.25">
      <c r="A3600" s="307"/>
      <c r="B3600" s="307"/>
    </row>
    <row r="3601" spans="1:2" x14ac:dyDescent="0.25">
      <c r="A3601" s="307"/>
      <c r="B3601" s="307"/>
    </row>
    <row r="3602" spans="1:2" x14ac:dyDescent="0.25">
      <c r="A3602" s="307"/>
      <c r="B3602" s="307"/>
    </row>
    <row r="3603" spans="1:2" x14ac:dyDescent="0.25">
      <c r="A3603" s="307"/>
      <c r="B3603" s="307"/>
    </row>
    <row r="3604" spans="1:2" x14ac:dyDescent="0.25">
      <c r="A3604" s="307"/>
      <c r="B3604" s="307"/>
    </row>
    <row r="3605" spans="1:2" x14ac:dyDescent="0.25">
      <c r="A3605" s="307"/>
      <c r="B3605" s="307"/>
    </row>
    <row r="3606" spans="1:2" x14ac:dyDescent="0.25">
      <c r="A3606" s="307"/>
      <c r="B3606" s="307"/>
    </row>
    <row r="3607" spans="1:2" x14ac:dyDescent="0.25">
      <c r="A3607" s="307"/>
      <c r="B3607" s="307"/>
    </row>
    <row r="3608" spans="1:2" x14ac:dyDescent="0.25">
      <c r="A3608" s="307"/>
      <c r="B3608" s="307"/>
    </row>
    <row r="3609" spans="1:2" x14ac:dyDescent="0.25">
      <c r="A3609" s="307"/>
      <c r="B3609" s="307"/>
    </row>
    <row r="3610" spans="1:2" x14ac:dyDescent="0.25">
      <c r="A3610" s="307"/>
      <c r="B3610" s="307"/>
    </row>
    <row r="3611" spans="1:2" x14ac:dyDescent="0.25">
      <c r="A3611" s="307"/>
      <c r="B3611" s="307"/>
    </row>
    <row r="3612" spans="1:2" x14ac:dyDescent="0.25">
      <c r="A3612" s="307"/>
      <c r="B3612" s="307"/>
    </row>
    <row r="3613" spans="1:2" x14ac:dyDescent="0.25">
      <c r="A3613" s="307"/>
      <c r="B3613" s="307"/>
    </row>
    <row r="3614" spans="1:2" x14ac:dyDescent="0.25">
      <c r="A3614" s="307"/>
      <c r="B3614" s="307"/>
    </row>
    <row r="3615" spans="1:2" x14ac:dyDescent="0.25">
      <c r="A3615" s="307"/>
      <c r="B3615" s="307"/>
    </row>
    <row r="3616" spans="1:2" x14ac:dyDescent="0.25">
      <c r="A3616" s="307"/>
      <c r="B3616" s="307"/>
    </row>
    <row r="3617" spans="1:2" x14ac:dyDescent="0.25">
      <c r="A3617" s="307"/>
      <c r="B3617" s="307"/>
    </row>
    <row r="3618" spans="1:2" x14ac:dyDescent="0.25">
      <c r="A3618" s="307"/>
      <c r="B3618" s="307"/>
    </row>
    <row r="3619" spans="1:2" x14ac:dyDescent="0.25">
      <c r="A3619" s="307"/>
      <c r="B3619" s="307"/>
    </row>
    <row r="3620" spans="1:2" x14ac:dyDescent="0.25">
      <c r="A3620" s="307"/>
      <c r="B3620" s="307"/>
    </row>
    <row r="3621" spans="1:2" x14ac:dyDescent="0.25">
      <c r="A3621" s="307"/>
      <c r="B3621" s="307"/>
    </row>
    <row r="3622" spans="1:2" x14ac:dyDescent="0.25">
      <c r="A3622" s="307"/>
      <c r="B3622" s="307"/>
    </row>
    <row r="3623" spans="1:2" x14ac:dyDescent="0.25">
      <c r="A3623" s="307"/>
      <c r="B3623" s="307"/>
    </row>
    <row r="3624" spans="1:2" x14ac:dyDescent="0.25">
      <c r="A3624" s="307"/>
      <c r="B3624" s="307"/>
    </row>
    <row r="3625" spans="1:2" x14ac:dyDescent="0.25">
      <c r="A3625" s="307"/>
      <c r="B3625" s="307"/>
    </row>
    <row r="3626" spans="1:2" x14ac:dyDescent="0.25">
      <c r="A3626" s="307"/>
      <c r="B3626" s="307"/>
    </row>
    <row r="3627" spans="1:2" x14ac:dyDescent="0.25">
      <c r="A3627" s="307"/>
      <c r="B3627" s="307"/>
    </row>
    <row r="3628" spans="1:2" x14ac:dyDescent="0.25">
      <c r="A3628" s="307"/>
      <c r="B3628" s="307"/>
    </row>
    <row r="3629" spans="1:2" x14ac:dyDescent="0.25">
      <c r="A3629" s="307"/>
      <c r="B3629" s="307"/>
    </row>
    <row r="3630" spans="1:2" x14ac:dyDescent="0.25">
      <c r="A3630" s="307"/>
      <c r="B3630" s="307"/>
    </row>
    <row r="3631" spans="1:2" x14ac:dyDescent="0.25">
      <c r="A3631" s="307"/>
      <c r="B3631" s="307"/>
    </row>
    <row r="3632" spans="1:2" x14ac:dyDescent="0.25">
      <c r="A3632" s="307"/>
      <c r="B3632" s="307"/>
    </row>
    <row r="3633" spans="1:2" x14ac:dyDescent="0.25">
      <c r="A3633" s="307"/>
      <c r="B3633" s="307"/>
    </row>
    <row r="3634" spans="1:2" x14ac:dyDescent="0.25">
      <c r="A3634" s="307"/>
      <c r="B3634" s="307"/>
    </row>
    <row r="3635" spans="1:2" x14ac:dyDescent="0.25">
      <c r="A3635" s="307"/>
      <c r="B3635" s="307"/>
    </row>
    <row r="3636" spans="1:2" x14ac:dyDescent="0.25">
      <c r="A3636" s="307"/>
      <c r="B3636" s="307"/>
    </row>
    <row r="3637" spans="1:2" x14ac:dyDescent="0.25">
      <c r="A3637" s="307"/>
      <c r="B3637" s="307"/>
    </row>
    <row r="3638" spans="1:2" x14ac:dyDescent="0.25">
      <c r="A3638" s="307"/>
      <c r="B3638" s="307"/>
    </row>
    <row r="3639" spans="1:2" x14ac:dyDescent="0.25">
      <c r="A3639" s="307"/>
      <c r="B3639" s="307"/>
    </row>
    <row r="3640" spans="1:2" x14ac:dyDescent="0.25">
      <c r="A3640" s="307"/>
      <c r="B3640" s="307"/>
    </row>
    <row r="3641" spans="1:2" x14ac:dyDescent="0.25">
      <c r="A3641" s="307"/>
      <c r="B3641" s="307"/>
    </row>
    <row r="3642" spans="1:2" x14ac:dyDescent="0.25">
      <c r="A3642" s="307"/>
      <c r="B3642" s="307"/>
    </row>
    <row r="3643" spans="1:2" x14ac:dyDescent="0.25">
      <c r="A3643" s="307"/>
      <c r="B3643" s="307"/>
    </row>
    <row r="3644" spans="1:2" x14ac:dyDescent="0.25">
      <c r="A3644" s="307"/>
      <c r="B3644" s="307"/>
    </row>
    <row r="3645" spans="1:2" x14ac:dyDescent="0.25">
      <c r="A3645" s="307"/>
      <c r="B3645" s="307"/>
    </row>
    <row r="3646" spans="1:2" x14ac:dyDescent="0.25">
      <c r="A3646" s="307"/>
      <c r="B3646" s="307"/>
    </row>
    <row r="3647" spans="1:2" x14ac:dyDescent="0.25">
      <c r="A3647" s="307"/>
      <c r="B3647" s="307"/>
    </row>
    <row r="3648" spans="1:2" x14ac:dyDescent="0.25">
      <c r="A3648" s="307"/>
      <c r="B3648" s="307"/>
    </row>
    <row r="3649" spans="1:2" x14ac:dyDescent="0.25">
      <c r="A3649" s="307"/>
      <c r="B3649" s="307"/>
    </row>
    <row r="3650" spans="1:2" x14ac:dyDescent="0.25">
      <c r="A3650" s="307"/>
      <c r="B3650" s="307"/>
    </row>
    <row r="3651" spans="1:2" x14ac:dyDescent="0.25">
      <c r="A3651" s="307"/>
      <c r="B3651" s="307"/>
    </row>
    <row r="3652" spans="1:2" x14ac:dyDescent="0.25">
      <c r="A3652" s="307"/>
      <c r="B3652" s="307"/>
    </row>
    <row r="3653" spans="1:2" x14ac:dyDescent="0.25">
      <c r="A3653" s="307"/>
      <c r="B3653" s="307"/>
    </row>
    <row r="3654" spans="1:2" x14ac:dyDescent="0.25">
      <c r="A3654" s="307"/>
      <c r="B3654" s="307"/>
    </row>
    <row r="3655" spans="1:2" x14ac:dyDescent="0.25">
      <c r="A3655" s="307"/>
      <c r="B3655" s="307"/>
    </row>
    <row r="3656" spans="1:2" x14ac:dyDescent="0.25">
      <c r="A3656" s="307"/>
      <c r="B3656" s="307"/>
    </row>
    <row r="3657" spans="1:2" x14ac:dyDescent="0.25">
      <c r="A3657" s="307"/>
      <c r="B3657" s="307"/>
    </row>
    <row r="3658" spans="1:2" x14ac:dyDescent="0.25">
      <c r="A3658" s="307"/>
      <c r="B3658" s="307"/>
    </row>
    <row r="3659" spans="1:2" x14ac:dyDescent="0.25">
      <c r="A3659" s="307"/>
      <c r="B3659" s="307"/>
    </row>
    <row r="3660" spans="1:2" x14ac:dyDescent="0.25">
      <c r="A3660" s="307"/>
      <c r="B3660" s="307"/>
    </row>
    <row r="3661" spans="1:2" x14ac:dyDescent="0.25">
      <c r="A3661" s="307"/>
      <c r="B3661" s="307"/>
    </row>
    <row r="3662" spans="1:2" x14ac:dyDescent="0.25">
      <c r="A3662" s="307"/>
      <c r="B3662" s="307"/>
    </row>
    <row r="3663" spans="1:2" x14ac:dyDescent="0.25">
      <c r="A3663" s="307"/>
      <c r="B3663" s="307"/>
    </row>
    <row r="3664" spans="1:2" x14ac:dyDescent="0.25">
      <c r="A3664" s="307"/>
      <c r="B3664" s="307"/>
    </row>
    <row r="3665" spans="1:2" x14ac:dyDescent="0.25">
      <c r="A3665" s="307"/>
      <c r="B3665" s="307"/>
    </row>
    <row r="3666" spans="1:2" x14ac:dyDescent="0.25">
      <c r="A3666" s="307"/>
      <c r="B3666" s="307"/>
    </row>
    <row r="3667" spans="1:2" x14ac:dyDescent="0.25">
      <c r="A3667" s="307"/>
      <c r="B3667" s="307"/>
    </row>
    <row r="3668" spans="1:2" x14ac:dyDescent="0.25">
      <c r="A3668" s="307"/>
      <c r="B3668" s="307"/>
    </row>
    <row r="3669" spans="1:2" x14ac:dyDescent="0.25">
      <c r="A3669" s="307"/>
      <c r="B3669" s="307"/>
    </row>
    <row r="3670" spans="1:2" x14ac:dyDescent="0.25">
      <c r="A3670" s="307"/>
      <c r="B3670" s="307"/>
    </row>
    <row r="3671" spans="1:2" x14ac:dyDescent="0.25">
      <c r="A3671" s="307"/>
      <c r="B3671" s="307"/>
    </row>
    <row r="3672" spans="1:2" x14ac:dyDescent="0.25">
      <c r="A3672" s="307"/>
      <c r="B3672" s="307"/>
    </row>
    <row r="3673" spans="1:2" x14ac:dyDescent="0.25">
      <c r="A3673" s="307"/>
      <c r="B3673" s="307"/>
    </row>
    <row r="3674" spans="1:2" x14ac:dyDescent="0.25">
      <c r="A3674" s="307"/>
      <c r="B3674" s="307"/>
    </row>
    <row r="3675" spans="1:2" x14ac:dyDescent="0.25">
      <c r="A3675" s="307"/>
      <c r="B3675" s="307"/>
    </row>
    <row r="3676" spans="1:2" x14ac:dyDescent="0.25">
      <c r="A3676" s="307"/>
      <c r="B3676" s="307"/>
    </row>
    <row r="3677" spans="1:2" x14ac:dyDescent="0.25">
      <c r="A3677" s="307"/>
      <c r="B3677" s="307"/>
    </row>
    <row r="3678" spans="1:2" x14ac:dyDescent="0.25">
      <c r="A3678" s="307"/>
      <c r="B3678" s="307"/>
    </row>
    <row r="3679" spans="1:2" x14ac:dyDescent="0.25">
      <c r="A3679" s="307"/>
      <c r="B3679" s="307"/>
    </row>
    <row r="3680" spans="1:2" x14ac:dyDescent="0.25">
      <c r="A3680" s="307"/>
      <c r="B3680" s="307"/>
    </row>
    <row r="3681" spans="1:2" x14ac:dyDescent="0.25">
      <c r="A3681" s="307"/>
      <c r="B3681" s="307"/>
    </row>
    <row r="3682" spans="1:2" x14ac:dyDescent="0.25">
      <c r="A3682" s="307"/>
      <c r="B3682" s="307"/>
    </row>
    <row r="3683" spans="1:2" x14ac:dyDescent="0.25">
      <c r="A3683" s="307"/>
      <c r="B3683" s="307"/>
    </row>
    <row r="3684" spans="1:2" x14ac:dyDescent="0.25">
      <c r="A3684" s="307"/>
      <c r="B3684" s="307"/>
    </row>
    <row r="3685" spans="1:2" x14ac:dyDescent="0.25">
      <c r="A3685" s="307"/>
      <c r="B3685" s="307"/>
    </row>
    <row r="3686" spans="1:2" x14ac:dyDescent="0.25">
      <c r="A3686" s="307"/>
      <c r="B3686" s="307"/>
    </row>
    <row r="3687" spans="1:2" x14ac:dyDescent="0.25">
      <c r="A3687" s="307"/>
      <c r="B3687" s="307"/>
    </row>
    <row r="3688" spans="1:2" x14ac:dyDescent="0.25">
      <c r="A3688" s="307"/>
      <c r="B3688" s="307"/>
    </row>
    <row r="3689" spans="1:2" x14ac:dyDescent="0.25">
      <c r="A3689" s="307"/>
      <c r="B3689" s="307"/>
    </row>
    <row r="3690" spans="1:2" x14ac:dyDescent="0.25">
      <c r="A3690" s="307"/>
      <c r="B3690" s="307"/>
    </row>
    <row r="3691" spans="1:2" x14ac:dyDescent="0.25">
      <c r="A3691" s="307"/>
      <c r="B3691" s="307"/>
    </row>
    <row r="3692" spans="1:2" x14ac:dyDescent="0.25">
      <c r="A3692" s="307"/>
      <c r="B3692" s="307"/>
    </row>
    <row r="3693" spans="1:2" x14ac:dyDescent="0.25">
      <c r="A3693" s="307"/>
      <c r="B3693" s="307"/>
    </row>
    <row r="3694" spans="1:2" x14ac:dyDescent="0.25">
      <c r="A3694" s="307"/>
      <c r="B3694" s="307"/>
    </row>
    <row r="3695" spans="1:2" x14ac:dyDescent="0.25">
      <c r="A3695" s="307"/>
      <c r="B3695" s="307"/>
    </row>
    <row r="3696" spans="1:2" x14ac:dyDescent="0.25">
      <c r="A3696" s="307"/>
      <c r="B3696" s="307"/>
    </row>
    <row r="3697" spans="1:2" x14ac:dyDescent="0.25">
      <c r="A3697" s="307"/>
      <c r="B3697" s="307"/>
    </row>
    <row r="3698" spans="1:2" x14ac:dyDescent="0.25">
      <c r="A3698" s="307"/>
      <c r="B3698" s="307"/>
    </row>
    <row r="3699" spans="1:2" x14ac:dyDescent="0.25">
      <c r="A3699" s="307"/>
      <c r="B3699" s="307"/>
    </row>
    <row r="3700" spans="1:2" x14ac:dyDescent="0.25">
      <c r="A3700" s="307"/>
      <c r="B3700" s="307"/>
    </row>
    <row r="3701" spans="1:2" x14ac:dyDescent="0.25">
      <c r="A3701" s="307"/>
      <c r="B3701" s="307"/>
    </row>
    <row r="3702" spans="1:2" x14ac:dyDescent="0.25">
      <c r="A3702" s="307"/>
      <c r="B3702" s="307"/>
    </row>
    <row r="3703" spans="1:2" x14ac:dyDescent="0.25">
      <c r="A3703" s="307"/>
      <c r="B3703" s="307"/>
    </row>
    <row r="3704" spans="1:2" x14ac:dyDescent="0.25">
      <c r="A3704" s="307"/>
      <c r="B3704" s="307"/>
    </row>
    <row r="3705" spans="1:2" x14ac:dyDescent="0.25">
      <c r="A3705" s="307"/>
      <c r="B3705" s="307"/>
    </row>
    <row r="3706" spans="1:2" x14ac:dyDescent="0.25">
      <c r="A3706" s="307"/>
      <c r="B3706" s="307"/>
    </row>
    <row r="3707" spans="1:2" x14ac:dyDescent="0.25">
      <c r="A3707" s="307"/>
      <c r="B3707" s="307"/>
    </row>
    <row r="3708" spans="1:2" x14ac:dyDescent="0.25">
      <c r="A3708" s="307"/>
      <c r="B3708" s="307"/>
    </row>
    <row r="3709" spans="1:2" x14ac:dyDescent="0.25">
      <c r="A3709" s="307"/>
      <c r="B3709" s="307"/>
    </row>
    <row r="3710" spans="1:2" x14ac:dyDescent="0.25">
      <c r="A3710" s="307"/>
      <c r="B3710" s="307"/>
    </row>
    <row r="3711" spans="1:2" x14ac:dyDescent="0.25">
      <c r="A3711" s="307"/>
      <c r="B3711" s="307"/>
    </row>
    <row r="3712" spans="1:2" x14ac:dyDescent="0.25">
      <c r="A3712" s="307"/>
      <c r="B3712" s="307"/>
    </row>
    <row r="3713" spans="1:2" x14ac:dyDescent="0.25">
      <c r="A3713" s="307"/>
      <c r="B3713" s="307"/>
    </row>
    <row r="3714" spans="1:2" x14ac:dyDescent="0.25">
      <c r="A3714" s="307"/>
      <c r="B3714" s="307"/>
    </row>
    <row r="3715" spans="1:2" x14ac:dyDescent="0.25">
      <c r="A3715" s="307"/>
      <c r="B3715" s="307"/>
    </row>
    <row r="3716" spans="1:2" x14ac:dyDescent="0.25">
      <c r="A3716" s="307"/>
      <c r="B3716" s="307"/>
    </row>
    <row r="3717" spans="1:2" x14ac:dyDescent="0.25">
      <c r="A3717" s="307"/>
      <c r="B3717" s="307"/>
    </row>
    <row r="3718" spans="1:2" x14ac:dyDescent="0.25">
      <c r="A3718" s="307"/>
      <c r="B3718" s="307"/>
    </row>
    <row r="3719" spans="1:2" x14ac:dyDescent="0.25">
      <c r="A3719" s="307"/>
      <c r="B3719" s="307"/>
    </row>
    <row r="3720" spans="1:2" x14ac:dyDescent="0.25">
      <c r="A3720" s="307"/>
      <c r="B3720" s="307"/>
    </row>
    <row r="3721" spans="1:2" x14ac:dyDescent="0.25">
      <c r="A3721" s="307"/>
      <c r="B3721" s="307"/>
    </row>
    <row r="3722" spans="1:2" x14ac:dyDescent="0.25">
      <c r="A3722" s="307"/>
      <c r="B3722" s="307"/>
    </row>
    <row r="3723" spans="1:2" x14ac:dyDescent="0.25">
      <c r="A3723" s="307"/>
      <c r="B3723" s="307"/>
    </row>
    <row r="3724" spans="1:2" x14ac:dyDescent="0.25">
      <c r="A3724" s="307"/>
      <c r="B3724" s="307"/>
    </row>
    <row r="3725" spans="1:2" x14ac:dyDescent="0.25">
      <c r="A3725" s="307"/>
      <c r="B3725" s="307"/>
    </row>
    <row r="3726" spans="1:2" x14ac:dyDescent="0.25">
      <c r="A3726" s="307"/>
      <c r="B3726" s="307"/>
    </row>
    <row r="3727" spans="1:2" x14ac:dyDescent="0.25">
      <c r="A3727" s="307"/>
      <c r="B3727" s="307"/>
    </row>
    <row r="3728" spans="1:2" x14ac:dyDescent="0.25">
      <c r="A3728" s="307"/>
      <c r="B3728" s="307"/>
    </row>
    <row r="3729" spans="1:2" x14ac:dyDescent="0.25">
      <c r="A3729" s="307"/>
      <c r="B3729" s="307"/>
    </row>
    <row r="3730" spans="1:2" x14ac:dyDescent="0.25">
      <c r="A3730" s="307"/>
      <c r="B3730" s="307"/>
    </row>
    <row r="3731" spans="1:2" x14ac:dyDescent="0.25">
      <c r="A3731" s="307"/>
      <c r="B3731" s="307"/>
    </row>
    <row r="3732" spans="1:2" x14ac:dyDescent="0.25">
      <c r="A3732" s="307"/>
      <c r="B3732" s="307"/>
    </row>
    <row r="3733" spans="1:2" x14ac:dyDescent="0.25">
      <c r="A3733" s="307"/>
      <c r="B3733" s="307"/>
    </row>
    <row r="3734" spans="1:2" x14ac:dyDescent="0.25">
      <c r="A3734" s="307"/>
      <c r="B3734" s="307"/>
    </row>
    <row r="3735" spans="1:2" x14ac:dyDescent="0.25">
      <c r="A3735" s="307"/>
      <c r="B3735" s="307"/>
    </row>
    <row r="3736" spans="1:2" x14ac:dyDescent="0.25">
      <c r="A3736" s="307"/>
      <c r="B3736" s="307"/>
    </row>
    <row r="3737" spans="1:2" x14ac:dyDescent="0.25">
      <c r="A3737" s="307"/>
      <c r="B3737" s="307"/>
    </row>
    <row r="3738" spans="1:2" x14ac:dyDescent="0.25">
      <c r="A3738" s="307"/>
      <c r="B3738" s="307"/>
    </row>
    <row r="3739" spans="1:2" x14ac:dyDescent="0.25">
      <c r="A3739" s="307"/>
      <c r="B3739" s="307"/>
    </row>
    <row r="3740" spans="1:2" x14ac:dyDescent="0.25">
      <c r="A3740" s="307"/>
      <c r="B3740" s="307"/>
    </row>
    <row r="3741" spans="1:2" x14ac:dyDescent="0.25">
      <c r="A3741" s="307"/>
      <c r="B3741" s="307"/>
    </row>
    <row r="3742" spans="1:2" x14ac:dyDescent="0.25">
      <c r="A3742" s="307"/>
      <c r="B3742" s="307"/>
    </row>
    <row r="3743" spans="1:2" x14ac:dyDescent="0.25">
      <c r="A3743" s="307"/>
      <c r="B3743" s="307"/>
    </row>
    <row r="3744" spans="1:2" x14ac:dyDescent="0.25">
      <c r="A3744" s="307"/>
      <c r="B3744" s="307"/>
    </row>
    <row r="3745" spans="1:2" x14ac:dyDescent="0.25">
      <c r="A3745" s="307"/>
      <c r="B3745" s="307"/>
    </row>
    <row r="3746" spans="1:2" x14ac:dyDescent="0.25">
      <c r="A3746" s="307"/>
      <c r="B3746" s="307"/>
    </row>
    <row r="3747" spans="1:2" x14ac:dyDescent="0.25">
      <c r="A3747" s="307"/>
      <c r="B3747" s="307"/>
    </row>
    <row r="3748" spans="1:2" x14ac:dyDescent="0.25">
      <c r="A3748" s="307"/>
      <c r="B3748" s="307"/>
    </row>
    <row r="3749" spans="1:2" x14ac:dyDescent="0.25">
      <c r="A3749" s="307"/>
      <c r="B3749" s="307"/>
    </row>
    <row r="3750" spans="1:2" x14ac:dyDescent="0.25">
      <c r="A3750" s="307"/>
      <c r="B3750" s="307"/>
    </row>
    <row r="3751" spans="1:2" x14ac:dyDescent="0.25">
      <c r="A3751" s="307"/>
      <c r="B3751" s="307"/>
    </row>
    <row r="3752" spans="1:2" x14ac:dyDescent="0.25">
      <c r="A3752" s="307"/>
      <c r="B3752" s="307"/>
    </row>
    <row r="3753" spans="1:2" x14ac:dyDescent="0.25">
      <c r="A3753" s="307"/>
      <c r="B3753" s="307"/>
    </row>
    <row r="3754" spans="1:2" x14ac:dyDescent="0.25">
      <c r="A3754" s="307"/>
      <c r="B3754" s="307"/>
    </row>
    <row r="3755" spans="1:2" x14ac:dyDescent="0.25">
      <c r="A3755" s="307"/>
      <c r="B3755" s="307"/>
    </row>
    <row r="3756" spans="1:2" x14ac:dyDescent="0.25">
      <c r="A3756" s="307"/>
      <c r="B3756" s="307"/>
    </row>
    <row r="3757" spans="1:2" x14ac:dyDescent="0.25">
      <c r="A3757" s="307"/>
      <c r="B3757" s="307"/>
    </row>
    <row r="3758" spans="1:2" x14ac:dyDescent="0.25">
      <c r="A3758" s="307"/>
      <c r="B3758" s="307"/>
    </row>
    <row r="3759" spans="1:2" x14ac:dyDescent="0.25">
      <c r="A3759" s="307"/>
      <c r="B3759" s="307"/>
    </row>
    <row r="3760" spans="1:2" x14ac:dyDescent="0.25">
      <c r="A3760" s="307"/>
      <c r="B3760" s="307"/>
    </row>
    <row r="3761" spans="1:2" x14ac:dyDescent="0.25">
      <c r="A3761" s="307"/>
      <c r="B3761" s="307"/>
    </row>
    <row r="3762" spans="1:2" x14ac:dyDescent="0.25">
      <c r="A3762" s="307"/>
      <c r="B3762" s="307"/>
    </row>
    <row r="3763" spans="1:2" x14ac:dyDescent="0.25">
      <c r="A3763" s="307"/>
      <c r="B3763" s="307"/>
    </row>
    <row r="3764" spans="1:2" x14ac:dyDescent="0.25">
      <c r="A3764" s="307"/>
      <c r="B3764" s="307"/>
    </row>
    <row r="3765" spans="1:2" x14ac:dyDescent="0.25">
      <c r="A3765" s="307"/>
      <c r="B3765" s="307"/>
    </row>
    <row r="3766" spans="1:2" x14ac:dyDescent="0.25">
      <c r="A3766" s="307"/>
      <c r="B3766" s="307"/>
    </row>
    <row r="3767" spans="1:2" x14ac:dyDescent="0.25">
      <c r="A3767" s="307"/>
      <c r="B3767" s="307"/>
    </row>
    <row r="3768" spans="1:2" x14ac:dyDescent="0.25">
      <c r="A3768" s="307"/>
      <c r="B3768" s="307"/>
    </row>
    <row r="3769" spans="1:2" x14ac:dyDescent="0.25">
      <c r="A3769" s="307"/>
      <c r="B3769" s="307"/>
    </row>
    <row r="3770" spans="1:2" x14ac:dyDescent="0.25">
      <c r="A3770" s="307"/>
      <c r="B3770" s="307"/>
    </row>
    <row r="3771" spans="1:2" x14ac:dyDescent="0.25">
      <c r="A3771" s="307"/>
      <c r="B3771" s="307"/>
    </row>
    <row r="3772" spans="1:2" x14ac:dyDescent="0.25">
      <c r="A3772" s="307"/>
      <c r="B3772" s="307"/>
    </row>
    <row r="3773" spans="1:2" x14ac:dyDescent="0.25">
      <c r="A3773" s="307"/>
      <c r="B3773" s="307"/>
    </row>
    <row r="3774" spans="1:2" x14ac:dyDescent="0.25">
      <c r="A3774" s="307"/>
      <c r="B3774" s="307"/>
    </row>
    <row r="3775" spans="1:2" x14ac:dyDescent="0.25">
      <c r="A3775" s="307"/>
      <c r="B3775" s="307"/>
    </row>
    <row r="3776" spans="1:2" x14ac:dyDescent="0.25">
      <c r="A3776" s="307"/>
      <c r="B3776" s="307"/>
    </row>
    <row r="3777" spans="1:2" x14ac:dyDescent="0.25">
      <c r="A3777" s="307"/>
      <c r="B3777" s="307"/>
    </row>
    <row r="3778" spans="1:2" x14ac:dyDescent="0.25">
      <c r="A3778" s="307"/>
      <c r="B3778" s="307"/>
    </row>
    <row r="3779" spans="1:2" x14ac:dyDescent="0.25">
      <c r="A3779" s="307"/>
      <c r="B3779" s="307"/>
    </row>
    <row r="3780" spans="1:2" x14ac:dyDescent="0.25">
      <c r="A3780" s="307"/>
      <c r="B3780" s="307"/>
    </row>
    <row r="3781" spans="1:2" x14ac:dyDescent="0.25">
      <c r="A3781" s="307"/>
      <c r="B3781" s="307"/>
    </row>
    <row r="3782" spans="1:2" x14ac:dyDescent="0.25">
      <c r="A3782" s="307"/>
      <c r="B3782" s="307"/>
    </row>
    <row r="3783" spans="1:2" x14ac:dyDescent="0.25">
      <c r="A3783" s="307"/>
      <c r="B3783" s="307"/>
    </row>
    <row r="3784" spans="1:2" x14ac:dyDescent="0.25">
      <c r="A3784" s="307"/>
      <c r="B3784" s="307"/>
    </row>
    <row r="3785" spans="1:2" x14ac:dyDescent="0.25">
      <c r="A3785" s="307"/>
      <c r="B3785" s="307"/>
    </row>
    <row r="3786" spans="1:2" x14ac:dyDescent="0.25">
      <c r="A3786" s="307"/>
      <c r="B3786" s="307"/>
    </row>
    <row r="3787" spans="1:2" x14ac:dyDescent="0.25">
      <c r="A3787" s="307"/>
      <c r="B3787" s="307"/>
    </row>
    <row r="3788" spans="1:2" x14ac:dyDescent="0.25">
      <c r="A3788" s="307"/>
      <c r="B3788" s="307"/>
    </row>
    <row r="3789" spans="1:2" x14ac:dyDescent="0.25">
      <c r="A3789" s="307"/>
      <c r="B3789" s="307"/>
    </row>
    <row r="3790" spans="1:2" x14ac:dyDescent="0.25">
      <c r="A3790" s="307"/>
      <c r="B3790" s="307"/>
    </row>
    <row r="3791" spans="1:2" x14ac:dyDescent="0.25">
      <c r="A3791" s="307"/>
      <c r="B3791" s="307"/>
    </row>
    <row r="3792" spans="1:2" x14ac:dyDescent="0.25">
      <c r="A3792" s="307"/>
      <c r="B3792" s="307"/>
    </row>
    <row r="3793" spans="1:2" x14ac:dyDescent="0.25">
      <c r="A3793" s="307"/>
      <c r="B3793" s="307"/>
    </row>
    <row r="3794" spans="1:2" x14ac:dyDescent="0.25">
      <c r="A3794" s="307"/>
      <c r="B3794" s="307"/>
    </row>
    <row r="3795" spans="1:2" x14ac:dyDescent="0.25">
      <c r="A3795" s="307"/>
      <c r="B3795" s="307"/>
    </row>
    <row r="3796" spans="1:2" x14ac:dyDescent="0.25">
      <c r="A3796" s="307"/>
      <c r="B3796" s="307"/>
    </row>
    <row r="3797" spans="1:2" x14ac:dyDescent="0.25">
      <c r="A3797" s="307"/>
      <c r="B3797" s="307"/>
    </row>
    <row r="3798" spans="1:2" x14ac:dyDescent="0.25">
      <c r="A3798" s="307"/>
      <c r="B3798" s="307"/>
    </row>
    <row r="3799" spans="1:2" x14ac:dyDescent="0.25">
      <c r="A3799" s="307"/>
      <c r="B3799" s="307"/>
    </row>
    <row r="3800" spans="1:2" x14ac:dyDescent="0.25">
      <c r="A3800" s="307"/>
      <c r="B3800" s="307"/>
    </row>
    <row r="3801" spans="1:2" x14ac:dyDescent="0.25">
      <c r="A3801" s="307"/>
      <c r="B3801" s="307"/>
    </row>
    <row r="3802" spans="1:2" x14ac:dyDescent="0.25">
      <c r="A3802" s="307"/>
      <c r="B3802" s="307"/>
    </row>
    <row r="3803" spans="1:2" x14ac:dyDescent="0.25">
      <c r="A3803" s="307"/>
      <c r="B3803" s="307"/>
    </row>
    <row r="3804" spans="1:2" x14ac:dyDescent="0.25">
      <c r="A3804" s="307"/>
      <c r="B3804" s="307"/>
    </row>
    <row r="3805" spans="1:2" x14ac:dyDescent="0.25">
      <c r="A3805" s="307"/>
      <c r="B3805" s="307"/>
    </row>
    <row r="3806" spans="1:2" x14ac:dyDescent="0.25">
      <c r="A3806" s="307"/>
      <c r="B3806" s="307"/>
    </row>
    <row r="3807" spans="1:2" x14ac:dyDescent="0.25">
      <c r="A3807" s="307"/>
      <c r="B3807" s="307"/>
    </row>
    <row r="3808" spans="1:2" x14ac:dyDescent="0.25">
      <c r="A3808" s="307"/>
      <c r="B3808" s="307"/>
    </row>
    <row r="3809" spans="1:2" x14ac:dyDescent="0.25">
      <c r="A3809" s="307"/>
      <c r="B3809" s="307"/>
    </row>
    <row r="3810" spans="1:2" x14ac:dyDescent="0.25">
      <c r="A3810" s="307"/>
      <c r="B3810" s="307"/>
    </row>
    <row r="3811" spans="1:2" x14ac:dyDescent="0.25">
      <c r="A3811" s="307"/>
      <c r="B3811" s="307"/>
    </row>
    <row r="3812" spans="1:2" x14ac:dyDescent="0.25">
      <c r="A3812" s="307"/>
      <c r="B3812" s="307"/>
    </row>
    <row r="3813" spans="1:2" x14ac:dyDescent="0.25">
      <c r="A3813" s="307"/>
      <c r="B3813" s="307"/>
    </row>
    <row r="3814" spans="1:2" x14ac:dyDescent="0.25">
      <c r="A3814" s="307"/>
      <c r="B3814" s="307"/>
    </row>
    <row r="3815" spans="1:2" x14ac:dyDescent="0.25">
      <c r="A3815" s="307"/>
      <c r="B3815" s="307"/>
    </row>
    <row r="3816" spans="1:2" x14ac:dyDescent="0.25">
      <c r="A3816" s="307"/>
      <c r="B3816" s="307"/>
    </row>
    <row r="3817" spans="1:2" x14ac:dyDescent="0.25">
      <c r="A3817" s="307"/>
      <c r="B3817" s="307"/>
    </row>
    <row r="3818" spans="1:2" x14ac:dyDescent="0.25">
      <c r="A3818" s="307"/>
      <c r="B3818" s="307"/>
    </row>
    <row r="3819" spans="1:2" x14ac:dyDescent="0.25">
      <c r="A3819" s="307"/>
      <c r="B3819" s="307"/>
    </row>
    <row r="3820" spans="1:2" x14ac:dyDescent="0.25">
      <c r="A3820" s="307"/>
      <c r="B3820" s="307"/>
    </row>
    <row r="3821" spans="1:2" x14ac:dyDescent="0.25">
      <c r="A3821" s="307"/>
      <c r="B3821" s="307"/>
    </row>
    <row r="3822" spans="1:2" x14ac:dyDescent="0.25">
      <c r="A3822" s="307"/>
      <c r="B3822" s="307"/>
    </row>
    <row r="3823" spans="1:2" x14ac:dyDescent="0.25">
      <c r="A3823" s="307"/>
      <c r="B3823" s="307"/>
    </row>
    <row r="3824" spans="1:2" x14ac:dyDescent="0.25">
      <c r="A3824" s="307"/>
      <c r="B3824" s="307"/>
    </row>
    <row r="3825" spans="1:2" x14ac:dyDescent="0.25">
      <c r="A3825" s="307"/>
      <c r="B3825" s="307"/>
    </row>
    <row r="3826" spans="1:2" x14ac:dyDescent="0.25">
      <c r="A3826" s="307"/>
      <c r="B3826" s="307"/>
    </row>
    <row r="3827" spans="1:2" x14ac:dyDescent="0.25">
      <c r="A3827" s="307"/>
      <c r="B3827" s="307"/>
    </row>
    <row r="3828" spans="1:2" x14ac:dyDescent="0.25">
      <c r="A3828" s="307"/>
      <c r="B3828" s="307"/>
    </row>
    <row r="3829" spans="1:2" x14ac:dyDescent="0.25">
      <c r="A3829" s="307"/>
      <c r="B3829" s="307"/>
    </row>
    <row r="3830" spans="1:2" x14ac:dyDescent="0.25">
      <c r="A3830" s="307"/>
      <c r="B3830" s="307"/>
    </row>
    <row r="3831" spans="1:2" x14ac:dyDescent="0.25">
      <c r="A3831" s="307"/>
      <c r="B3831" s="307"/>
    </row>
    <row r="3832" spans="1:2" x14ac:dyDescent="0.25">
      <c r="A3832" s="307"/>
      <c r="B3832" s="307"/>
    </row>
    <row r="3833" spans="1:2" x14ac:dyDescent="0.25">
      <c r="A3833" s="307"/>
      <c r="B3833" s="307"/>
    </row>
    <row r="3834" spans="1:2" x14ac:dyDescent="0.25">
      <c r="A3834" s="307"/>
      <c r="B3834" s="307"/>
    </row>
    <row r="3835" spans="1:2" x14ac:dyDescent="0.25">
      <c r="A3835" s="307"/>
      <c r="B3835" s="307"/>
    </row>
    <row r="3836" spans="1:2" x14ac:dyDescent="0.25">
      <c r="A3836" s="307"/>
      <c r="B3836" s="307"/>
    </row>
    <row r="3837" spans="1:2" x14ac:dyDescent="0.25">
      <c r="A3837" s="307"/>
      <c r="B3837" s="307"/>
    </row>
    <row r="3838" spans="1:2" x14ac:dyDescent="0.25">
      <c r="A3838" s="307"/>
      <c r="B3838" s="307"/>
    </row>
    <row r="3839" spans="1:2" x14ac:dyDescent="0.25">
      <c r="A3839" s="307"/>
      <c r="B3839" s="307"/>
    </row>
    <row r="3840" spans="1:2" x14ac:dyDescent="0.25">
      <c r="A3840" s="307"/>
      <c r="B3840" s="307"/>
    </row>
    <row r="3841" spans="1:2" x14ac:dyDescent="0.25">
      <c r="A3841" s="307"/>
      <c r="B3841" s="307"/>
    </row>
    <row r="3842" spans="1:2" x14ac:dyDescent="0.25">
      <c r="A3842" s="307"/>
      <c r="B3842" s="307"/>
    </row>
    <row r="3843" spans="1:2" x14ac:dyDescent="0.25">
      <c r="A3843" s="307"/>
      <c r="B3843" s="307"/>
    </row>
    <row r="3844" spans="1:2" x14ac:dyDescent="0.25">
      <c r="A3844" s="307"/>
      <c r="B3844" s="307"/>
    </row>
    <row r="3845" spans="1:2" x14ac:dyDescent="0.25">
      <c r="A3845" s="307"/>
      <c r="B3845" s="307"/>
    </row>
    <row r="3846" spans="1:2" x14ac:dyDescent="0.25">
      <c r="A3846" s="307"/>
      <c r="B3846" s="307"/>
    </row>
    <row r="3847" spans="1:2" x14ac:dyDescent="0.25">
      <c r="A3847" s="307"/>
      <c r="B3847" s="307"/>
    </row>
    <row r="3848" spans="1:2" x14ac:dyDescent="0.25">
      <c r="A3848" s="307"/>
      <c r="B3848" s="307"/>
    </row>
    <row r="3849" spans="1:2" x14ac:dyDescent="0.25">
      <c r="A3849" s="307"/>
      <c r="B3849" s="307"/>
    </row>
    <row r="3850" spans="1:2" x14ac:dyDescent="0.25">
      <c r="A3850" s="307"/>
      <c r="B3850" s="307"/>
    </row>
    <row r="3851" spans="1:2" x14ac:dyDescent="0.25">
      <c r="A3851" s="307"/>
      <c r="B3851" s="307"/>
    </row>
    <row r="3852" spans="1:2" x14ac:dyDescent="0.25">
      <c r="A3852" s="307"/>
      <c r="B3852" s="307"/>
    </row>
    <row r="3853" spans="1:2" x14ac:dyDescent="0.25">
      <c r="A3853" s="307"/>
      <c r="B3853" s="307"/>
    </row>
    <row r="3854" spans="1:2" x14ac:dyDescent="0.25">
      <c r="A3854" s="307"/>
      <c r="B3854" s="307"/>
    </row>
    <row r="3855" spans="1:2" x14ac:dyDescent="0.25">
      <c r="A3855" s="307"/>
      <c r="B3855" s="307"/>
    </row>
    <row r="3856" spans="1:2" x14ac:dyDescent="0.25">
      <c r="A3856" s="307"/>
      <c r="B3856" s="307"/>
    </row>
    <row r="3857" spans="1:2" x14ac:dyDescent="0.25">
      <c r="A3857" s="307"/>
      <c r="B3857" s="307"/>
    </row>
    <row r="3858" spans="1:2" x14ac:dyDescent="0.25">
      <c r="A3858" s="307"/>
      <c r="B3858" s="307"/>
    </row>
    <row r="3859" spans="1:2" x14ac:dyDescent="0.25">
      <c r="A3859" s="307"/>
      <c r="B3859" s="307"/>
    </row>
    <row r="3860" spans="1:2" x14ac:dyDescent="0.25">
      <c r="A3860" s="307"/>
      <c r="B3860" s="307"/>
    </row>
    <row r="3861" spans="1:2" x14ac:dyDescent="0.25">
      <c r="A3861" s="307"/>
      <c r="B3861" s="307"/>
    </row>
    <row r="3862" spans="1:2" x14ac:dyDescent="0.25">
      <c r="A3862" s="307"/>
      <c r="B3862" s="307"/>
    </row>
    <row r="3863" spans="1:2" x14ac:dyDescent="0.25">
      <c r="A3863" s="307"/>
      <c r="B3863" s="307"/>
    </row>
    <row r="3864" spans="1:2" x14ac:dyDescent="0.25">
      <c r="A3864" s="307"/>
      <c r="B3864" s="307"/>
    </row>
    <row r="3865" spans="1:2" x14ac:dyDescent="0.25">
      <c r="A3865" s="307"/>
      <c r="B3865" s="307"/>
    </row>
    <row r="3866" spans="1:2" x14ac:dyDescent="0.25">
      <c r="A3866" s="307"/>
      <c r="B3866" s="307"/>
    </row>
    <row r="3867" spans="1:2" x14ac:dyDescent="0.25">
      <c r="A3867" s="307"/>
      <c r="B3867" s="307"/>
    </row>
    <row r="3868" spans="1:2" x14ac:dyDescent="0.25">
      <c r="A3868" s="307"/>
      <c r="B3868" s="307"/>
    </row>
    <row r="3869" spans="1:2" x14ac:dyDescent="0.25">
      <c r="A3869" s="307"/>
      <c r="B3869" s="307"/>
    </row>
    <row r="3870" spans="1:2" x14ac:dyDescent="0.25">
      <c r="A3870" s="307"/>
      <c r="B3870" s="307"/>
    </row>
    <row r="3871" spans="1:2" x14ac:dyDescent="0.25">
      <c r="A3871" s="307"/>
      <c r="B3871" s="307"/>
    </row>
    <row r="3872" spans="1:2" x14ac:dyDescent="0.25">
      <c r="A3872" s="307"/>
      <c r="B3872" s="307"/>
    </row>
    <row r="3873" spans="1:2" x14ac:dyDescent="0.25">
      <c r="A3873" s="307"/>
      <c r="B3873" s="307"/>
    </row>
    <row r="3874" spans="1:2" x14ac:dyDescent="0.25">
      <c r="A3874" s="307"/>
      <c r="B3874" s="307"/>
    </row>
    <row r="3875" spans="1:2" x14ac:dyDescent="0.25">
      <c r="A3875" s="307"/>
      <c r="B3875" s="307"/>
    </row>
    <row r="3876" spans="1:2" x14ac:dyDescent="0.25">
      <c r="A3876" s="307"/>
      <c r="B3876" s="307"/>
    </row>
    <row r="3877" spans="1:2" x14ac:dyDescent="0.25">
      <c r="A3877" s="307"/>
      <c r="B3877" s="307"/>
    </row>
    <row r="3878" spans="1:2" x14ac:dyDescent="0.25">
      <c r="A3878" s="307"/>
      <c r="B3878" s="307"/>
    </row>
    <row r="3879" spans="1:2" x14ac:dyDescent="0.25">
      <c r="A3879" s="307"/>
      <c r="B3879" s="307"/>
    </row>
    <row r="3880" spans="1:2" x14ac:dyDescent="0.25">
      <c r="A3880" s="307"/>
      <c r="B3880" s="307"/>
    </row>
    <row r="3881" spans="1:2" x14ac:dyDescent="0.25">
      <c r="A3881" s="307"/>
      <c r="B3881" s="307"/>
    </row>
    <row r="3882" spans="1:2" x14ac:dyDescent="0.25">
      <c r="A3882" s="307"/>
      <c r="B3882" s="307"/>
    </row>
    <row r="3883" spans="1:2" x14ac:dyDescent="0.25">
      <c r="A3883" s="307"/>
      <c r="B3883" s="307"/>
    </row>
    <row r="3884" spans="1:2" x14ac:dyDescent="0.25">
      <c r="A3884" s="307"/>
      <c r="B3884" s="307"/>
    </row>
    <row r="3885" spans="1:2" x14ac:dyDescent="0.25">
      <c r="A3885" s="307"/>
      <c r="B3885" s="307"/>
    </row>
    <row r="3886" spans="1:2" x14ac:dyDescent="0.25">
      <c r="A3886" s="307"/>
      <c r="B3886" s="307"/>
    </row>
    <row r="3887" spans="1:2" x14ac:dyDescent="0.25">
      <c r="A3887" s="307"/>
      <c r="B3887" s="307"/>
    </row>
    <row r="3888" spans="1:2" x14ac:dyDescent="0.25">
      <c r="A3888" s="307"/>
      <c r="B3888" s="307"/>
    </row>
    <row r="3889" spans="1:2" x14ac:dyDescent="0.25">
      <c r="A3889" s="307"/>
      <c r="B3889" s="307"/>
    </row>
    <row r="3890" spans="1:2" x14ac:dyDescent="0.25">
      <c r="A3890" s="307"/>
      <c r="B3890" s="307"/>
    </row>
    <row r="3891" spans="1:2" x14ac:dyDescent="0.25">
      <c r="A3891" s="307"/>
      <c r="B3891" s="307"/>
    </row>
    <row r="3892" spans="1:2" x14ac:dyDescent="0.25">
      <c r="A3892" s="307"/>
      <c r="B3892" s="307"/>
    </row>
    <row r="3893" spans="1:2" x14ac:dyDescent="0.25">
      <c r="A3893" s="307"/>
      <c r="B3893" s="307"/>
    </row>
    <row r="3894" spans="1:2" x14ac:dyDescent="0.25">
      <c r="A3894" s="307"/>
      <c r="B3894" s="307"/>
    </row>
    <row r="3895" spans="1:2" x14ac:dyDescent="0.25">
      <c r="A3895" s="307"/>
      <c r="B3895" s="307"/>
    </row>
    <row r="3896" spans="1:2" x14ac:dyDescent="0.25">
      <c r="A3896" s="307"/>
      <c r="B3896" s="307"/>
    </row>
    <row r="3897" spans="1:2" x14ac:dyDescent="0.25">
      <c r="A3897" s="307"/>
      <c r="B3897" s="307"/>
    </row>
    <row r="3898" spans="1:2" x14ac:dyDescent="0.25">
      <c r="A3898" s="307"/>
      <c r="B3898" s="307"/>
    </row>
    <row r="3899" spans="1:2" x14ac:dyDescent="0.25">
      <c r="A3899" s="307"/>
      <c r="B3899" s="307"/>
    </row>
    <row r="3900" spans="1:2" x14ac:dyDescent="0.25">
      <c r="A3900" s="307"/>
      <c r="B3900" s="307"/>
    </row>
    <row r="3901" spans="1:2" x14ac:dyDescent="0.25">
      <c r="A3901" s="307"/>
      <c r="B3901" s="307"/>
    </row>
    <row r="3902" spans="1:2" x14ac:dyDescent="0.25">
      <c r="A3902" s="307"/>
      <c r="B3902" s="307"/>
    </row>
    <row r="3903" spans="1:2" x14ac:dyDescent="0.25">
      <c r="A3903" s="307"/>
      <c r="B3903" s="307"/>
    </row>
    <row r="3904" spans="1:2" x14ac:dyDescent="0.25">
      <c r="A3904" s="307"/>
      <c r="B3904" s="307"/>
    </row>
    <row r="3905" spans="1:2" x14ac:dyDescent="0.25">
      <c r="A3905" s="307"/>
      <c r="B3905" s="307"/>
    </row>
    <row r="3906" spans="1:2" x14ac:dyDescent="0.25">
      <c r="A3906" s="307"/>
      <c r="B3906" s="307"/>
    </row>
    <row r="3907" spans="1:2" x14ac:dyDescent="0.25">
      <c r="A3907" s="307"/>
      <c r="B3907" s="307"/>
    </row>
    <row r="3908" spans="1:2" x14ac:dyDescent="0.25">
      <c r="A3908" s="307"/>
      <c r="B3908" s="307"/>
    </row>
    <row r="3909" spans="1:2" x14ac:dyDescent="0.25">
      <c r="A3909" s="307"/>
      <c r="B3909" s="307"/>
    </row>
    <row r="3910" spans="1:2" x14ac:dyDescent="0.25">
      <c r="A3910" s="307"/>
      <c r="B3910" s="307"/>
    </row>
    <row r="3911" spans="1:2" x14ac:dyDescent="0.25">
      <c r="A3911" s="307"/>
      <c r="B3911" s="307"/>
    </row>
    <row r="3912" spans="1:2" x14ac:dyDescent="0.25">
      <c r="A3912" s="307"/>
      <c r="B3912" s="307"/>
    </row>
    <row r="3913" spans="1:2" x14ac:dyDescent="0.25">
      <c r="A3913" s="307"/>
      <c r="B3913" s="307"/>
    </row>
    <row r="3914" spans="1:2" x14ac:dyDescent="0.25">
      <c r="A3914" s="307"/>
      <c r="B3914" s="307"/>
    </row>
    <row r="3915" spans="1:2" x14ac:dyDescent="0.25">
      <c r="A3915" s="307"/>
      <c r="B3915" s="307"/>
    </row>
    <row r="3916" spans="1:2" x14ac:dyDescent="0.25">
      <c r="A3916" s="307"/>
      <c r="B3916" s="307"/>
    </row>
    <row r="3917" spans="1:2" x14ac:dyDescent="0.25">
      <c r="A3917" s="307"/>
      <c r="B3917" s="307"/>
    </row>
    <row r="3918" spans="1:2" x14ac:dyDescent="0.25">
      <c r="A3918" s="307"/>
      <c r="B3918" s="307"/>
    </row>
    <row r="3919" spans="1:2" x14ac:dyDescent="0.25">
      <c r="A3919" s="307"/>
      <c r="B3919" s="307"/>
    </row>
    <row r="3920" spans="1:2" x14ac:dyDescent="0.25">
      <c r="A3920" s="307"/>
      <c r="B3920" s="307"/>
    </row>
    <row r="3921" spans="1:2" x14ac:dyDescent="0.25">
      <c r="A3921" s="307"/>
      <c r="B3921" s="307"/>
    </row>
    <row r="3922" spans="1:2" x14ac:dyDescent="0.25">
      <c r="A3922" s="307"/>
      <c r="B3922" s="307"/>
    </row>
    <row r="3923" spans="1:2" x14ac:dyDescent="0.25">
      <c r="A3923" s="307"/>
      <c r="B3923" s="307"/>
    </row>
    <row r="3924" spans="1:2" x14ac:dyDescent="0.25">
      <c r="A3924" s="307"/>
      <c r="B3924" s="307"/>
    </row>
    <row r="3925" spans="1:2" x14ac:dyDescent="0.25">
      <c r="A3925" s="307"/>
      <c r="B3925" s="307"/>
    </row>
    <row r="3926" spans="1:2" x14ac:dyDescent="0.25">
      <c r="A3926" s="307"/>
      <c r="B3926" s="307"/>
    </row>
    <row r="3927" spans="1:2" x14ac:dyDescent="0.25">
      <c r="A3927" s="307"/>
      <c r="B3927" s="307"/>
    </row>
    <row r="3928" spans="1:2" x14ac:dyDescent="0.25">
      <c r="A3928" s="307"/>
      <c r="B3928" s="307"/>
    </row>
    <row r="3929" spans="1:2" x14ac:dyDescent="0.25">
      <c r="A3929" s="307"/>
      <c r="B3929" s="307"/>
    </row>
    <row r="3930" spans="1:2" x14ac:dyDescent="0.25">
      <c r="A3930" s="307"/>
      <c r="B3930" s="307"/>
    </row>
    <row r="3931" spans="1:2" x14ac:dyDescent="0.25">
      <c r="A3931" s="307"/>
      <c r="B3931" s="307"/>
    </row>
    <row r="3932" spans="1:2" x14ac:dyDescent="0.25">
      <c r="A3932" s="307"/>
      <c r="B3932" s="307"/>
    </row>
    <row r="3933" spans="1:2" x14ac:dyDescent="0.25">
      <c r="A3933" s="307"/>
      <c r="B3933" s="307"/>
    </row>
    <row r="3934" spans="1:2" x14ac:dyDescent="0.25">
      <c r="A3934" s="307"/>
      <c r="B3934" s="307"/>
    </row>
    <row r="3935" spans="1:2" x14ac:dyDescent="0.25">
      <c r="A3935" s="307"/>
      <c r="B3935" s="307"/>
    </row>
    <row r="3936" spans="1:2" x14ac:dyDescent="0.25">
      <c r="A3936" s="307"/>
      <c r="B3936" s="307"/>
    </row>
    <row r="3937" spans="1:2" x14ac:dyDescent="0.25">
      <c r="A3937" s="307"/>
      <c r="B3937" s="307"/>
    </row>
    <row r="3938" spans="1:2" x14ac:dyDescent="0.25">
      <c r="A3938" s="307"/>
      <c r="B3938" s="307"/>
    </row>
    <row r="3939" spans="1:2" x14ac:dyDescent="0.25">
      <c r="A3939" s="307"/>
      <c r="B3939" s="307"/>
    </row>
    <row r="3940" spans="1:2" x14ac:dyDescent="0.25">
      <c r="A3940" s="307"/>
      <c r="B3940" s="307"/>
    </row>
    <row r="3941" spans="1:2" x14ac:dyDescent="0.25">
      <c r="A3941" s="307"/>
      <c r="B3941" s="307"/>
    </row>
    <row r="3942" spans="1:2" x14ac:dyDescent="0.25">
      <c r="A3942" s="307"/>
      <c r="B3942" s="307"/>
    </row>
    <row r="3943" spans="1:2" x14ac:dyDescent="0.25">
      <c r="A3943" s="307"/>
      <c r="B3943" s="307"/>
    </row>
    <row r="3944" spans="1:2" x14ac:dyDescent="0.25">
      <c r="A3944" s="307"/>
      <c r="B3944" s="307"/>
    </row>
    <row r="3945" spans="1:2" x14ac:dyDescent="0.25">
      <c r="A3945" s="307"/>
      <c r="B3945" s="307"/>
    </row>
    <row r="3946" spans="1:2" x14ac:dyDescent="0.25">
      <c r="A3946" s="307"/>
      <c r="B3946" s="307"/>
    </row>
    <row r="3947" spans="1:2" x14ac:dyDescent="0.25">
      <c r="A3947" s="307"/>
      <c r="B3947" s="307"/>
    </row>
    <row r="3948" spans="1:2" x14ac:dyDescent="0.25">
      <c r="A3948" s="307"/>
      <c r="B3948" s="307"/>
    </row>
    <row r="3949" spans="1:2" x14ac:dyDescent="0.25">
      <c r="A3949" s="307"/>
      <c r="B3949" s="307"/>
    </row>
    <row r="3950" spans="1:2" x14ac:dyDescent="0.25">
      <c r="A3950" s="307"/>
      <c r="B3950" s="307"/>
    </row>
    <row r="3951" spans="1:2" x14ac:dyDescent="0.25">
      <c r="A3951" s="307"/>
      <c r="B3951" s="307"/>
    </row>
    <row r="3952" spans="1:2" x14ac:dyDescent="0.25">
      <c r="A3952" s="307"/>
      <c r="B3952" s="307"/>
    </row>
    <row r="3953" spans="1:2" x14ac:dyDescent="0.25">
      <c r="A3953" s="307"/>
      <c r="B3953" s="307"/>
    </row>
    <row r="3954" spans="1:2" x14ac:dyDescent="0.25">
      <c r="A3954" s="307"/>
      <c r="B3954" s="307"/>
    </row>
    <row r="3955" spans="1:2" x14ac:dyDescent="0.25">
      <c r="A3955" s="307"/>
      <c r="B3955" s="307"/>
    </row>
    <row r="3956" spans="1:2" x14ac:dyDescent="0.25">
      <c r="A3956" s="307"/>
      <c r="B3956" s="307"/>
    </row>
    <row r="3957" spans="1:2" x14ac:dyDescent="0.25">
      <c r="A3957" s="307"/>
      <c r="B3957" s="307"/>
    </row>
    <row r="3958" spans="1:2" x14ac:dyDescent="0.25">
      <c r="A3958" s="307"/>
      <c r="B3958" s="307"/>
    </row>
    <row r="3959" spans="1:2" x14ac:dyDescent="0.25">
      <c r="A3959" s="307"/>
      <c r="B3959" s="307"/>
    </row>
    <row r="3960" spans="1:2" x14ac:dyDescent="0.25">
      <c r="A3960" s="307"/>
      <c r="B3960" s="307"/>
    </row>
    <row r="3961" spans="1:2" x14ac:dyDescent="0.25">
      <c r="A3961" s="307"/>
      <c r="B3961" s="307"/>
    </row>
    <row r="3962" spans="1:2" x14ac:dyDescent="0.25">
      <c r="A3962" s="307"/>
      <c r="B3962" s="307"/>
    </row>
    <row r="3963" spans="1:2" x14ac:dyDescent="0.25">
      <c r="A3963" s="307"/>
      <c r="B3963" s="307"/>
    </row>
    <row r="3964" spans="1:2" x14ac:dyDescent="0.25">
      <c r="A3964" s="307"/>
      <c r="B3964" s="307"/>
    </row>
    <row r="3965" spans="1:2" x14ac:dyDescent="0.25">
      <c r="A3965" s="307"/>
      <c r="B3965" s="307"/>
    </row>
    <row r="3966" spans="1:2" x14ac:dyDescent="0.25">
      <c r="A3966" s="307"/>
      <c r="B3966" s="307"/>
    </row>
    <row r="3967" spans="1:2" x14ac:dyDescent="0.25">
      <c r="A3967" s="307"/>
      <c r="B3967" s="307"/>
    </row>
    <row r="3968" spans="1:2" x14ac:dyDescent="0.25">
      <c r="A3968" s="307"/>
      <c r="B3968" s="307"/>
    </row>
    <row r="3969" spans="1:2" x14ac:dyDescent="0.25">
      <c r="A3969" s="307"/>
      <c r="B3969" s="307"/>
    </row>
    <row r="3970" spans="1:2" x14ac:dyDescent="0.25">
      <c r="A3970" s="307"/>
      <c r="B3970" s="307"/>
    </row>
    <row r="3971" spans="1:2" x14ac:dyDescent="0.25">
      <c r="A3971" s="307"/>
      <c r="B3971" s="307"/>
    </row>
    <row r="3972" spans="1:2" x14ac:dyDescent="0.25">
      <c r="A3972" s="307"/>
      <c r="B3972" s="307"/>
    </row>
    <row r="3973" spans="1:2" x14ac:dyDescent="0.25">
      <c r="A3973" s="307"/>
      <c r="B3973" s="307"/>
    </row>
    <row r="3974" spans="1:2" x14ac:dyDescent="0.25">
      <c r="A3974" s="307"/>
      <c r="B3974" s="307"/>
    </row>
    <row r="3975" spans="1:2" x14ac:dyDescent="0.25">
      <c r="A3975" s="307"/>
      <c r="B3975" s="307"/>
    </row>
    <row r="3976" spans="1:2" x14ac:dyDescent="0.25">
      <c r="A3976" s="307"/>
      <c r="B3976" s="307"/>
    </row>
    <row r="3977" spans="1:2" x14ac:dyDescent="0.25">
      <c r="A3977" s="307"/>
      <c r="B3977" s="307"/>
    </row>
    <row r="3978" spans="1:2" x14ac:dyDescent="0.25">
      <c r="A3978" s="307"/>
      <c r="B3978" s="307"/>
    </row>
    <row r="3979" spans="1:2" x14ac:dyDescent="0.25">
      <c r="A3979" s="307"/>
      <c r="B3979" s="307"/>
    </row>
    <row r="3980" spans="1:2" x14ac:dyDescent="0.25">
      <c r="A3980" s="307"/>
      <c r="B3980" s="307"/>
    </row>
    <row r="3981" spans="1:2" x14ac:dyDescent="0.25">
      <c r="A3981" s="307"/>
      <c r="B3981" s="307"/>
    </row>
    <row r="3982" spans="1:2" x14ac:dyDescent="0.25">
      <c r="A3982" s="307"/>
      <c r="B3982" s="307"/>
    </row>
    <row r="3983" spans="1:2" x14ac:dyDescent="0.25">
      <c r="A3983" s="307"/>
      <c r="B3983" s="307"/>
    </row>
    <row r="3984" spans="1:2" x14ac:dyDescent="0.25">
      <c r="A3984" s="307"/>
      <c r="B3984" s="307"/>
    </row>
    <row r="3985" spans="1:2" x14ac:dyDescent="0.25">
      <c r="A3985" s="307"/>
      <c r="B3985" s="307"/>
    </row>
    <row r="3986" spans="1:2" x14ac:dyDescent="0.25">
      <c r="A3986" s="307"/>
      <c r="B3986" s="307"/>
    </row>
    <row r="3987" spans="1:2" x14ac:dyDescent="0.25">
      <c r="A3987" s="307"/>
      <c r="B3987" s="307"/>
    </row>
    <row r="3988" spans="1:2" x14ac:dyDescent="0.25">
      <c r="A3988" s="307"/>
      <c r="B3988" s="307"/>
    </row>
    <row r="3989" spans="1:2" x14ac:dyDescent="0.25">
      <c r="A3989" s="307"/>
      <c r="B3989" s="307"/>
    </row>
    <row r="3990" spans="1:2" x14ac:dyDescent="0.25">
      <c r="A3990" s="307"/>
      <c r="B3990" s="307"/>
    </row>
    <row r="3991" spans="1:2" x14ac:dyDescent="0.25">
      <c r="A3991" s="307"/>
      <c r="B3991" s="307"/>
    </row>
    <row r="3992" spans="1:2" x14ac:dyDescent="0.25">
      <c r="A3992" s="307"/>
      <c r="B3992" s="307"/>
    </row>
    <row r="3993" spans="1:2" x14ac:dyDescent="0.25">
      <c r="A3993" s="307"/>
      <c r="B3993" s="307"/>
    </row>
    <row r="3994" spans="1:2" x14ac:dyDescent="0.25">
      <c r="A3994" s="307"/>
      <c r="B3994" s="307"/>
    </row>
    <row r="3995" spans="1:2" x14ac:dyDescent="0.25">
      <c r="A3995" s="307"/>
      <c r="B3995" s="307"/>
    </row>
    <row r="3996" spans="1:2" x14ac:dyDescent="0.25">
      <c r="A3996" s="307"/>
      <c r="B3996" s="307"/>
    </row>
    <row r="3997" spans="1:2" x14ac:dyDescent="0.25">
      <c r="A3997" s="307"/>
      <c r="B3997" s="307"/>
    </row>
    <row r="3998" spans="1:2" x14ac:dyDescent="0.25">
      <c r="A3998" s="307"/>
      <c r="B3998" s="307"/>
    </row>
    <row r="3999" spans="1:2" x14ac:dyDescent="0.25">
      <c r="A3999" s="307"/>
      <c r="B3999" s="307"/>
    </row>
    <row r="4000" spans="1:2" x14ac:dyDescent="0.25">
      <c r="A4000" s="307"/>
      <c r="B4000" s="307"/>
    </row>
    <row r="4001" spans="1:2" x14ac:dyDescent="0.25">
      <c r="A4001" s="307"/>
      <c r="B4001" s="307"/>
    </row>
    <row r="4002" spans="1:2" x14ac:dyDescent="0.25">
      <c r="A4002" s="307"/>
      <c r="B4002" s="307"/>
    </row>
    <row r="4003" spans="1:2" x14ac:dyDescent="0.25">
      <c r="A4003" s="307"/>
      <c r="B4003" s="307"/>
    </row>
    <row r="4004" spans="1:2" x14ac:dyDescent="0.25">
      <c r="A4004" s="307"/>
      <c r="B4004" s="307"/>
    </row>
    <row r="4005" spans="1:2" x14ac:dyDescent="0.25">
      <c r="A4005" s="307"/>
      <c r="B4005" s="307"/>
    </row>
    <row r="4006" spans="1:2" x14ac:dyDescent="0.25">
      <c r="A4006" s="307"/>
      <c r="B4006" s="307"/>
    </row>
    <row r="4007" spans="1:2" x14ac:dyDescent="0.25">
      <c r="A4007" s="307"/>
      <c r="B4007" s="307"/>
    </row>
    <row r="4008" spans="1:2" x14ac:dyDescent="0.25">
      <c r="A4008" s="307"/>
      <c r="B4008" s="307"/>
    </row>
    <row r="4009" spans="1:2" x14ac:dyDescent="0.25">
      <c r="A4009" s="307"/>
      <c r="B4009" s="307"/>
    </row>
    <row r="4010" spans="1:2" x14ac:dyDescent="0.25">
      <c r="A4010" s="307"/>
      <c r="B4010" s="307"/>
    </row>
    <row r="4011" spans="1:2" x14ac:dyDescent="0.25">
      <c r="A4011" s="307"/>
      <c r="B4011" s="307"/>
    </row>
    <row r="4012" spans="1:2" x14ac:dyDescent="0.25">
      <c r="A4012" s="307"/>
      <c r="B4012" s="307"/>
    </row>
    <row r="4013" spans="1:2" x14ac:dyDescent="0.25">
      <c r="A4013" s="307"/>
      <c r="B4013" s="307"/>
    </row>
    <row r="4014" spans="1:2" x14ac:dyDescent="0.25">
      <c r="A4014" s="307"/>
      <c r="B4014" s="307"/>
    </row>
    <row r="4015" spans="1:2" x14ac:dyDescent="0.25">
      <c r="A4015" s="307"/>
      <c r="B4015" s="307"/>
    </row>
    <row r="4016" spans="1:2" x14ac:dyDescent="0.25">
      <c r="A4016" s="307"/>
      <c r="B4016" s="307"/>
    </row>
    <row r="4017" spans="1:2" x14ac:dyDescent="0.25">
      <c r="A4017" s="307"/>
      <c r="B4017" s="307"/>
    </row>
    <row r="4018" spans="1:2" x14ac:dyDescent="0.25">
      <c r="A4018" s="307"/>
      <c r="B4018" s="307"/>
    </row>
    <row r="4019" spans="1:2" x14ac:dyDescent="0.25">
      <c r="A4019" s="307"/>
      <c r="B4019" s="307"/>
    </row>
    <row r="4020" spans="1:2" x14ac:dyDescent="0.25">
      <c r="A4020" s="307"/>
      <c r="B4020" s="307"/>
    </row>
    <row r="4021" spans="1:2" x14ac:dyDescent="0.25">
      <c r="A4021" s="307"/>
      <c r="B4021" s="307"/>
    </row>
    <row r="4022" spans="1:2" x14ac:dyDescent="0.25">
      <c r="A4022" s="307"/>
      <c r="B4022" s="307"/>
    </row>
    <row r="4023" spans="1:2" x14ac:dyDescent="0.25">
      <c r="A4023" s="307"/>
      <c r="B4023" s="307"/>
    </row>
    <row r="4024" spans="1:2" x14ac:dyDescent="0.25">
      <c r="A4024" s="307"/>
      <c r="B4024" s="307"/>
    </row>
    <row r="4025" spans="1:2" x14ac:dyDescent="0.25">
      <c r="A4025" s="307"/>
      <c r="B4025" s="307"/>
    </row>
    <row r="4026" spans="1:2" x14ac:dyDescent="0.25">
      <c r="A4026" s="307"/>
      <c r="B4026" s="307"/>
    </row>
    <row r="4027" spans="1:2" x14ac:dyDescent="0.25">
      <c r="A4027" s="307"/>
      <c r="B4027" s="307"/>
    </row>
    <row r="4028" spans="1:2" x14ac:dyDescent="0.25">
      <c r="A4028" s="307"/>
      <c r="B4028" s="307"/>
    </row>
    <row r="4029" spans="1:2" x14ac:dyDescent="0.25">
      <c r="A4029" s="307"/>
      <c r="B4029" s="307"/>
    </row>
    <row r="4030" spans="1:2" x14ac:dyDescent="0.25">
      <c r="A4030" s="307"/>
      <c r="B4030" s="307"/>
    </row>
    <row r="4031" spans="1:2" x14ac:dyDescent="0.25">
      <c r="A4031" s="307"/>
      <c r="B4031" s="307"/>
    </row>
    <row r="4032" spans="1:2" x14ac:dyDescent="0.25">
      <c r="A4032" s="307"/>
      <c r="B4032" s="307"/>
    </row>
    <row r="4033" spans="1:2" x14ac:dyDescent="0.25">
      <c r="A4033" s="307"/>
      <c r="B4033" s="307"/>
    </row>
    <row r="4034" spans="1:2" x14ac:dyDescent="0.25">
      <c r="A4034" s="307"/>
      <c r="B4034" s="307"/>
    </row>
    <row r="4035" spans="1:2" x14ac:dyDescent="0.25">
      <c r="A4035" s="307"/>
      <c r="B4035" s="307"/>
    </row>
    <row r="4036" spans="1:2" x14ac:dyDescent="0.25">
      <c r="A4036" s="307"/>
      <c r="B4036" s="307"/>
    </row>
    <row r="4037" spans="1:2" x14ac:dyDescent="0.25">
      <c r="A4037" s="307"/>
      <c r="B4037" s="307"/>
    </row>
    <row r="4038" spans="1:2" x14ac:dyDescent="0.25">
      <c r="A4038" s="307"/>
      <c r="B4038" s="307"/>
    </row>
    <row r="4039" spans="1:2" x14ac:dyDescent="0.25">
      <c r="A4039" s="307"/>
      <c r="B4039" s="307"/>
    </row>
    <row r="4040" spans="1:2" x14ac:dyDescent="0.25">
      <c r="A4040" s="307"/>
      <c r="B4040" s="307"/>
    </row>
    <row r="4041" spans="1:2" x14ac:dyDescent="0.25">
      <c r="A4041" s="307"/>
      <c r="B4041" s="307"/>
    </row>
    <row r="4042" spans="1:2" x14ac:dyDescent="0.25">
      <c r="A4042" s="307"/>
      <c r="B4042" s="307"/>
    </row>
    <row r="4043" spans="1:2" x14ac:dyDescent="0.25">
      <c r="A4043" s="307"/>
      <c r="B4043" s="307"/>
    </row>
    <row r="4044" spans="1:2" x14ac:dyDescent="0.25">
      <c r="A4044" s="307"/>
      <c r="B4044" s="307"/>
    </row>
    <row r="4045" spans="1:2" x14ac:dyDescent="0.25">
      <c r="A4045" s="307"/>
      <c r="B4045" s="307"/>
    </row>
    <row r="4046" spans="1:2" x14ac:dyDescent="0.25">
      <c r="A4046" s="307"/>
      <c r="B4046" s="307"/>
    </row>
    <row r="4047" spans="1:2" x14ac:dyDescent="0.25">
      <c r="A4047" s="307"/>
      <c r="B4047" s="307"/>
    </row>
    <row r="4048" spans="1:2" x14ac:dyDescent="0.25">
      <c r="A4048" s="307"/>
      <c r="B4048" s="307"/>
    </row>
    <row r="4049" spans="1:2" x14ac:dyDescent="0.25">
      <c r="A4049" s="307"/>
      <c r="B4049" s="307"/>
    </row>
    <row r="4050" spans="1:2" x14ac:dyDescent="0.25">
      <c r="A4050" s="307"/>
      <c r="B4050" s="307"/>
    </row>
    <row r="4051" spans="1:2" x14ac:dyDescent="0.25">
      <c r="A4051" s="307"/>
      <c r="B4051" s="307"/>
    </row>
    <row r="4052" spans="1:2" x14ac:dyDescent="0.25">
      <c r="A4052" s="307"/>
      <c r="B4052" s="307"/>
    </row>
    <row r="4053" spans="1:2" x14ac:dyDescent="0.25">
      <c r="A4053" s="307"/>
      <c r="B4053" s="307"/>
    </row>
    <row r="4054" spans="1:2" x14ac:dyDescent="0.25">
      <c r="A4054" s="307"/>
      <c r="B4054" s="307"/>
    </row>
    <row r="4055" spans="1:2" x14ac:dyDescent="0.25">
      <c r="A4055" s="307"/>
      <c r="B4055" s="307"/>
    </row>
    <row r="4056" spans="1:2" x14ac:dyDescent="0.25">
      <c r="A4056" s="307"/>
      <c r="B4056" s="307"/>
    </row>
    <row r="4057" spans="1:2" x14ac:dyDescent="0.25">
      <c r="A4057" s="307"/>
      <c r="B4057" s="307"/>
    </row>
    <row r="4058" spans="1:2" x14ac:dyDescent="0.25">
      <c r="A4058" s="307"/>
      <c r="B4058" s="307"/>
    </row>
    <row r="4059" spans="1:2" x14ac:dyDescent="0.25">
      <c r="A4059" s="307"/>
      <c r="B4059" s="307"/>
    </row>
    <row r="4060" spans="1:2" x14ac:dyDescent="0.25">
      <c r="A4060" s="307"/>
      <c r="B4060" s="307"/>
    </row>
    <row r="4061" spans="1:2" x14ac:dyDescent="0.25">
      <c r="A4061" s="307"/>
      <c r="B4061" s="307"/>
    </row>
    <row r="4062" spans="1:2" x14ac:dyDescent="0.25">
      <c r="A4062" s="307"/>
      <c r="B4062" s="307"/>
    </row>
    <row r="4063" spans="1:2" x14ac:dyDescent="0.25">
      <c r="A4063" s="307"/>
      <c r="B4063" s="307"/>
    </row>
    <row r="4064" spans="1:2" x14ac:dyDescent="0.25">
      <c r="A4064" s="307"/>
      <c r="B4064" s="307"/>
    </row>
    <row r="4065" spans="1:2" x14ac:dyDescent="0.25">
      <c r="A4065" s="307"/>
      <c r="B4065" s="307"/>
    </row>
    <row r="4066" spans="1:2" x14ac:dyDescent="0.25">
      <c r="A4066" s="307"/>
      <c r="B4066" s="307"/>
    </row>
    <row r="4067" spans="1:2" x14ac:dyDescent="0.25">
      <c r="A4067" s="307"/>
      <c r="B4067" s="307"/>
    </row>
    <row r="4068" spans="1:2" x14ac:dyDescent="0.25">
      <c r="A4068" s="307"/>
      <c r="B4068" s="307"/>
    </row>
    <row r="4069" spans="1:2" x14ac:dyDescent="0.25">
      <c r="A4069" s="307"/>
      <c r="B4069" s="307"/>
    </row>
    <row r="4070" spans="1:2" x14ac:dyDescent="0.25">
      <c r="A4070" s="307"/>
      <c r="B4070" s="307"/>
    </row>
    <row r="4071" spans="1:2" x14ac:dyDescent="0.25">
      <c r="A4071" s="307"/>
      <c r="B4071" s="307"/>
    </row>
    <row r="4072" spans="1:2" x14ac:dyDescent="0.25">
      <c r="A4072" s="307"/>
      <c r="B4072" s="307"/>
    </row>
    <row r="4073" spans="1:2" x14ac:dyDescent="0.25">
      <c r="A4073" s="307"/>
      <c r="B4073" s="307"/>
    </row>
    <row r="4074" spans="1:2" x14ac:dyDescent="0.25">
      <c r="A4074" s="307"/>
      <c r="B4074" s="307"/>
    </row>
    <row r="4075" spans="1:2" x14ac:dyDescent="0.25">
      <c r="A4075" s="307"/>
      <c r="B4075" s="307"/>
    </row>
    <row r="4076" spans="1:2" x14ac:dyDescent="0.25">
      <c r="A4076" s="307"/>
      <c r="B4076" s="307"/>
    </row>
    <row r="4077" spans="1:2" x14ac:dyDescent="0.25">
      <c r="A4077" s="307"/>
      <c r="B4077" s="307"/>
    </row>
    <row r="4078" spans="1:2" x14ac:dyDescent="0.25">
      <c r="A4078" s="307"/>
      <c r="B4078" s="307"/>
    </row>
    <row r="4079" spans="1:2" x14ac:dyDescent="0.25">
      <c r="A4079" s="307"/>
      <c r="B4079" s="307"/>
    </row>
    <row r="4080" spans="1:2" x14ac:dyDescent="0.25">
      <c r="A4080" s="307"/>
      <c r="B4080" s="307"/>
    </row>
    <row r="4081" spans="1:2" x14ac:dyDescent="0.25">
      <c r="A4081" s="307"/>
      <c r="B4081" s="307"/>
    </row>
    <row r="4082" spans="1:2" x14ac:dyDescent="0.25">
      <c r="A4082" s="307"/>
      <c r="B4082" s="307"/>
    </row>
    <row r="4083" spans="1:2" x14ac:dyDescent="0.25">
      <c r="A4083" s="307"/>
      <c r="B4083" s="307"/>
    </row>
    <row r="4084" spans="1:2" x14ac:dyDescent="0.25">
      <c r="A4084" s="307"/>
      <c r="B4084" s="307"/>
    </row>
    <row r="4085" spans="1:2" x14ac:dyDescent="0.25">
      <c r="A4085" s="307"/>
      <c r="B4085" s="307"/>
    </row>
    <row r="4086" spans="1:2" x14ac:dyDescent="0.25">
      <c r="A4086" s="307"/>
      <c r="B4086" s="307"/>
    </row>
    <row r="4087" spans="1:2" x14ac:dyDescent="0.25">
      <c r="A4087" s="307"/>
      <c r="B4087" s="307"/>
    </row>
    <row r="4088" spans="1:2" x14ac:dyDescent="0.25">
      <c r="A4088" s="307"/>
      <c r="B4088" s="307"/>
    </row>
    <row r="4089" spans="1:2" x14ac:dyDescent="0.25">
      <c r="A4089" s="307"/>
      <c r="B4089" s="307"/>
    </row>
    <row r="4090" spans="1:2" x14ac:dyDescent="0.25">
      <c r="A4090" s="307"/>
      <c r="B4090" s="307"/>
    </row>
    <row r="4091" spans="1:2" x14ac:dyDescent="0.25">
      <c r="A4091" s="307"/>
      <c r="B4091" s="307"/>
    </row>
    <row r="4092" spans="1:2" x14ac:dyDescent="0.25">
      <c r="A4092" s="307"/>
      <c r="B4092" s="307"/>
    </row>
    <row r="4093" spans="1:2" x14ac:dyDescent="0.25">
      <c r="A4093" s="307"/>
      <c r="B4093" s="307"/>
    </row>
    <row r="4094" spans="1:2" x14ac:dyDescent="0.25">
      <c r="A4094" s="307"/>
      <c r="B4094" s="307"/>
    </row>
    <row r="4095" spans="1:2" x14ac:dyDescent="0.25">
      <c r="A4095" s="307"/>
      <c r="B4095" s="307"/>
    </row>
    <row r="4096" spans="1:2" x14ac:dyDescent="0.25">
      <c r="A4096" s="307"/>
      <c r="B4096" s="307"/>
    </row>
    <row r="4097" spans="1:2" x14ac:dyDescent="0.25">
      <c r="A4097" s="307"/>
      <c r="B4097" s="307"/>
    </row>
    <row r="4098" spans="1:2" x14ac:dyDescent="0.25">
      <c r="A4098" s="307"/>
      <c r="B4098" s="307"/>
    </row>
    <row r="4099" spans="1:2" x14ac:dyDescent="0.25">
      <c r="A4099" s="307"/>
      <c r="B4099" s="307"/>
    </row>
    <row r="4100" spans="1:2" x14ac:dyDescent="0.25">
      <c r="A4100" s="307"/>
      <c r="B4100" s="307"/>
    </row>
    <row r="4101" spans="1:2" x14ac:dyDescent="0.25">
      <c r="A4101" s="307"/>
      <c r="B4101" s="307"/>
    </row>
    <row r="4102" spans="1:2" x14ac:dyDescent="0.25">
      <c r="A4102" s="307"/>
      <c r="B4102" s="307"/>
    </row>
    <row r="4103" spans="1:2" x14ac:dyDescent="0.25">
      <c r="A4103" s="307"/>
      <c r="B4103" s="307"/>
    </row>
    <row r="4104" spans="1:2" x14ac:dyDescent="0.25">
      <c r="A4104" s="307"/>
      <c r="B4104" s="307"/>
    </row>
    <row r="4105" spans="1:2" x14ac:dyDescent="0.25">
      <c r="A4105" s="307"/>
      <c r="B4105" s="307"/>
    </row>
    <row r="4106" spans="1:2" x14ac:dyDescent="0.25">
      <c r="A4106" s="307"/>
      <c r="B4106" s="307"/>
    </row>
    <row r="4107" spans="1:2" x14ac:dyDescent="0.25">
      <c r="A4107" s="307"/>
      <c r="B4107" s="307"/>
    </row>
    <row r="4108" spans="1:2" x14ac:dyDescent="0.25">
      <c r="A4108" s="307"/>
      <c r="B4108" s="307"/>
    </row>
    <row r="4109" spans="1:2" x14ac:dyDescent="0.25">
      <c r="A4109" s="307"/>
      <c r="B4109" s="307"/>
    </row>
    <row r="4110" spans="1:2" x14ac:dyDescent="0.25">
      <c r="A4110" s="307"/>
      <c r="B4110" s="307"/>
    </row>
    <row r="4111" spans="1:2" x14ac:dyDescent="0.25">
      <c r="A4111" s="307"/>
      <c r="B4111" s="307"/>
    </row>
    <row r="4112" spans="1:2" x14ac:dyDescent="0.25">
      <c r="A4112" s="307"/>
      <c r="B4112" s="307"/>
    </row>
    <row r="4113" spans="1:2" x14ac:dyDescent="0.25">
      <c r="A4113" s="307"/>
      <c r="B4113" s="307"/>
    </row>
    <row r="4114" spans="1:2" x14ac:dyDescent="0.25">
      <c r="A4114" s="307"/>
      <c r="B4114" s="307"/>
    </row>
    <row r="4115" spans="1:2" x14ac:dyDescent="0.25">
      <c r="A4115" s="307"/>
      <c r="B4115" s="307"/>
    </row>
    <row r="4116" spans="1:2" x14ac:dyDescent="0.25">
      <c r="A4116" s="307"/>
      <c r="B4116" s="307"/>
    </row>
    <row r="4117" spans="1:2" x14ac:dyDescent="0.25">
      <c r="A4117" s="307"/>
      <c r="B4117" s="307"/>
    </row>
    <row r="4118" spans="1:2" x14ac:dyDescent="0.25">
      <c r="A4118" s="307"/>
      <c r="B4118" s="307"/>
    </row>
    <row r="4119" spans="1:2" x14ac:dyDescent="0.25">
      <c r="A4119" s="307"/>
      <c r="B4119" s="307"/>
    </row>
    <row r="4120" spans="1:2" x14ac:dyDescent="0.25">
      <c r="A4120" s="307"/>
      <c r="B4120" s="307"/>
    </row>
    <row r="4121" spans="1:2" x14ac:dyDescent="0.25">
      <c r="A4121" s="307"/>
      <c r="B4121" s="307"/>
    </row>
    <row r="4122" spans="1:2" x14ac:dyDescent="0.25">
      <c r="A4122" s="307"/>
      <c r="B4122" s="307"/>
    </row>
    <row r="4123" spans="1:2" x14ac:dyDescent="0.25">
      <c r="A4123" s="307"/>
      <c r="B4123" s="307"/>
    </row>
    <row r="4124" spans="1:2" x14ac:dyDescent="0.25">
      <c r="A4124" s="307"/>
      <c r="B4124" s="307"/>
    </row>
    <row r="4125" spans="1:2" x14ac:dyDescent="0.25">
      <c r="A4125" s="307"/>
      <c r="B4125" s="307"/>
    </row>
    <row r="4126" spans="1:2" x14ac:dyDescent="0.25">
      <c r="A4126" s="307"/>
      <c r="B4126" s="307"/>
    </row>
    <row r="4127" spans="1:2" x14ac:dyDescent="0.25">
      <c r="A4127" s="307"/>
      <c r="B4127" s="307"/>
    </row>
    <row r="4128" spans="1:2" x14ac:dyDescent="0.25">
      <c r="A4128" s="307"/>
      <c r="B4128" s="307"/>
    </row>
    <row r="4129" spans="1:2" x14ac:dyDescent="0.25">
      <c r="A4129" s="307"/>
      <c r="B4129" s="307"/>
    </row>
    <row r="4130" spans="1:2" x14ac:dyDescent="0.25">
      <c r="A4130" s="307"/>
      <c r="B4130" s="307"/>
    </row>
    <row r="4131" spans="1:2" x14ac:dyDescent="0.25">
      <c r="A4131" s="307"/>
      <c r="B4131" s="307"/>
    </row>
    <row r="4132" spans="1:2" x14ac:dyDescent="0.25">
      <c r="A4132" s="307"/>
      <c r="B4132" s="307"/>
    </row>
    <row r="4133" spans="1:2" x14ac:dyDescent="0.25">
      <c r="A4133" s="307"/>
      <c r="B4133" s="307"/>
    </row>
    <row r="4134" spans="1:2" x14ac:dyDescent="0.25">
      <c r="A4134" s="307"/>
      <c r="B4134" s="307"/>
    </row>
    <row r="4135" spans="1:2" x14ac:dyDescent="0.25">
      <c r="A4135" s="307"/>
      <c r="B4135" s="307"/>
    </row>
    <row r="4136" spans="1:2" x14ac:dyDescent="0.25">
      <c r="A4136" s="307"/>
      <c r="B4136" s="307"/>
    </row>
    <row r="4137" spans="1:2" x14ac:dyDescent="0.25">
      <c r="A4137" s="307"/>
      <c r="B4137" s="307"/>
    </row>
    <row r="4138" spans="1:2" x14ac:dyDescent="0.25">
      <c r="A4138" s="307"/>
      <c r="B4138" s="307"/>
    </row>
    <row r="4139" spans="1:2" x14ac:dyDescent="0.25">
      <c r="A4139" s="307"/>
      <c r="B4139" s="307"/>
    </row>
    <row r="4140" spans="1:2" x14ac:dyDescent="0.25">
      <c r="A4140" s="307"/>
      <c r="B4140" s="307"/>
    </row>
    <row r="4141" spans="1:2" x14ac:dyDescent="0.25">
      <c r="A4141" s="307"/>
      <c r="B4141" s="307"/>
    </row>
    <row r="4142" spans="1:2" x14ac:dyDescent="0.25">
      <c r="A4142" s="307"/>
      <c r="B4142" s="307"/>
    </row>
    <row r="4143" spans="1:2" x14ac:dyDescent="0.25">
      <c r="A4143" s="307"/>
      <c r="B4143" s="307"/>
    </row>
    <row r="4144" spans="1:2" x14ac:dyDescent="0.25">
      <c r="A4144" s="307"/>
      <c r="B4144" s="307"/>
    </row>
    <row r="4145" spans="1:2" x14ac:dyDescent="0.25">
      <c r="A4145" s="307"/>
      <c r="B4145" s="307"/>
    </row>
    <row r="4146" spans="1:2" x14ac:dyDescent="0.25">
      <c r="A4146" s="307"/>
      <c r="B4146" s="307"/>
    </row>
    <row r="4147" spans="1:2" x14ac:dyDescent="0.25">
      <c r="A4147" s="307"/>
      <c r="B4147" s="307"/>
    </row>
    <row r="4148" spans="1:2" x14ac:dyDescent="0.25">
      <c r="A4148" s="307"/>
      <c r="B4148" s="307"/>
    </row>
    <row r="4149" spans="1:2" x14ac:dyDescent="0.25">
      <c r="A4149" s="307"/>
      <c r="B4149" s="307"/>
    </row>
    <row r="4150" spans="1:2" x14ac:dyDescent="0.25">
      <c r="A4150" s="307"/>
      <c r="B4150" s="307"/>
    </row>
    <row r="4151" spans="1:2" x14ac:dyDescent="0.25">
      <c r="A4151" s="307"/>
      <c r="B4151" s="307"/>
    </row>
    <row r="4152" spans="1:2" x14ac:dyDescent="0.25">
      <c r="A4152" s="307"/>
      <c r="B4152" s="307"/>
    </row>
    <row r="4153" spans="1:2" x14ac:dyDescent="0.25">
      <c r="A4153" s="307"/>
      <c r="B4153" s="307"/>
    </row>
    <row r="4154" spans="1:2" x14ac:dyDescent="0.25">
      <c r="A4154" s="307"/>
      <c r="B4154" s="307"/>
    </row>
    <row r="4155" spans="1:2" x14ac:dyDescent="0.25">
      <c r="A4155" s="307"/>
      <c r="B4155" s="307"/>
    </row>
    <row r="4156" spans="1:2" x14ac:dyDescent="0.25">
      <c r="A4156" s="307"/>
      <c r="B4156" s="307"/>
    </row>
    <row r="4157" spans="1:2" x14ac:dyDescent="0.25">
      <c r="A4157" s="307"/>
      <c r="B4157" s="307"/>
    </row>
    <row r="4158" spans="1:2" x14ac:dyDescent="0.25">
      <c r="A4158" s="307"/>
      <c r="B4158" s="307"/>
    </row>
    <row r="4159" spans="1:2" x14ac:dyDescent="0.25">
      <c r="A4159" s="307"/>
      <c r="B4159" s="307"/>
    </row>
    <row r="4160" spans="1:2" x14ac:dyDescent="0.25">
      <c r="A4160" s="307"/>
      <c r="B4160" s="307"/>
    </row>
    <row r="4161" spans="1:2" x14ac:dyDescent="0.25">
      <c r="A4161" s="307"/>
      <c r="B4161" s="307"/>
    </row>
    <row r="4162" spans="1:2" x14ac:dyDescent="0.25">
      <c r="A4162" s="307"/>
      <c r="B4162" s="307"/>
    </row>
    <row r="4163" spans="1:2" x14ac:dyDescent="0.25">
      <c r="A4163" s="307"/>
      <c r="B4163" s="307"/>
    </row>
    <row r="4164" spans="1:2" x14ac:dyDescent="0.25">
      <c r="A4164" s="307"/>
      <c r="B4164" s="307"/>
    </row>
    <row r="4165" spans="1:2" x14ac:dyDescent="0.25">
      <c r="A4165" s="307"/>
      <c r="B4165" s="307"/>
    </row>
    <row r="4166" spans="1:2" x14ac:dyDescent="0.25">
      <c r="A4166" s="307"/>
      <c r="B4166" s="307"/>
    </row>
    <row r="4167" spans="1:2" x14ac:dyDescent="0.25">
      <c r="A4167" s="307"/>
      <c r="B4167" s="307"/>
    </row>
    <row r="4168" spans="1:2" x14ac:dyDescent="0.25">
      <c r="A4168" s="307"/>
      <c r="B4168" s="307"/>
    </row>
    <row r="4169" spans="1:2" x14ac:dyDescent="0.25">
      <c r="A4169" s="307"/>
      <c r="B4169" s="307"/>
    </row>
    <row r="4170" spans="1:2" x14ac:dyDescent="0.25">
      <c r="A4170" s="307"/>
      <c r="B4170" s="307"/>
    </row>
    <row r="4171" spans="1:2" x14ac:dyDescent="0.25">
      <c r="A4171" s="307"/>
      <c r="B4171" s="307"/>
    </row>
    <row r="4172" spans="1:2" x14ac:dyDescent="0.25">
      <c r="A4172" s="307"/>
      <c r="B4172" s="307"/>
    </row>
    <row r="4173" spans="1:2" x14ac:dyDescent="0.25">
      <c r="A4173" s="307"/>
      <c r="B4173" s="307"/>
    </row>
    <row r="4174" spans="1:2" x14ac:dyDescent="0.25">
      <c r="A4174" s="307"/>
      <c r="B4174" s="307"/>
    </row>
    <row r="4175" spans="1:2" x14ac:dyDescent="0.25">
      <c r="A4175" s="307"/>
      <c r="B4175" s="307"/>
    </row>
    <row r="4176" spans="1:2" x14ac:dyDescent="0.25">
      <c r="A4176" s="307"/>
      <c r="B4176" s="307"/>
    </row>
    <row r="4177" spans="1:2" x14ac:dyDescent="0.25">
      <c r="A4177" s="307"/>
      <c r="B4177" s="307"/>
    </row>
    <row r="4178" spans="1:2" x14ac:dyDescent="0.25">
      <c r="A4178" s="307"/>
      <c r="B4178" s="307"/>
    </row>
    <row r="4179" spans="1:2" x14ac:dyDescent="0.25">
      <c r="A4179" s="307"/>
      <c r="B4179" s="307"/>
    </row>
    <row r="4180" spans="1:2" x14ac:dyDescent="0.25">
      <c r="A4180" s="307"/>
      <c r="B4180" s="307"/>
    </row>
    <row r="4181" spans="1:2" x14ac:dyDescent="0.25">
      <c r="A4181" s="307"/>
      <c r="B4181" s="307"/>
    </row>
    <row r="4182" spans="1:2" x14ac:dyDescent="0.25">
      <c r="A4182" s="307"/>
      <c r="B4182" s="307"/>
    </row>
    <row r="4183" spans="1:2" x14ac:dyDescent="0.25">
      <c r="A4183" s="307"/>
      <c r="B4183" s="307"/>
    </row>
    <row r="4184" spans="1:2" x14ac:dyDescent="0.25">
      <c r="A4184" s="307"/>
      <c r="B4184" s="307"/>
    </row>
    <row r="4185" spans="1:2" x14ac:dyDescent="0.25">
      <c r="A4185" s="307"/>
      <c r="B4185" s="307"/>
    </row>
    <row r="4186" spans="1:2" x14ac:dyDescent="0.25">
      <c r="A4186" s="307"/>
      <c r="B4186" s="307"/>
    </row>
    <row r="4187" spans="1:2" x14ac:dyDescent="0.25">
      <c r="A4187" s="307"/>
      <c r="B4187" s="307"/>
    </row>
    <row r="4188" spans="1:2" x14ac:dyDescent="0.25">
      <c r="A4188" s="307"/>
      <c r="B4188" s="307"/>
    </row>
    <row r="4189" spans="1:2" x14ac:dyDescent="0.25">
      <c r="A4189" s="307"/>
      <c r="B4189" s="307"/>
    </row>
    <row r="4190" spans="1:2" x14ac:dyDescent="0.25">
      <c r="A4190" s="307"/>
      <c r="B4190" s="307"/>
    </row>
    <row r="4191" spans="1:2" x14ac:dyDescent="0.25">
      <c r="A4191" s="307"/>
      <c r="B4191" s="307"/>
    </row>
    <row r="4192" spans="1:2" x14ac:dyDescent="0.25">
      <c r="A4192" s="307"/>
      <c r="B4192" s="307"/>
    </row>
    <row r="4193" spans="1:2" x14ac:dyDescent="0.25">
      <c r="A4193" s="307"/>
      <c r="B4193" s="307"/>
    </row>
    <row r="4194" spans="1:2" x14ac:dyDescent="0.25">
      <c r="A4194" s="307"/>
      <c r="B4194" s="307"/>
    </row>
    <row r="4195" spans="1:2" x14ac:dyDescent="0.25">
      <c r="A4195" s="307"/>
      <c r="B4195" s="307"/>
    </row>
    <row r="4196" spans="1:2" x14ac:dyDescent="0.25">
      <c r="A4196" s="307"/>
      <c r="B4196" s="307"/>
    </row>
    <row r="4197" spans="1:2" x14ac:dyDescent="0.25">
      <c r="A4197" s="307"/>
      <c r="B4197" s="307"/>
    </row>
    <row r="4198" spans="1:2" x14ac:dyDescent="0.25">
      <c r="A4198" s="307"/>
      <c r="B4198" s="307"/>
    </row>
    <row r="4199" spans="1:2" x14ac:dyDescent="0.25">
      <c r="A4199" s="307"/>
      <c r="B4199" s="307"/>
    </row>
    <row r="4200" spans="1:2" x14ac:dyDescent="0.25">
      <c r="A4200" s="307"/>
      <c r="B4200" s="307"/>
    </row>
    <row r="4201" spans="1:2" x14ac:dyDescent="0.25">
      <c r="A4201" s="307"/>
      <c r="B4201" s="307"/>
    </row>
    <row r="4202" spans="1:2" x14ac:dyDescent="0.25">
      <c r="A4202" s="307"/>
      <c r="B4202" s="307"/>
    </row>
    <row r="4203" spans="1:2" x14ac:dyDescent="0.25">
      <c r="A4203" s="307"/>
      <c r="B4203" s="307"/>
    </row>
    <row r="4204" spans="1:2" x14ac:dyDescent="0.25">
      <c r="A4204" s="307"/>
      <c r="B4204" s="307"/>
    </row>
    <row r="4205" spans="1:2" x14ac:dyDescent="0.25">
      <c r="A4205" s="307"/>
      <c r="B4205" s="307"/>
    </row>
    <row r="4206" spans="1:2" x14ac:dyDescent="0.25">
      <c r="A4206" s="307"/>
      <c r="B4206" s="307"/>
    </row>
    <row r="4207" spans="1:2" x14ac:dyDescent="0.25">
      <c r="A4207" s="307"/>
      <c r="B4207" s="307"/>
    </row>
    <row r="4208" spans="1:2" x14ac:dyDescent="0.25">
      <c r="A4208" s="307"/>
      <c r="B4208" s="307"/>
    </row>
    <row r="4209" spans="1:2" x14ac:dyDescent="0.25">
      <c r="A4209" s="307"/>
      <c r="B4209" s="307"/>
    </row>
    <row r="4210" spans="1:2" x14ac:dyDescent="0.25">
      <c r="A4210" s="307"/>
      <c r="B4210" s="307"/>
    </row>
    <row r="4211" spans="1:2" x14ac:dyDescent="0.25">
      <c r="A4211" s="307"/>
      <c r="B4211" s="307"/>
    </row>
    <row r="4212" spans="1:2" x14ac:dyDescent="0.25">
      <c r="A4212" s="307"/>
      <c r="B4212" s="307"/>
    </row>
    <row r="4213" spans="1:2" x14ac:dyDescent="0.25">
      <c r="A4213" s="307"/>
      <c r="B4213" s="307"/>
    </row>
    <row r="4214" spans="1:2" x14ac:dyDescent="0.25">
      <c r="A4214" s="307"/>
      <c r="B4214" s="307"/>
    </row>
    <row r="4215" spans="1:2" x14ac:dyDescent="0.25">
      <c r="A4215" s="307"/>
      <c r="B4215" s="307"/>
    </row>
    <row r="4216" spans="1:2" x14ac:dyDescent="0.25">
      <c r="A4216" s="307"/>
      <c r="B4216" s="307"/>
    </row>
    <row r="4217" spans="1:2" x14ac:dyDescent="0.25">
      <c r="A4217" s="307"/>
      <c r="B4217" s="307"/>
    </row>
    <row r="4218" spans="1:2" x14ac:dyDescent="0.25">
      <c r="A4218" s="307"/>
      <c r="B4218" s="307"/>
    </row>
    <row r="4219" spans="1:2" x14ac:dyDescent="0.25">
      <c r="A4219" s="307"/>
      <c r="B4219" s="307"/>
    </row>
    <row r="4220" spans="1:2" x14ac:dyDescent="0.25">
      <c r="A4220" s="307"/>
      <c r="B4220" s="307"/>
    </row>
    <row r="4221" spans="1:2" x14ac:dyDescent="0.25">
      <c r="A4221" s="307"/>
      <c r="B4221" s="307"/>
    </row>
    <row r="4222" spans="1:2" x14ac:dyDescent="0.25">
      <c r="A4222" s="307"/>
      <c r="B4222" s="307"/>
    </row>
    <row r="4223" spans="1:2" x14ac:dyDescent="0.25">
      <c r="A4223" s="307"/>
      <c r="B4223" s="307"/>
    </row>
    <row r="4224" spans="1:2" x14ac:dyDescent="0.25">
      <c r="A4224" s="307"/>
      <c r="B4224" s="307"/>
    </row>
    <row r="4225" spans="1:2" x14ac:dyDescent="0.25">
      <c r="A4225" s="307"/>
      <c r="B4225" s="307"/>
    </row>
    <row r="4226" spans="1:2" x14ac:dyDescent="0.25">
      <c r="A4226" s="307"/>
      <c r="B4226" s="307"/>
    </row>
    <row r="4227" spans="1:2" x14ac:dyDescent="0.25">
      <c r="A4227" s="307"/>
      <c r="B4227" s="307"/>
    </row>
    <row r="4228" spans="1:2" x14ac:dyDescent="0.25">
      <c r="A4228" s="307"/>
      <c r="B4228" s="307"/>
    </row>
    <row r="4229" spans="1:2" x14ac:dyDescent="0.25">
      <c r="A4229" s="307"/>
      <c r="B4229" s="307"/>
    </row>
    <row r="4230" spans="1:2" x14ac:dyDescent="0.25">
      <c r="A4230" s="307"/>
      <c r="B4230" s="307"/>
    </row>
    <row r="4231" spans="1:2" x14ac:dyDescent="0.25">
      <c r="A4231" s="307"/>
      <c r="B4231" s="307"/>
    </row>
    <row r="4232" spans="1:2" x14ac:dyDescent="0.25">
      <c r="A4232" s="307"/>
      <c r="B4232" s="307"/>
    </row>
    <row r="4233" spans="1:2" x14ac:dyDescent="0.25">
      <c r="A4233" s="307"/>
      <c r="B4233" s="307"/>
    </row>
    <row r="4234" spans="1:2" x14ac:dyDescent="0.25">
      <c r="A4234" s="307"/>
      <c r="B4234" s="307"/>
    </row>
    <row r="4235" spans="1:2" x14ac:dyDescent="0.25">
      <c r="A4235" s="307"/>
      <c r="B4235" s="307"/>
    </row>
    <row r="4236" spans="1:2" x14ac:dyDescent="0.25">
      <c r="A4236" s="307"/>
      <c r="B4236" s="307"/>
    </row>
    <row r="4237" spans="1:2" x14ac:dyDescent="0.25">
      <c r="A4237" s="307"/>
      <c r="B4237" s="307"/>
    </row>
    <row r="4238" spans="1:2" x14ac:dyDescent="0.25">
      <c r="A4238" s="307"/>
      <c r="B4238" s="307"/>
    </row>
    <row r="4239" spans="1:2" x14ac:dyDescent="0.25">
      <c r="A4239" s="307"/>
      <c r="B4239" s="307"/>
    </row>
    <row r="4240" spans="1:2" x14ac:dyDescent="0.25">
      <c r="A4240" s="307"/>
      <c r="B4240" s="307"/>
    </row>
    <row r="4241" spans="1:2" x14ac:dyDescent="0.25">
      <c r="A4241" s="307"/>
      <c r="B4241" s="307"/>
    </row>
    <row r="4242" spans="1:2" x14ac:dyDescent="0.25">
      <c r="A4242" s="307"/>
      <c r="B4242" s="307"/>
    </row>
    <row r="4243" spans="1:2" x14ac:dyDescent="0.25">
      <c r="A4243" s="307"/>
      <c r="B4243" s="307"/>
    </row>
    <row r="4244" spans="1:2" x14ac:dyDescent="0.25">
      <c r="A4244" s="307"/>
      <c r="B4244" s="307"/>
    </row>
    <row r="4245" spans="1:2" x14ac:dyDescent="0.25">
      <c r="A4245" s="307"/>
      <c r="B4245" s="307"/>
    </row>
    <row r="4246" spans="1:2" x14ac:dyDescent="0.25">
      <c r="A4246" s="307"/>
      <c r="B4246" s="307"/>
    </row>
    <row r="4247" spans="1:2" x14ac:dyDescent="0.25">
      <c r="A4247" s="307"/>
      <c r="B4247" s="307"/>
    </row>
    <row r="4248" spans="1:2" x14ac:dyDescent="0.25">
      <c r="A4248" s="307"/>
      <c r="B4248" s="307"/>
    </row>
    <row r="4249" spans="1:2" x14ac:dyDescent="0.25">
      <c r="A4249" s="307"/>
      <c r="B4249" s="307"/>
    </row>
    <row r="4250" spans="1:2" x14ac:dyDescent="0.25">
      <c r="A4250" s="307"/>
      <c r="B4250" s="307"/>
    </row>
    <row r="4251" spans="1:2" x14ac:dyDescent="0.25">
      <c r="A4251" s="307"/>
      <c r="B4251" s="307"/>
    </row>
    <row r="4252" spans="1:2" x14ac:dyDescent="0.25">
      <c r="A4252" s="307"/>
      <c r="B4252" s="307"/>
    </row>
    <row r="4253" spans="1:2" x14ac:dyDescent="0.25">
      <c r="A4253" s="307"/>
      <c r="B4253" s="307"/>
    </row>
    <row r="4254" spans="1:2" x14ac:dyDescent="0.25">
      <c r="A4254" s="307"/>
      <c r="B4254" s="307"/>
    </row>
    <row r="4255" spans="1:2" x14ac:dyDescent="0.25">
      <c r="A4255" s="307"/>
      <c r="B4255" s="307"/>
    </row>
    <row r="4256" spans="1:2" x14ac:dyDescent="0.25">
      <c r="A4256" s="307"/>
      <c r="B4256" s="307"/>
    </row>
    <row r="4257" spans="1:2" x14ac:dyDescent="0.25">
      <c r="A4257" s="307"/>
      <c r="B4257" s="307"/>
    </row>
    <row r="4258" spans="1:2" x14ac:dyDescent="0.25">
      <c r="A4258" s="307"/>
      <c r="B4258" s="307"/>
    </row>
    <row r="4259" spans="1:2" x14ac:dyDescent="0.25">
      <c r="A4259" s="307"/>
      <c r="B4259" s="307"/>
    </row>
    <row r="4260" spans="1:2" x14ac:dyDescent="0.25">
      <c r="A4260" s="307"/>
      <c r="B4260" s="307"/>
    </row>
    <row r="4261" spans="1:2" x14ac:dyDescent="0.25">
      <c r="A4261" s="307"/>
      <c r="B4261" s="307"/>
    </row>
    <row r="4262" spans="1:2" x14ac:dyDescent="0.25">
      <c r="A4262" s="307"/>
      <c r="B4262" s="307"/>
    </row>
    <row r="4263" spans="1:2" x14ac:dyDescent="0.25">
      <c r="A4263" s="307"/>
      <c r="B4263" s="307"/>
    </row>
    <row r="4264" spans="1:2" x14ac:dyDescent="0.25">
      <c r="A4264" s="307"/>
      <c r="B4264" s="307"/>
    </row>
    <row r="4265" spans="1:2" x14ac:dyDescent="0.25">
      <c r="A4265" s="307"/>
      <c r="B4265" s="307"/>
    </row>
    <row r="4266" spans="1:2" x14ac:dyDescent="0.25">
      <c r="A4266" s="307"/>
      <c r="B4266" s="307"/>
    </row>
    <row r="4267" spans="1:2" x14ac:dyDescent="0.25">
      <c r="A4267" s="307"/>
      <c r="B4267" s="307"/>
    </row>
    <row r="4268" spans="1:2" x14ac:dyDescent="0.25">
      <c r="A4268" s="307"/>
      <c r="B4268" s="307"/>
    </row>
    <row r="4269" spans="1:2" x14ac:dyDescent="0.25">
      <c r="A4269" s="307"/>
      <c r="B4269" s="307"/>
    </row>
    <row r="4270" spans="1:2" x14ac:dyDescent="0.25">
      <c r="A4270" s="307"/>
      <c r="B4270" s="307"/>
    </row>
    <row r="4271" spans="1:2" x14ac:dyDescent="0.25">
      <c r="A4271" s="307"/>
      <c r="B4271" s="307"/>
    </row>
    <row r="4272" spans="1:2" x14ac:dyDescent="0.25">
      <c r="A4272" s="307"/>
      <c r="B4272" s="307"/>
    </row>
    <row r="4273" spans="1:2" x14ac:dyDescent="0.25">
      <c r="A4273" s="307"/>
      <c r="B4273" s="307"/>
    </row>
    <row r="4274" spans="1:2" x14ac:dyDescent="0.25">
      <c r="A4274" s="307"/>
      <c r="B4274" s="307"/>
    </row>
    <row r="4275" spans="1:2" x14ac:dyDescent="0.25">
      <c r="A4275" s="307"/>
      <c r="B4275" s="307"/>
    </row>
    <row r="4276" spans="1:2" x14ac:dyDescent="0.25">
      <c r="A4276" s="307"/>
      <c r="B4276" s="307"/>
    </row>
    <row r="4277" spans="1:2" x14ac:dyDescent="0.25">
      <c r="A4277" s="307"/>
      <c r="B4277" s="307"/>
    </row>
    <row r="4278" spans="1:2" x14ac:dyDescent="0.25">
      <c r="A4278" s="307"/>
      <c r="B4278" s="307"/>
    </row>
    <row r="4279" spans="1:2" x14ac:dyDescent="0.25">
      <c r="A4279" s="307"/>
      <c r="B4279" s="307"/>
    </row>
    <row r="4280" spans="1:2" x14ac:dyDescent="0.25">
      <c r="A4280" s="307"/>
      <c r="B4280" s="307"/>
    </row>
    <row r="4281" spans="1:2" x14ac:dyDescent="0.25">
      <c r="A4281" s="307"/>
      <c r="B4281" s="307"/>
    </row>
    <row r="4282" spans="1:2" x14ac:dyDescent="0.25">
      <c r="A4282" s="307"/>
      <c r="B4282" s="307"/>
    </row>
    <row r="4283" spans="1:2" x14ac:dyDescent="0.25">
      <c r="A4283" s="307"/>
      <c r="B4283" s="307"/>
    </row>
    <row r="4284" spans="1:2" x14ac:dyDescent="0.25">
      <c r="A4284" s="307"/>
      <c r="B4284" s="307"/>
    </row>
    <row r="4285" spans="1:2" x14ac:dyDescent="0.25">
      <c r="A4285" s="307"/>
      <c r="B4285" s="307"/>
    </row>
    <row r="4286" spans="1:2" x14ac:dyDescent="0.25">
      <c r="A4286" s="307"/>
      <c r="B4286" s="307"/>
    </row>
    <row r="4287" spans="1:2" x14ac:dyDescent="0.25">
      <c r="A4287" s="307"/>
      <c r="B4287" s="307"/>
    </row>
    <row r="4288" spans="1:2" x14ac:dyDescent="0.25">
      <c r="A4288" s="307"/>
      <c r="B4288" s="307"/>
    </row>
    <row r="4289" spans="1:2" x14ac:dyDescent="0.25">
      <c r="A4289" s="307"/>
      <c r="B4289" s="307"/>
    </row>
    <row r="4290" spans="1:2" x14ac:dyDescent="0.25">
      <c r="A4290" s="307"/>
      <c r="B4290" s="307"/>
    </row>
    <row r="4291" spans="1:2" x14ac:dyDescent="0.25">
      <c r="A4291" s="307"/>
      <c r="B4291" s="307"/>
    </row>
    <row r="4292" spans="1:2" x14ac:dyDescent="0.25">
      <c r="A4292" s="307"/>
      <c r="B4292" s="307"/>
    </row>
    <row r="4293" spans="1:2" x14ac:dyDescent="0.25">
      <c r="A4293" s="307"/>
      <c r="B4293" s="307"/>
    </row>
    <row r="4294" spans="1:2" x14ac:dyDescent="0.25">
      <c r="A4294" s="307"/>
      <c r="B4294" s="307"/>
    </row>
    <row r="4295" spans="1:2" x14ac:dyDescent="0.25">
      <c r="A4295" s="307"/>
      <c r="B4295" s="307"/>
    </row>
    <row r="4296" spans="1:2" x14ac:dyDescent="0.25">
      <c r="A4296" s="307"/>
      <c r="B4296" s="307"/>
    </row>
    <row r="4297" spans="1:2" x14ac:dyDescent="0.25">
      <c r="A4297" s="307"/>
      <c r="B4297" s="307"/>
    </row>
    <row r="4298" spans="1:2" x14ac:dyDescent="0.25">
      <c r="A4298" s="307"/>
      <c r="B4298" s="307"/>
    </row>
    <row r="4299" spans="1:2" x14ac:dyDescent="0.25">
      <c r="A4299" s="307"/>
      <c r="B4299" s="307"/>
    </row>
    <row r="4300" spans="1:2" x14ac:dyDescent="0.25">
      <c r="A4300" s="307"/>
      <c r="B4300" s="307"/>
    </row>
    <row r="4301" spans="1:2" x14ac:dyDescent="0.25">
      <c r="A4301" s="307"/>
      <c r="B4301" s="307"/>
    </row>
    <row r="4302" spans="1:2" x14ac:dyDescent="0.25">
      <c r="A4302" s="307"/>
      <c r="B4302" s="307"/>
    </row>
    <row r="4303" spans="1:2" x14ac:dyDescent="0.25">
      <c r="A4303" s="307"/>
      <c r="B4303" s="307"/>
    </row>
    <row r="4304" spans="1:2" x14ac:dyDescent="0.25">
      <c r="A4304" s="307"/>
      <c r="B4304" s="307"/>
    </row>
    <row r="4305" spans="1:2" x14ac:dyDescent="0.25">
      <c r="A4305" s="307"/>
      <c r="B4305" s="307"/>
    </row>
    <row r="4306" spans="1:2" x14ac:dyDescent="0.25">
      <c r="A4306" s="307"/>
      <c r="B4306" s="307"/>
    </row>
    <row r="4307" spans="1:2" x14ac:dyDescent="0.25">
      <c r="A4307" s="307"/>
      <c r="B4307" s="307"/>
    </row>
    <row r="4308" spans="1:2" x14ac:dyDescent="0.25">
      <c r="A4308" s="307"/>
      <c r="B4308" s="307"/>
    </row>
    <row r="4309" spans="1:2" x14ac:dyDescent="0.25">
      <c r="A4309" s="307"/>
      <c r="B4309" s="307"/>
    </row>
    <row r="4310" spans="1:2" x14ac:dyDescent="0.25">
      <c r="A4310" s="307"/>
      <c r="B4310" s="307"/>
    </row>
    <row r="4311" spans="1:2" x14ac:dyDescent="0.25">
      <c r="A4311" s="307"/>
      <c r="B4311" s="307"/>
    </row>
    <row r="4312" spans="1:2" x14ac:dyDescent="0.25">
      <c r="A4312" s="307"/>
      <c r="B4312" s="307"/>
    </row>
    <row r="4313" spans="1:2" x14ac:dyDescent="0.25">
      <c r="A4313" s="307"/>
      <c r="B4313" s="307"/>
    </row>
    <row r="4314" spans="1:2" x14ac:dyDescent="0.25">
      <c r="A4314" s="307"/>
      <c r="B4314" s="307"/>
    </row>
    <row r="4315" spans="1:2" x14ac:dyDescent="0.25">
      <c r="A4315" s="307"/>
      <c r="B4315" s="307"/>
    </row>
    <row r="4316" spans="1:2" x14ac:dyDescent="0.25">
      <c r="A4316" s="307"/>
      <c r="B4316" s="307"/>
    </row>
    <row r="4317" spans="1:2" x14ac:dyDescent="0.25">
      <c r="A4317" s="307"/>
      <c r="B4317" s="307"/>
    </row>
    <row r="4318" spans="1:2" x14ac:dyDescent="0.25">
      <c r="A4318" s="307"/>
      <c r="B4318" s="307"/>
    </row>
    <row r="4319" spans="1:2" x14ac:dyDescent="0.25">
      <c r="A4319" s="307"/>
      <c r="B4319" s="307"/>
    </row>
    <row r="4320" spans="1:2" x14ac:dyDescent="0.25">
      <c r="A4320" s="307"/>
      <c r="B4320" s="307"/>
    </row>
    <row r="4321" spans="1:2" x14ac:dyDescent="0.25">
      <c r="A4321" s="307"/>
      <c r="B4321" s="307"/>
    </row>
    <row r="4322" spans="1:2" x14ac:dyDescent="0.25">
      <c r="A4322" s="307"/>
      <c r="B4322" s="307"/>
    </row>
    <row r="4323" spans="1:2" x14ac:dyDescent="0.25">
      <c r="A4323" s="307"/>
      <c r="B4323" s="307"/>
    </row>
    <row r="4324" spans="1:2" x14ac:dyDescent="0.25">
      <c r="A4324" s="307"/>
      <c r="B4324" s="307"/>
    </row>
    <row r="4325" spans="1:2" x14ac:dyDescent="0.25">
      <c r="A4325" s="307"/>
      <c r="B4325" s="307"/>
    </row>
    <row r="4326" spans="1:2" x14ac:dyDescent="0.25">
      <c r="A4326" s="307"/>
      <c r="B4326" s="307"/>
    </row>
    <row r="4327" spans="1:2" x14ac:dyDescent="0.25">
      <c r="A4327" s="307"/>
      <c r="B4327" s="307"/>
    </row>
    <row r="4328" spans="1:2" x14ac:dyDescent="0.25">
      <c r="A4328" s="307"/>
      <c r="B4328" s="307"/>
    </row>
    <row r="4329" spans="1:2" x14ac:dyDescent="0.25">
      <c r="A4329" s="307"/>
      <c r="B4329" s="307"/>
    </row>
    <row r="4330" spans="1:2" x14ac:dyDescent="0.25">
      <c r="A4330" s="307"/>
      <c r="B4330" s="307"/>
    </row>
    <row r="4331" spans="1:2" x14ac:dyDescent="0.25">
      <c r="A4331" s="307"/>
      <c r="B4331" s="307"/>
    </row>
    <row r="4332" spans="1:2" x14ac:dyDescent="0.25">
      <c r="A4332" s="307"/>
      <c r="B4332" s="307"/>
    </row>
    <row r="4333" spans="1:2" x14ac:dyDescent="0.25">
      <c r="A4333" s="307"/>
      <c r="B4333" s="307"/>
    </row>
    <row r="4334" spans="1:2" x14ac:dyDescent="0.25">
      <c r="A4334" s="307"/>
      <c r="B4334" s="307"/>
    </row>
    <row r="4335" spans="1:2" x14ac:dyDescent="0.25">
      <c r="A4335" s="307"/>
      <c r="B4335" s="307"/>
    </row>
    <row r="4336" spans="1:2" x14ac:dyDescent="0.25">
      <c r="A4336" s="307"/>
      <c r="B4336" s="307"/>
    </row>
    <row r="4337" spans="1:2" x14ac:dyDescent="0.25">
      <c r="A4337" s="307"/>
      <c r="B4337" s="307"/>
    </row>
    <row r="4338" spans="1:2" x14ac:dyDescent="0.25">
      <c r="A4338" s="307"/>
      <c r="B4338" s="307"/>
    </row>
    <row r="4339" spans="1:2" x14ac:dyDescent="0.25">
      <c r="A4339" s="307"/>
      <c r="B4339" s="307"/>
    </row>
    <row r="4340" spans="1:2" x14ac:dyDescent="0.25">
      <c r="A4340" s="307"/>
      <c r="B4340" s="307"/>
    </row>
    <row r="4341" spans="1:2" x14ac:dyDescent="0.25">
      <c r="A4341" s="307"/>
      <c r="B4341" s="307"/>
    </row>
    <row r="4342" spans="1:2" x14ac:dyDescent="0.25">
      <c r="A4342" s="307"/>
      <c r="B4342" s="307"/>
    </row>
    <row r="4343" spans="1:2" x14ac:dyDescent="0.25">
      <c r="A4343" s="307"/>
      <c r="B4343" s="307"/>
    </row>
    <row r="4344" spans="1:2" x14ac:dyDescent="0.25">
      <c r="A4344" s="307"/>
      <c r="B4344" s="307"/>
    </row>
    <row r="4345" spans="1:2" x14ac:dyDescent="0.25">
      <c r="A4345" s="307"/>
      <c r="B4345" s="307"/>
    </row>
    <row r="4346" spans="1:2" x14ac:dyDescent="0.25">
      <c r="A4346" s="307"/>
      <c r="B4346" s="307"/>
    </row>
    <row r="4347" spans="1:2" x14ac:dyDescent="0.25">
      <c r="A4347" s="307"/>
      <c r="B4347" s="307"/>
    </row>
    <row r="4348" spans="1:2" x14ac:dyDescent="0.25">
      <c r="A4348" s="307"/>
      <c r="B4348" s="307"/>
    </row>
    <row r="4349" spans="1:2" x14ac:dyDescent="0.25">
      <c r="A4349" s="307"/>
      <c r="B4349" s="307"/>
    </row>
    <row r="4350" spans="1:2" x14ac:dyDescent="0.25">
      <c r="A4350" s="307"/>
      <c r="B4350" s="307"/>
    </row>
    <row r="4351" spans="1:2" x14ac:dyDescent="0.25">
      <c r="A4351" s="307"/>
      <c r="B4351" s="307"/>
    </row>
    <row r="4352" spans="1:2" x14ac:dyDescent="0.25">
      <c r="A4352" s="307"/>
      <c r="B4352" s="307"/>
    </row>
    <row r="4353" spans="1:2" x14ac:dyDescent="0.25">
      <c r="A4353" s="307"/>
      <c r="B4353" s="307"/>
    </row>
    <row r="4354" spans="1:2" x14ac:dyDescent="0.25">
      <c r="A4354" s="307"/>
      <c r="B4354" s="307"/>
    </row>
    <row r="4355" spans="1:2" x14ac:dyDescent="0.25">
      <c r="A4355" s="307"/>
      <c r="B4355" s="307"/>
    </row>
    <row r="4356" spans="1:2" x14ac:dyDescent="0.25">
      <c r="A4356" s="307"/>
      <c r="B4356" s="307"/>
    </row>
    <row r="4357" spans="1:2" x14ac:dyDescent="0.25">
      <c r="A4357" s="307"/>
      <c r="B4357" s="307"/>
    </row>
    <row r="4358" spans="1:2" x14ac:dyDescent="0.25">
      <c r="A4358" s="307"/>
      <c r="B4358" s="307"/>
    </row>
    <row r="4359" spans="1:2" x14ac:dyDescent="0.25">
      <c r="A4359" s="307"/>
      <c r="B4359" s="307"/>
    </row>
    <row r="4360" spans="1:2" x14ac:dyDescent="0.25">
      <c r="A4360" s="307"/>
      <c r="B4360" s="307"/>
    </row>
    <row r="4361" spans="1:2" x14ac:dyDescent="0.25">
      <c r="A4361" s="307"/>
      <c r="B4361" s="307"/>
    </row>
    <row r="4362" spans="1:2" x14ac:dyDescent="0.25">
      <c r="A4362" s="307"/>
      <c r="B4362" s="307"/>
    </row>
    <row r="4363" spans="1:2" x14ac:dyDescent="0.25">
      <c r="A4363" s="307"/>
      <c r="B4363" s="307"/>
    </row>
    <row r="4364" spans="1:2" x14ac:dyDescent="0.25">
      <c r="A4364" s="307"/>
      <c r="B4364" s="307"/>
    </row>
    <row r="4365" spans="1:2" x14ac:dyDescent="0.25">
      <c r="A4365" s="307"/>
      <c r="B4365" s="307"/>
    </row>
    <row r="4366" spans="1:2" x14ac:dyDescent="0.25">
      <c r="A4366" s="307"/>
      <c r="B4366" s="307"/>
    </row>
    <row r="4367" spans="1:2" x14ac:dyDescent="0.25">
      <c r="A4367" s="307"/>
      <c r="B4367" s="307"/>
    </row>
    <row r="4368" spans="1:2" x14ac:dyDescent="0.25">
      <c r="A4368" s="307"/>
      <c r="B4368" s="307"/>
    </row>
    <row r="4369" spans="1:2" x14ac:dyDescent="0.25">
      <c r="A4369" s="307"/>
      <c r="B4369" s="307"/>
    </row>
    <row r="4370" spans="1:2" x14ac:dyDescent="0.25">
      <c r="A4370" s="307"/>
      <c r="B4370" s="307"/>
    </row>
    <row r="4371" spans="1:2" x14ac:dyDescent="0.25">
      <c r="A4371" s="307"/>
      <c r="B4371" s="307"/>
    </row>
    <row r="4372" spans="1:2" x14ac:dyDescent="0.25">
      <c r="A4372" s="307"/>
      <c r="B4372" s="307"/>
    </row>
    <row r="4373" spans="1:2" x14ac:dyDescent="0.25">
      <c r="A4373" s="307"/>
      <c r="B4373" s="307"/>
    </row>
    <row r="4374" spans="1:2" x14ac:dyDescent="0.25">
      <c r="A4374" s="307"/>
      <c r="B4374" s="307"/>
    </row>
    <row r="4375" spans="1:2" x14ac:dyDescent="0.25">
      <c r="A4375" s="307"/>
      <c r="B4375" s="307"/>
    </row>
    <row r="4376" spans="1:2" x14ac:dyDescent="0.25">
      <c r="A4376" s="307"/>
      <c r="B4376" s="307"/>
    </row>
    <row r="4377" spans="1:2" x14ac:dyDescent="0.25">
      <c r="A4377" s="307"/>
      <c r="B4377" s="307"/>
    </row>
    <row r="4378" spans="1:2" x14ac:dyDescent="0.25">
      <c r="A4378" s="307"/>
      <c r="B4378" s="307"/>
    </row>
    <row r="4379" spans="1:2" x14ac:dyDescent="0.25">
      <c r="A4379" s="307"/>
      <c r="B4379" s="307"/>
    </row>
    <row r="4380" spans="1:2" x14ac:dyDescent="0.25">
      <c r="A4380" s="307"/>
      <c r="B4380" s="307"/>
    </row>
    <row r="4381" spans="1:2" x14ac:dyDescent="0.25">
      <c r="A4381" s="307"/>
      <c r="B4381" s="307"/>
    </row>
    <row r="4382" spans="1:2" x14ac:dyDescent="0.25">
      <c r="A4382" s="307"/>
      <c r="B4382" s="307"/>
    </row>
    <row r="4383" spans="1:2" x14ac:dyDescent="0.25">
      <c r="A4383" s="307"/>
      <c r="B4383" s="307"/>
    </row>
    <row r="4384" spans="1:2" x14ac:dyDescent="0.25">
      <c r="A4384" s="307"/>
      <c r="B4384" s="307"/>
    </row>
    <row r="4385" spans="1:2" x14ac:dyDescent="0.25">
      <c r="A4385" s="307"/>
      <c r="B4385" s="307"/>
    </row>
    <row r="4386" spans="1:2" x14ac:dyDescent="0.25">
      <c r="A4386" s="307"/>
      <c r="B4386" s="307"/>
    </row>
    <row r="4387" spans="1:2" x14ac:dyDescent="0.25">
      <c r="A4387" s="307"/>
      <c r="B4387" s="307"/>
    </row>
    <row r="4388" spans="1:2" x14ac:dyDescent="0.25">
      <c r="A4388" s="307"/>
      <c r="B4388" s="307"/>
    </row>
    <row r="4389" spans="1:2" x14ac:dyDescent="0.25">
      <c r="A4389" s="307"/>
      <c r="B4389" s="307"/>
    </row>
    <row r="4390" spans="1:2" x14ac:dyDescent="0.25">
      <c r="A4390" s="307"/>
      <c r="B4390" s="307"/>
    </row>
    <row r="4391" spans="1:2" x14ac:dyDescent="0.25">
      <c r="A4391" s="307"/>
      <c r="B4391" s="307"/>
    </row>
    <row r="4392" spans="1:2" x14ac:dyDescent="0.25">
      <c r="A4392" s="307"/>
      <c r="B4392" s="307"/>
    </row>
    <row r="4393" spans="1:2" x14ac:dyDescent="0.25">
      <c r="A4393" s="307"/>
      <c r="B4393" s="307"/>
    </row>
    <row r="4394" spans="1:2" x14ac:dyDescent="0.25">
      <c r="A4394" s="307"/>
      <c r="B4394" s="307"/>
    </row>
    <row r="4395" spans="1:2" x14ac:dyDescent="0.25">
      <c r="A4395" s="307"/>
      <c r="B4395" s="307"/>
    </row>
    <row r="4396" spans="1:2" x14ac:dyDescent="0.25">
      <c r="A4396" s="307"/>
      <c r="B4396" s="307"/>
    </row>
    <row r="4397" spans="1:2" x14ac:dyDescent="0.25">
      <c r="A4397" s="307"/>
      <c r="B4397" s="307"/>
    </row>
    <row r="4398" spans="1:2" x14ac:dyDescent="0.25">
      <c r="A4398" s="307"/>
      <c r="B4398" s="307"/>
    </row>
    <row r="4399" spans="1:2" x14ac:dyDescent="0.25">
      <c r="A4399" s="307"/>
      <c r="B4399" s="307"/>
    </row>
    <row r="4400" spans="1:2" x14ac:dyDescent="0.25">
      <c r="A4400" s="307"/>
      <c r="B4400" s="307"/>
    </row>
    <row r="4401" spans="1:2" x14ac:dyDescent="0.25">
      <c r="A4401" s="307"/>
      <c r="B4401" s="307"/>
    </row>
    <row r="4402" spans="1:2" x14ac:dyDescent="0.25">
      <c r="A4402" s="307"/>
      <c r="B4402" s="307"/>
    </row>
    <row r="4403" spans="1:2" x14ac:dyDescent="0.25">
      <c r="A4403" s="307"/>
      <c r="B4403" s="307"/>
    </row>
    <row r="4404" spans="1:2" x14ac:dyDescent="0.25">
      <c r="A4404" s="307"/>
      <c r="B4404" s="307"/>
    </row>
    <row r="4405" spans="1:2" x14ac:dyDescent="0.25">
      <c r="A4405" s="307"/>
      <c r="B4405" s="307"/>
    </row>
    <row r="4406" spans="1:2" x14ac:dyDescent="0.25">
      <c r="A4406" s="307"/>
      <c r="B4406" s="307"/>
    </row>
    <row r="4407" spans="1:2" x14ac:dyDescent="0.25">
      <c r="A4407" s="307"/>
      <c r="B4407" s="307"/>
    </row>
    <row r="4408" spans="1:2" x14ac:dyDescent="0.25">
      <c r="A4408" s="307"/>
      <c r="B4408" s="307"/>
    </row>
    <row r="4409" spans="1:2" x14ac:dyDescent="0.25">
      <c r="A4409" s="307"/>
      <c r="B4409" s="307"/>
    </row>
    <row r="4410" spans="1:2" x14ac:dyDescent="0.25">
      <c r="A4410" s="307"/>
      <c r="B4410" s="307"/>
    </row>
    <row r="4411" spans="1:2" x14ac:dyDescent="0.25">
      <c r="A4411" s="307"/>
      <c r="B4411" s="307"/>
    </row>
    <row r="4412" spans="1:2" x14ac:dyDescent="0.25">
      <c r="A4412" s="307"/>
      <c r="B4412" s="307"/>
    </row>
    <row r="4413" spans="1:2" x14ac:dyDescent="0.25">
      <c r="A4413" s="307"/>
      <c r="B4413" s="307"/>
    </row>
    <row r="4414" spans="1:2" x14ac:dyDescent="0.25">
      <c r="A4414" s="307"/>
      <c r="B4414" s="307"/>
    </row>
    <row r="4415" spans="1:2" x14ac:dyDescent="0.25">
      <c r="A4415" s="307"/>
      <c r="B4415" s="307"/>
    </row>
    <row r="4416" spans="1:2" x14ac:dyDescent="0.25">
      <c r="A4416" s="307"/>
      <c r="B4416" s="307"/>
    </row>
    <row r="4417" spans="1:2" x14ac:dyDescent="0.25">
      <c r="A4417" s="307"/>
      <c r="B4417" s="307"/>
    </row>
    <row r="4418" spans="1:2" x14ac:dyDescent="0.25">
      <c r="A4418" s="307"/>
      <c r="B4418" s="307"/>
    </row>
    <row r="4419" spans="1:2" x14ac:dyDescent="0.25">
      <c r="A4419" s="307"/>
      <c r="B4419" s="307"/>
    </row>
    <row r="4420" spans="1:2" x14ac:dyDescent="0.25">
      <c r="A4420" s="307"/>
      <c r="B4420" s="307"/>
    </row>
    <row r="4421" spans="1:2" x14ac:dyDescent="0.25">
      <c r="A4421" s="307"/>
      <c r="B4421" s="307"/>
    </row>
    <row r="4422" spans="1:2" x14ac:dyDescent="0.25">
      <c r="A4422" s="307"/>
      <c r="B4422" s="307"/>
    </row>
    <row r="4423" spans="1:2" x14ac:dyDescent="0.25">
      <c r="A4423" s="307"/>
      <c r="B4423" s="307"/>
    </row>
    <row r="4424" spans="1:2" x14ac:dyDescent="0.25">
      <c r="A4424" s="307"/>
      <c r="B4424" s="307"/>
    </row>
    <row r="4425" spans="1:2" x14ac:dyDescent="0.25">
      <c r="A4425" s="307"/>
      <c r="B4425" s="307"/>
    </row>
    <row r="4426" spans="1:2" x14ac:dyDescent="0.25">
      <c r="A4426" s="307"/>
      <c r="B4426" s="307"/>
    </row>
    <row r="4427" spans="1:2" x14ac:dyDescent="0.25">
      <c r="A4427" s="307"/>
      <c r="B4427" s="307"/>
    </row>
    <row r="4428" spans="1:2" x14ac:dyDescent="0.25">
      <c r="A4428" s="307"/>
      <c r="B4428" s="307"/>
    </row>
    <row r="4429" spans="1:2" x14ac:dyDescent="0.25">
      <c r="A4429" s="307"/>
      <c r="B4429" s="307"/>
    </row>
    <row r="4430" spans="1:2" x14ac:dyDescent="0.25">
      <c r="A4430" s="307"/>
      <c r="B4430" s="307"/>
    </row>
    <row r="4431" spans="1:2" x14ac:dyDescent="0.25">
      <c r="A4431" s="307"/>
      <c r="B4431" s="307"/>
    </row>
    <row r="4432" spans="1:2" x14ac:dyDescent="0.25">
      <c r="A4432" s="307"/>
      <c r="B4432" s="307"/>
    </row>
    <row r="4433" spans="1:2" x14ac:dyDescent="0.25">
      <c r="A4433" s="307"/>
      <c r="B4433" s="307"/>
    </row>
    <row r="4434" spans="1:2" x14ac:dyDescent="0.25">
      <c r="A4434" s="307"/>
      <c r="B4434" s="307"/>
    </row>
    <row r="4435" spans="1:2" x14ac:dyDescent="0.25">
      <c r="A4435" s="307"/>
      <c r="B4435" s="307"/>
    </row>
    <row r="4436" spans="1:2" x14ac:dyDescent="0.25">
      <c r="A4436" s="307"/>
      <c r="B4436" s="307"/>
    </row>
    <row r="4437" spans="1:2" x14ac:dyDescent="0.25">
      <c r="A4437" s="307"/>
      <c r="B4437" s="307"/>
    </row>
    <row r="4438" spans="1:2" x14ac:dyDescent="0.25">
      <c r="A4438" s="307"/>
      <c r="B4438" s="307"/>
    </row>
    <row r="4439" spans="1:2" x14ac:dyDescent="0.25">
      <c r="A4439" s="307"/>
      <c r="B4439" s="307"/>
    </row>
    <row r="4440" spans="1:2" x14ac:dyDescent="0.25">
      <c r="A4440" s="307"/>
      <c r="B4440" s="307"/>
    </row>
    <row r="4441" spans="1:2" x14ac:dyDescent="0.25">
      <c r="A4441" s="307"/>
      <c r="B4441" s="307"/>
    </row>
    <row r="4442" spans="1:2" x14ac:dyDescent="0.25">
      <c r="A4442" s="307"/>
      <c r="B4442" s="307"/>
    </row>
    <row r="4443" spans="1:2" x14ac:dyDescent="0.25">
      <c r="A4443" s="307"/>
      <c r="B4443" s="307"/>
    </row>
    <row r="4444" spans="1:2" x14ac:dyDescent="0.25">
      <c r="A4444" s="307"/>
      <c r="B4444" s="307"/>
    </row>
    <row r="4445" spans="1:2" x14ac:dyDescent="0.25">
      <c r="A4445" s="307"/>
      <c r="B4445" s="307"/>
    </row>
    <row r="4446" spans="1:2" x14ac:dyDescent="0.25">
      <c r="A4446" s="307"/>
      <c r="B4446" s="307"/>
    </row>
    <row r="4447" spans="1:2" x14ac:dyDescent="0.25">
      <c r="A4447" s="307"/>
      <c r="B4447" s="307"/>
    </row>
    <row r="4448" spans="1:2" x14ac:dyDescent="0.25">
      <c r="A4448" s="307"/>
      <c r="B4448" s="307"/>
    </row>
    <row r="4449" spans="1:2" x14ac:dyDescent="0.25">
      <c r="A4449" s="307"/>
      <c r="B4449" s="307"/>
    </row>
    <row r="4450" spans="1:2" x14ac:dyDescent="0.25">
      <c r="A4450" s="307"/>
      <c r="B4450" s="307"/>
    </row>
    <row r="4451" spans="1:2" x14ac:dyDescent="0.25">
      <c r="A4451" s="307"/>
      <c r="B4451" s="307"/>
    </row>
    <row r="4452" spans="1:2" x14ac:dyDescent="0.25">
      <c r="A4452" s="307"/>
      <c r="B4452" s="307"/>
    </row>
    <row r="4453" spans="1:2" x14ac:dyDescent="0.25">
      <c r="A4453" s="307"/>
      <c r="B4453" s="307"/>
    </row>
    <row r="4454" spans="1:2" x14ac:dyDescent="0.25">
      <c r="A4454" s="307"/>
      <c r="B4454" s="307"/>
    </row>
    <row r="4455" spans="1:2" x14ac:dyDescent="0.25">
      <c r="A4455" s="307"/>
      <c r="B4455" s="307"/>
    </row>
    <row r="4456" spans="1:2" x14ac:dyDescent="0.25">
      <c r="A4456" s="307"/>
      <c r="B4456" s="307"/>
    </row>
    <row r="4457" spans="1:2" x14ac:dyDescent="0.25">
      <c r="A4457" s="307"/>
      <c r="B4457" s="307"/>
    </row>
    <row r="4458" spans="1:2" x14ac:dyDescent="0.25">
      <c r="A4458" s="307"/>
      <c r="B4458" s="307"/>
    </row>
    <row r="4459" spans="1:2" x14ac:dyDescent="0.25">
      <c r="A4459" s="307"/>
      <c r="B4459" s="307"/>
    </row>
    <row r="4460" spans="1:2" x14ac:dyDescent="0.25">
      <c r="A4460" s="307"/>
      <c r="B4460" s="307"/>
    </row>
    <row r="4461" spans="1:2" x14ac:dyDescent="0.25">
      <c r="A4461" s="307"/>
      <c r="B4461" s="307"/>
    </row>
    <row r="4462" spans="1:2" x14ac:dyDescent="0.25">
      <c r="A4462" s="307"/>
      <c r="B4462" s="307"/>
    </row>
    <row r="4463" spans="1:2" x14ac:dyDescent="0.25">
      <c r="A4463" s="307"/>
      <c r="B4463" s="307"/>
    </row>
    <row r="4464" spans="1:2" x14ac:dyDescent="0.25">
      <c r="A4464" s="307"/>
      <c r="B4464" s="307"/>
    </row>
    <row r="4465" spans="1:2" x14ac:dyDescent="0.25">
      <c r="A4465" s="307"/>
      <c r="B4465" s="307"/>
    </row>
    <row r="4466" spans="1:2" x14ac:dyDescent="0.25">
      <c r="A4466" s="307"/>
      <c r="B4466" s="307"/>
    </row>
    <row r="4467" spans="1:2" x14ac:dyDescent="0.25">
      <c r="A4467" s="307"/>
      <c r="B4467" s="307"/>
    </row>
    <row r="4468" spans="1:2" x14ac:dyDescent="0.25">
      <c r="A4468" s="307"/>
      <c r="B4468" s="307"/>
    </row>
    <row r="4469" spans="1:2" x14ac:dyDescent="0.25">
      <c r="A4469" s="307"/>
      <c r="B4469" s="307"/>
    </row>
    <row r="4470" spans="1:2" x14ac:dyDescent="0.25">
      <c r="A4470" s="307"/>
      <c r="B4470" s="307"/>
    </row>
    <row r="4471" spans="1:2" x14ac:dyDescent="0.25">
      <c r="A4471" s="307"/>
      <c r="B4471" s="307"/>
    </row>
    <row r="4472" spans="1:2" x14ac:dyDescent="0.25">
      <c r="A4472" s="307"/>
      <c r="B4472" s="307"/>
    </row>
    <row r="4473" spans="1:2" x14ac:dyDescent="0.25">
      <c r="A4473" s="307"/>
      <c r="B4473" s="307"/>
    </row>
    <row r="4474" spans="1:2" x14ac:dyDescent="0.25">
      <c r="A4474" s="307"/>
      <c r="B4474" s="307"/>
    </row>
    <row r="4475" spans="1:2" x14ac:dyDescent="0.25">
      <c r="A4475" s="307"/>
      <c r="B4475" s="307"/>
    </row>
    <row r="4476" spans="1:2" x14ac:dyDescent="0.25">
      <c r="A4476" s="307"/>
      <c r="B4476" s="307"/>
    </row>
    <row r="4477" spans="1:2" x14ac:dyDescent="0.25">
      <c r="A4477" s="307"/>
      <c r="B4477" s="307"/>
    </row>
    <row r="4478" spans="1:2" x14ac:dyDescent="0.25">
      <c r="A4478" s="307"/>
      <c r="B4478" s="307"/>
    </row>
    <row r="4479" spans="1:2" x14ac:dyDescent="0.25">
      <c r="A4479" s="307"/>
      <c r="B4479" s="307"/>
    </row>
    <row r="4480" spans="1:2" x14ac:dyDescent="0.25">
      <c r="A4480" s="307"/>
      <c r="B4480" s="307"/>
    </row>
    <row r="4481" spans="1:2" x14ac:dyDescent="0.25">
      <c r="A4481" s="307"/>
      <c r="B4481" s="307"/>
    </row>
    <row r="4482" spans="1:2" x14ac:dyDescent="0.25">
      <c r="A4482" s="307"/>
      <c r="B4482" s="307"/>
    </row>
    <row r="4483" spans="1:2" x14ac:dyDescent="0.25">
      <c r="A4483" s="307"/>
      <c r="B4483" s="307"/>
    </row>
    <row r="4484" spans="1:2" x14ac:dyDescent="0.25">
      <c r="A4484" s="307"/>
      <c r="B4484" s="307"/>
    </row>
    <row r="4485" spans="1:2" x14ac:dyDescent="0.25">
      <c r="A4485" s="307"/>
      <c r="B4485" s="307"/>
    </row>
    <row r="4486" spans="1:2" x14ac:dyDescent="0.25">
      <c r="A4486" s="307"/>
      <c r="B4486" s="307"/>
    </row>
    <row r="4487" spans="1:2" x14ac:dyDescent="0.25">
      <c r="A4487" s="307"/>
      <c r="B4487" s="307"/>
    </row>
    <row r="4488" spans="1:2" x14ac:dyDescent="0.25">
      <c r="A4488" s="307"/>
      <c r="B4488" s="307"/>
    </row>
    <row r="4489" spans="1:2" x14ac:dyDescent="0.25">
      <c r="A4489" s="307"/>
      <c r="B4489" s="307"/>
    </row>
    <row r="4490" spans="1:2" x14ac:dyDescent="0.25">
      <c r="A4490" s="307"/>
      <c r="B4490" s="307"/>
    </row>
    <row r="4491" spans="1:2" x14ac:dyDescent="0.25">
      <c r="A4491" s="307"/>
      <c r="B4491" s="307"/>
    </row>
    <row r="4492" spans="1:2" x14ac:dyDescent="0.25">
      <c r="A4492" s="307"/>
      <c r="B4492" s="307"/>
    </row>
    <row r="4493" spans="1:2" x14ac:dyDescent="0.25">
      <c r="A4493" s="307"/>
      <c r="B4493" s="307"/>
    </row>
    <row r="4494" spans="1:2" x14ac:dyDescent="0.25">
      <c r="A4494" s="307"/>
      <c r="B4494" s="307"/>
    </row>
    <row r="4495" spans="1:2" x14ac:dyDescent="0.25">
      <c r="A4495" s="307"/>
      <c r="B4495" s="307"/>
    </row>
    <row r="4496" spans="1:2" x14ac:dyDescent="0.25">
      <c r="A4496" s="307"/>
      <c r="B4496" s="307"/>
    </row>
    <row r="4497" spans="1:2" x14ac:dyDescent="0.25">
      <c r="A4497" s="307"/>
      <c r="B4497" s="307"/>
    </row>
    <row r="4498" spans="1:2" x14ac:dyDescent="0.25">
      <c r="A4498" s="307"/>
      <c r="B4498" s="307"/>
    </row>
    <row r="4499" spans="1:2" x14ac:dyDescent="0.25">
      <c r="A4499" s="307"/>
      <c r="B4499" s="307"/>
    </row>
    <row r="4500" spans="1:2" x14ac:dyDescent="0.25">
      <c r="A4500" s="307"/>
      <c r="B4500" s="307"/>
    </row>
    <row r="4501" spans="1:2" x14ac:dyDescent="0.25">
      <c r="A4501" s="307"/>
      <c r="B4501" s="307"/>
    </row>
    <row r="4502" spans="1:2" x14ac:dyDescent="0.25">
      <c r="A4502" s="307"/>
      <c r="B4502" s="307"/>
    </row>
    <row r="4503" spans="1:2" x14ac:dyDescent="0.25">
      <c r="A4503" s="307"/>
      <c r="B4503" s="307"/>
    </row>
    <row r="4504" spans="1:2" x14ac:dyDescent="0.25">
      <c r="A4504" s="307"/>
      <c r="B4504" s="307"/>
    </row>
    <row r="4505" spans="1:2" x14ac:dyDescent="0.25">
      <c r="A4505" s="307"/>
      <c r="B4505" s="307"/>
    </row>
    <row r="4506" spans="1:2" x14ac:dyDescent="0.25">
      <c r="A4506" s="307"/>
      <c r="B4506" s="307"/>
    </row>
    <row r="4507" spans="1:2" x14ac:dyDescent="0.25">
      <c r="A4507" s="307"/>
      <c r="B4507" s="307"/>
    </row>
    <row r="4508" spans="1:2" x14ac:dyDescent="0.25">
      <c r="A4508" s="307"/>
      <c r="B4508" s="307"/>
    </row>
    <row r="4509" spans="1:2" x14ac:dyDescent="0.25">
      <c r="A4509" s="307"/>
      <c r="B4509" s="307"/>
    </row>
    <row r="4510" spans="1:2" x14ac:dyDescent="0.25">
      <c r="A4510" s="307"/>
      <c r="B4510" s="307"/>
    </row>
    <row r="4511" spans="1:2" x14ac:dyDescent="0.25">
      <c r="A4511" s="307"/>
      <c r="B4511" s="307"/>
    </row>
    <row r="4512" spans="1:2" x14ac:dyDescent="0.25">
      <c r="A4512" s="307"/>
      <c r="B4512" s="307"/>
    </row>
    <row r="4513" spans="1:2" x14ac:dyDescent="0.25">
      <c r="A4513" s="307"/>
      <c r="B4513" s="307"/>
    </row>
    <row r="4514" spans="1:2" x14ac:dyDescent="0.25">
      <c r="A4514" s="307"/>
      <c r="B4514" s="307"/>
    </row>
    <row r="4515" spans="1:2" x14ac:dyDescent="0.25">
      <c r="A4515" s="307"/>
      <c r="B4515" s="307"/>
    </row>
    <row r="4516" spans="1:2" x14ac:dyDescent="0.25">
      <c r="A4516" s="307"/>
      <c r="B4516" s="307"/>
    </row>
    <row r="4517" spans="1:2" x14ac:dyDescent="0.25">
      <c r="A4517" s="307"/>
      <c r="B4517" s="307"/>
    </row>
    <row r="4518" spans="1:2" x14ac:dyDescent="0.25">
      <c r="A4518" s="307"/>
      <c r="B4518" s="307"/>
    </row>
    <row r="4519" spans="1:2" x14ac:dyDescent="0.25">
      <c r="A4519" s="307"/>
      <c r="B4519" s="307"/>
    </row>
    <row r="4520" spans="1:2" x14ac:dyDescent="0.25">
      <c r="A4520" s="307"/>
      <c r="B4520" s="307"/>
    </row>
    <row r="4521" spans="1:2" x14ac:dyDescent="0.25">
      <c r="A4521" s="307"/>
      <c r="B4521" s="307"/>
    </row>
    <row r="4522" spans="1:2" x14ac:dyDescent="0.25">
      <c r="A4522" s="307"/>
      <c r="B4522" s="307"/>
    </row>
    <row r="4523" spans="1:2" x14ac:dyDescent="0.25">
      <c r="A4523" s="307"/>
      <c r="B4523" s="307"/>
    </row>
    <row r="4524" spans="1:2" x14ac:dyDescent="0.25">
      <c r="A4524" s="307"/>
      <c r="B4524" s="307"/>
    </row>
    <row r="4525" spans="1:2" x14ac:dyDescent="0.25">
      <c r="A4525" s="307"/>
      <c r="B4525" s="307"/>
    </row>
    <row r="4526" spans="1:2" x14ac:dyDescent="0.25">
      <c r="A4526" s="307"/>
      <c r="B4526" s="307"/>
    </row>
    <row r="4527" spans="1:2" x14ac:dyDescent="0.25">
      <c r="A4527" s="307"/>
      <c r="B4527" s="307"/>
    </row>
    <row r="4528" spans="1:2" x14ac:dyDescent="0.25">
      <c r="A4528" s="307"/>
      <c r="B4528" s="307"/>
    </row>
    <row r="4529" spans="1:2" x14ac:dyDescent="0.25">
      <c r="A4529" s="307"/>
      <c r="B4529" s="307"/>
    </row>
    <row r="4530" spans="1:2" x14ac:dyDescent="0.25">
      <c r="A4530" s="307"/>
      <c r="B4530" s="307"/>
    </row>
    <row r="4531" spans="1:2" x14ac:dyDescent="0.25">
      <c r="A4531" s="307"/>
      <c r="B4531" s="307"/>
    </row>
    <row r="4532" spans="1:2" x14ac:dyDescent="0.25">
      <c r="A4532" s="307"/>
      <c r="B4532" s="307"/>
    </row>
    <row r="4533" spans="1:2" x14ac:dyDescent="0.25">
      <c r="A4533" s="307"/>
      <c r="B4533" s="307"/>
    </row>
    <row r="4534" spans="1:2" x14ac:dyDescent="0.25">
      <c r="A4534" s="307"/>
      <c r="B4534" s="307"/>
    </row>
    <row r="4535" spans="1:2" x14ac:dyDescent="0.25">
      <c r="A4535" s="307"/>
      <c r="B4535" s="307"/>
    </row>
    <row r="4536" spans="1:2" x14ac:dyDescent="0.25">
      <c r="A4536" s="307"/>
      <c r="B4536" s="307"/>
    </row>
    <row r="4537" spans="1:2" x14ac:dyDescent="0.25">
      <c r="A4537" s="307"/>
      <c r="B4537" s="307"/>
    </row>
    <row r="4538" spans="1:2" x14ac:dyDescent="0.25">
      <c r="A4538" s="307"/>
      <c r="B4538" s="307"/>
    </row>
    <row r="4539" spans="1:2" x14ac:dyDescent="0.25">
      <c r="A4539" s="307"/>
      <c r="B4539" s="307"/>
    </row>
    <row r="4540" spans="1:2" x14ac:dyDescent="0.25">
      <c r="A4540" s="307"/>
      <c r="B4540" s="307"/>
    </row>
    <row r="4541" spans="1:2" x14ac:dyDescent="0.25">
      <c r="A4541" s="307"/>
      <c r="B4541" s="307"/>
    </row>
    <row r="4542" spans="1:2" x14ac:dyDescent="0.25">
      <c r="A4542" s="307"/>
      <c r="B4542" s="307"/>
    </row>
    <row r="4543" spans="1:2" x14ac:dyDescent="0.25">
      <c r="A4543" s="307"/>
      <c r="B4543" s="307"/>
    </row>
    <row r="4544" spans="1:2" x14ac:dyDescent="0.25">
      <c r="A4544" s="307"/>
      <c r="B4544" s="307"/>
    </row>
    <row r="4545" spans="1:2" x14ac:dyDescent="0.25">
      <c r="A4545" s="307"/>
      <c r="B4545" s="307"/>
    </row>
    <row r="4546" spans="1:2" x14ac:dyDescent="0.25">
      <c r="A4546" s="307"/>
      <c r="B4546" s="307"/>
    </row>
    <row r="4547" spans="1:2" x14ac:dyDescent="0.25">
      <c r="A4547" s="307"/>
      <c r="B4547" s="307"/>
    </row>
    <row r="4548" spans="1:2" x14ac:dyDescent="0.25">
      <c r="A4548" s="307"/>
      <c r="B4548" s="307"/>
    </row>
    <row r="4549" spans="1:2" x14ac:dyDescent="0.25">
      <c r="A4549" s="307"/>
      <c r="B4549" s="307"/>
    </row>
    <row r="4550" spans="1:2" x14ac:dyDescent="0.25">
      <c r="A4550" s="307"/>
      <c r="B4550" s="307"/>
    </row>
    <row r="4551" spans="1:2" x14ac:dyDescent="0.25">
      <c r="A4551" s="307"/>
      <c r="B4551" s="307"/>
    </row>
    <row r="4552" spans="1:2" x14ac:dyDescent="0.25">
      <c r="A4552" s="307"/>
      <c r="B4552" s="307"/>
    </row>
    <row r="4553" spans="1:2" x14ac:dyDescent="0.25">
      <c r="A4553" s="307"/>
      <c r="B4553" s="307"/>
    </row>
    <row r="4554" spans="1:2" x14ac:dyDescent="0.25">
      <c r="A4554" s="307"/>
      <c r="B4554" s="307"/>
    </row>
    <row r="4555" spans="1:2" x14ac:dyDescent="0.25">
      <c r="A4555" s="307"/>
      <c r="B4555" s="307"/>
    </row>
    <row r="4556" spans="1:2" x14ac:dyDescent="0.25">
      <c r="A4556" s="307"/>
      <c r="B4556" s="307"/>
    </row>
    <row r="4557" spans="1:2" x14ac:dyDescent="0.25">
      <c r="A4557" s="307"/>
      <c r="B4557" s="307"/>
    </row>
    <row r="4558" spans="1:2" x14ac:dyDescent="0.25">
      <c r="A4558" s="307"/>
      <c r="B4558" s="307"/>
    </row>
    <row r="4559" spans="1:2" x14ac:dyDescent="0.25">
      <c r="A4559" s="307"/>
      <c r="B4559" s="307"/>
    </row>
    <row r="4560" spans="1:2" x14ac:dyDescent="0.25">
      <c r="A4560" s="307"/>
      <c r="B4560" s="307"/>
    </row>
    <row r="4561" spans="1:2" x14ac:dyDescent="0.25">
      <c r="A4561" s="307"/>
      <c r="B4561" s="307"/>
    </row>
    <row r="4562" spans="1:2" x14ac:dyDescent="0.25">
      <c r="A4562" s="307"/>
      <c r="B4562" s="307"/>
    </row>
    <row r="4563" spans="1:2" x14ac:dyDescent="0.25">
      <c r="A4563" s="307"/>
      <c r="B4563" s="307"/>
    </row>
    <row r="4564" spans="1:2" x14ac:dyDescent="0.25">
      <c r="A4564" s="307"/>
      <c r="B4564" s="307"/>
    </row>
    <row r="4565" spans="1:2" x14ac:dyDescent="0.25">
      <c r="A4565" s="307"/>
      <c r="B4565" s="307"/>
    </row>
    <row r="4566" spans="1:2" x14ac:dyDescent="0.25">
      <c r="A4566" s="307"/>
      <c r="B4566" s="307"/>
    </row>
    <row r="4567" spans="1:2" x14ac:dyDescent="0.25">
      <c r="A4567" s="307"/>
      <c r="B4567" s="307"/>
    </row>
    <row r="4568" spans="1:2" x14ac:dyDescent="0.25">
      <c r="A4568" s="307"/>
      <c r="B4568" s="307"/>
    </row>
    <row r="4569" spans="1:2" x14ac:dyDescent="0.25">
      <c r="A4569" s="307"/>
      <c r="B4569" s="307"/>
    </row>
    <row r="4570" spans="1:2" x14ac:dyDescent="0.25">
      <c r="A4570" s="307"/>
      <c r="B4570" s="307"/>
    </row>
    <row r="4571" spans="1:2" x14ac:dyDescent="0.25">
      <c r="A4571" s="307"/>
      <c r="B4571" s="307"/>
    </row>
    <row r="4572" spans="1:2" x14ac:dyDescent="0.25">
      <c r="A4572" s="307"/>
      <c r="B4572" s="307"/>
    </row>
    <row r="4573" spans="1:2" x14ac:dyDescent="0.25">
      <c r="A4573" s="307"/>
      <c r="B4573" s="307"/>
    </row>
    <row r="4574" spans="1:2" x14ac:dyDescent="0.25">
      <c r="A4574" s="307"/>
      <c r="B4574" s="307"/>
    </row>
    <row r="4575" spans="1:2" x14ac:dyDescent="0.25">
      <c r="A4575" s="307"/>
      <c r="B4575" s="307"/>
    </row>
    <row r="4576" spans="1:2" x14ac:dyDescent="0.25">
      <c r="A4576" s="307"/>
      <c r="B4576" s="307"/>
    </row>
    <row r="4577" spans="1:2" x14ac:dyDescent="0.25">
      <c r="A4577" s="307"/>
      <c r="B4577" s="307"/>
    </row>
    <row r="4578" spans="1:2" x14ac:dyDescent="0.25">
      <c r="A4578" s="307"/>
      <c r="B4578" s="307"/>
    </row>
    <row r="4579" spans="1:2" x14ac:dyDescent="0.25">
      <c r="A4579" s="307"/>
      <c r="B4579" s="307"/>
    </row>
    <row r="4580" spans="1:2" x14ac:dyDescent="0.25">
      <c r="A4580" s="307"/>
      <c r="B4580" s="307"/>
    </row>
    <row r="4581" spans="1:2" x14ac:dyDescent="0.25">
      <c r="A4581" s="307"/>
      <c r="B4581" s="307"/>
    </row>
    <row r="4582" spans="1:2" x14ac:dyDescent="0.25">
      <c r="A4582" s="307"/>
      <c r="B4582" s="307"/>
    </row>
    <row r="4583" spans="1:2" x14ac:dyDescent="0.25">
      <c r="A4583" s="307"/>
      <c r="B4583" s="307"/>
    </row>
    <row r="4584" spans="1:2" x14ac:dyDescent="0.25">
      <c r="A4584" s="307"/>
      <c r="B4584" s="307"/>
    </row>
    <row r="4585" spans="1:2" x14ac:dyDescent="0.25">
      <c r="A4585" s="307"/>
      <c r="B4585" s="307"/>
    </row>
    <row r="4586" spans="1:2" x14ac:dyDescent="0.25">
      <c r="A4586" s="307"/>
      <c r="B4586" s="307"/>
    </row>
    <row r="4587" spans="1:2" x14ac:dyDescent="0.25">
      <c r="A4587" s="307"/>
      <c r="B4587" s="307"/>
    </row>
    <row r="4588" spans="1:2" x14ac:dyDescent="0.25">
      <c r="A4588" s="307"/>
      <c r="B4588" s="307"/>
    </row>
    <row r="4589" spans="1:2" x14ac:dyDescent="0.25">
      <c r="A4589" s="307"/>
      <c r="B4589" s="307"/>
    </row>
    <row r="4590" spans="1:2" x14ac:dyDescent="0.25">
      <c r="A4590" s="307"/>
      <c r="B4590" s="307"/>
    </row>
    <row r="4591" spans="1:2" x14ac:dyDescent="0.25">
      <c r="A4591" s="307"/>
      <c r="B4591" s="307"/>
    </row>
    <row r="4592" spans="1:2" x14ac:dyDescent="0.25">
      <c r="A4592" s="307"/>
      <c r="B4592" s="307"/>
    </row>
    <row r="4593" spans="1:2" x14ac:dyDescent="0.25">
      <c r="A4593" s="307"/>
      <c r="B4593" s="307"/>
    </row>
    <row r="4594" spans="1:2" x14ac:dyDescent="0.25">
      <c r="A4594" s="307"/>
      <c r="B4594" s="307"/>
    </row>
    <row r="4595" spans="1:2" x14ac:dyDescent="0.25">
      <c r="A4595" s="307"/>
      <c r="B4595" s="307"/>
    </row>
    <row r="4596" spans="1:2" x14ac:dyDescent="0.25">
      <c r="A4596" s="307"/>
      <c r="B4596" s="307"/>
    </row>
    <row r="4597" spans="1:2" x14ac:dyDescent="0.25">
      <c r="A4597" s="307"/>
      <c r="B4597" s="307"/>
    </row>
    <row r="4598" spans="1:2" x14ac:dyDescent="0.25">
      <c r="A4598" s="307"/>
      <c r="B4598" s="307"/>
    </row>
    <row r="4599" spans="1:2" x14ac:dyDescent="0.25">
      <c r="A4599" s="307"/>
      <c r="B4599" s="307"/>
    </row>
    <row r="4600" spans="1:2" x14ac:dyDescent="0.25">
      <c r="A4600" s="307"/>
      <c r="B4600" s="307"/>
    </row>
    <row r="4601" spans="1:2" x14ac:dyDescent="0.25">
      <c r="A4601" s="307"/>
      <c r="B4601" s="307"/>
    </row>
    <row r="4602" spans="1:2" x14ac:dyDescent="0.25">
      <c r="A4602" s="307"/>
      <c r="B4602" s="307"/>
    </row>
    <row r="4603" spans="1:2" x14ac:dyDescent="0.25">
      <c r="A4603" s="307"/>
      <c r="B4603" s="307"/>
    </row>
    <row r="4604" spans="1:2" x14ac:dyDescent="0.25">
      <c r="A4604" s="307"/>
      <c r="B4604" s="307"/>
    </row>
    <row r="4605" spans="1:2" x14ac:dyDescent="0.25">
      <c r="A4605" s="307"/>
      <c r="B4605" s="307"/>
    </row>
    <row r="4606" spans="1:2" x14ac:dyDescent="0.25">
      <c r="A4606" s="307"/>
      <c r="B4606" s="307"/>
    </row>
    <row r="4607" spans="1:2" x14ac:dyDescent="0.25">
      <c r="A4607" s="307"/>
      <c r="B4607" s="307"/>
    </row>
    <row r="4608" spans="1:2" x14ac:dyDescent="0.25">
      <c r="A4608" s="307"/>
      <c r="B4608" s="307"/>
    </row>
    <row r="4609" spans="1:2" x14ac:dyDescent="0.25">
      <c r="A4609" s="307"/>
      <c r="B4609" s="307"/>
    </row>
    <row r="4610" spans="1:2" x14ac:dyDescent="0.25">
      <c r="A4610" s="307"/>
      <c r="B4610" s="307"/>
    </row>
    <row r="4611" spans="1:2" x14ac:dyDescent="0.25">
      <c r="A4611" s="307"/>
      <c r="B4611" s="307"/>
    </row>
    <row r="4612" spans="1:2" x14ac:dyDescent="0.25">
      <c r="A4612" s="307"/>
      <c r="B4612" s="307"/>
    </row>
    <row r="4613" spans="1:2" x14ac:dyDescent="0.25">
      <c r="A4613" s="307"/>
      <c r="B4613" s="307"/>
    </row>
    <row r="4614" spans="1:2" x14ac:dyDescent="0.25">
      <c r="A4614" s="307"/>
      <c r="B4614" s="307"/>
    </row>
    <row r="4615" spans="1:2" x14ac:dyDescent="0.25">
      <c r="A4615" s="307"/>
      <c r="B4615" s="307"/>
    </row>
    <row r="4616" spans="1:2" x14ac:dyDescent="0.25">
      <c r="A4616" s="307"/>
      <c r="B4616" s="307"/>
    </row>
    <row r="4617" spans="1:2" x14ac:dyDescent="0.25">
      <c r="A4617" s="307"/>
      <c r="B4617" s="307"/>
    </row>
    <row r="4618" spans="1:2" x14ac:dyDescent="0.25">
      <c r="A4618" s="307"/>
      <c r="B4618" s="307"/>
    </row>
    <row r="4619" spans="1:2" x14ac:dyDescent="0.25">
      <c r="A4619" s="307"/>
      <c r="B4619" s="307"/>
    </row>
    <row r="4620" spans="1:2" x14ac:dyDescent="0.25">
      <c r="A4620" s="307"/>
      <c r="B4620" s="307"/>
    </row>
    <row r="4621" spans="1:2" x14ac:dyDescent="0.25">
      <c r="A4621" s="307"/>
      <c r="B4621" s="307"/>
    </row>
    <row r="4622" spans="1:2" x14ac:dyDescent="0.25">
      <c r="A4622" s="307"/>
      <c r="B4622" s="307"/>
    </row>
    <row r="4623" spans="1:2" x14ac:dyDescent="0.25">
      <c r="A4623" s="307"/>
      <c r="B4623" s="307"/>
    </row>
    <row r="4624" spans="1:2" x14ac:dyDescent="0.25">
      <c r="A4624" s="307"/>
      <c r="B4624" s="307"/>
    </row>
    <row r="4625" spans="1:2" x14ac:dyDescent="0.25">
      <c r="A4625" s="307"/>
      <c r="B4625" s="307"/>
    </row>
    <row r="4626" spans="1:2" x14ac:dyDescent="0.25">
      <c r="A4626" s="307"/>
      <c r="B4626" s="307"/>
    </row>
    <row r="4627" spans="1:2" x14ac:dyDescent="0.25">
      <c r="A4627" s="307"/>
      <c r="B4627" s="307"/>
    </row>
    <row r="4628" spans="1:2" x14ac:dyDescent="0.25">
      <c r="A4628" s="307"/>
      <c r="B4628" s="307"/>
    </row>
    <row r="4629" spans="1:2" x14ac:dyDescent="0.25">
      <c r="A4629" s="307"/>
      <c r="B4629" s="307"/>
    </row>
    <row r="4630" spans="1:2" x14ac:dyDescent="0.25">
      <c r="A4630" s="307"/>
      <c r="B4630" s="307"/>
    </row>
    <row r="4631" spans="1:2" x14ac:dyDescent="0.25">
      <c r="A4631" s="307"/>
      <c r="B4631" s="307"/>
    </row>
    <row r="4632" spans="1:2" x14ac:dyDescent="0.25">
      <c r="A4632" s="307"/>
      <c r="B4632" s="307"/>
    </row>
    <row r="4633" spans="1:2" x14ac:dyDescent="0.25">
      <c r="A4633" s="307"/>
      <c r="B4633" s="307"/>
    </row>
    <row r="4634" spans="1:2" x14ac:dyDescent="0.25">
      <c r="A4634" s="307"/>
      <c r="B4634" s="307"/>
    </row>
    <row r="4635" spans="1:2" x14ac:dyDescent="0.25">
      <c r="A4635" s="307"/>
      <c r="B4635" s="307"/>
    </row>
    <row r="4636" spans="1:2" x14ac:dyDescent="0.25">
      <c r="A4636" s="307"/>
      <c r="B4636" s="307"/>
    </row>
    <row r="4637" spans="1:2" x14ac:dyDescent="0.25">
      <c r="A4637" s="307"/>
      <c r="B4637" s="307"/>
    </row>
    <row r="4638" spans="1:2" x14ac:dyDescent="0.25">
      <c r="A4638" s="307"/>
      <c r="B4638" s="307"/>
    </row>
    <row r="4639" spans="1:2" x14ac:dyDescent="0.25">
      <c r="A4639" s="307"/>
      <c r="B4639" s="307"/>
    </row>
    <row r="4640" spans="1:2" x14ac:dyDescent="0.25">
      <c r="A4640" s="307"/>
      <c r="B4640" s="307"/>
    </row>
    <row r="4641" spans="1:2" x14ac:dyDescent="0.25">
      <c r="A4641" s="307"/>
      <c r="B4641" s="307"/>
    </row>
    <row r="4642" spans="1:2" x14ac:dyDescent="0.25">
      <c r="A4642" s="307"/>
      <c r="B4642" s="307"/>
    </row>
    <row r="4643" spans="1:2" x14ac:dyDescent="0.25">
      <c r="A4643" s="307"/>
      <c r="B4643" s="307"/>
    </row>
    <row r="4644" spans="1:2" x14ac:dyDescent="0.25">
      <c r="A4644" s="307"/>
      <c r="B4644" s="307"/>
    </row>
    <row r="4645" spans="1:2" x14ac:dyDescent="0.25">
      <c r="A4645" s="307"/>
      <c r="B4645" s="307"/>
    </row>
    <row r="4646" spans="1:2" x14ac:dyDescent="0.25">
      <c r="A4646" s="307"/>
      <c r="B4646" s="307"/>
    </row>
    <row r="4647" spans="1:2" x14ac:dyDescent="0.25">
      <c r="A4647" s="307"/>
      <c r="B4647" s="307"/>
    </row>
    <row r="4648" spans="1:2" x14ac:dyDescent="0.25">
      <c r="A4648" s="307"/>
      <c r="B4648" s="307"/>
    </row>
    <row r="4649" spans="1:2" x14ac:dyDescent="0.25">
      <c r="A4649" s="307"/>
      <c r="B4649" s="307"/>
    </row>
    <row r="4650" spans="1:2" x14ac:dyDescent="0.25">
      <c r="A4650" s="307"/>
      <c r="B4650" s="307"/>
    </row>
    <row r="4651" spans="1:2" x14ac:dyDescent="0.25">
      <c r="A4651" s="307"/>
      <c r="B4651" s="307"/>
    </row>
    <row r="4652" spans="1:2" x14ac:dyDescent="0.25">
      <c r="A4652" s="307"/>
      <c r="B4652" s="307"/>
    </row>
    <row r="4653" spans="1:2" x14ac:dyDescent="0.25">
      <c r="A4653" s="307"/>
      <c r="B4653" s="307"/>
    </row>
    <row r="4654" spans="1:2" x14ac:dyDescent="0.25">
      <c r="A4654" s="307"/>
      <c r="B4654" s="307"/>
    </row>
    <row r="4655" spans="1:2" x14ac:dyDescent="0.25">
      <c r="A4655" s="307"/>
      <c r="B4655" s="307"/>
    </row>
    <row r="4656" spans="1:2" x14ac:dyDescent="0.25">
      <c r="A4656" s="307"/>
      <c r="B4656" s="307"/>
    </row>
    <row r="4657" spans="1:2" x14ac:dyDescent="0.25">
      <c r="A4657" s="307"/>
      <c r="B4657" s="307"/>
    </row>
    <row r="4658" spans="1:2" x14ac:dyDescent="0.25">
      <c r="A4658" s="307"/>
      <c r="B4658" s="307"/>
    </row>
    <row r="4659" spans="1:2" x14ac:dyDescent="0.25">
      <c r="A4659" s="307"/>
      <c r="B4659" s="307"/>
    </row>
    <row r="4660" spans="1:2" x14ac:dyDescent="0.25">
      <c r="A4660" s="307"/>
      <c r="B4660" s="307"/>
    </row>
    <row r="4661" spans="1:2" x14ac:dyDescent="0.25">
      <c r="A4661" s="307"/>
      <c r="B4661" s="307"/>
    </row>
    <row r="4662" spans="1:2" x14ac:dyDescent="0.25">
      <c r="A4662" s="307"/>
      <c r="B4662" s="307"/>
    </row>
    <row r="4663" spans="1:2" x14ac:dyDescent="0.25">
      <c r="A4663" s="307"/>
      <c r="B4663" s="307"/>
    </row>
    <row r="4664" spans="1:2" x14ac:dyDescent="0.25">
      <c r="A4664" s="307"/>
      <c r="B4664" s="307"/>
    </row>
    <row r="4665" spans="1:2" x14ac:dyDescent="0.25">
      <c r="A4665" s="307"/>
      <c r="B4665" s="307"/>
    </row>
    <row r="4666" spans="1:2" x14ac:dyDescent="0.25">
      <c r="A4666" s="307"/>
      <c r="B4666" s="307"/>
    </row>
    <row r="4667" spans="1:2" x14ac:dyDescent="0.25">
      <c r="A4667" s="307"/>
      <c r="B4667" s="307"/>
    </row>
    <row r="4668" spans="1:2" x14ac:dyDescent="0.25">
      <c r="A4668" s="307"/>
      <c r="B4668" s="307"/>
    </row>
    <row r="4669" spans="1:2" x14ac:dyDescent="0.25">
      <c r="A4669" s="307"/>
      <c r="B4669" s="307"/>
    </row>
    <row r="4670" spans="1:2" x14ac:dyDescent="0.25">
      <c r="A4670" s="307"/>
      <c r="B4670" s="307"/>
    </row>
    <row r="4671" spans="1:2" x14ac:dyDescent="0.25">
      <c r="A4671" s="307"/>
      <c r="B4671" s="307"/>
    </row>
    <row r="4672" spans="1:2" x14ac:dyDescent="0.25">
      <c r="A4672" s="307"/>
      <c r="B4672" s="307"/>
    </row>
    <row r="4673" spans="1:2" x14ac:dyDescent="0.25">
      <c r="A4673" s="307"/>
      <c r="B4673" s="307"/>
    </row>
    <row r="4674" spans="1:2" x14ac:dyDescent="0.25">
      <c r="A4674" s="307"/>
      <c r="B4674" s="307"/>
    </row>
    <row r="4675" spans="1:2" x14ac:dyDescent="0.25">
      <c r="A4675" s="307"/>
      <c r="B4675" s="307"/>
    </row>
    <row r="4676" spans="1:2" x14ac:dyDescent="0.25">
      <c r="A4676" s="307"/>
      <c r="B4676" s="307"/>
    </row>
    <row r="4677" spans="1:2" x14ac:dyDescent="0.25">
      <c r="A4677" s="307"/>
      <c r="B4677" s="307"/>
    </row>
    <row r="4678" spans="1:2" x14ac:dyDescent="0.25">
      <c r="A4678" s="307"/>
      <c r="B4678" s="307"/>
    </row>
    <row r="4679" spans="1:2" x14ac:dyDescent="0.25">
      <c r="A4679" s="307"/>
      <c r="B4679" s="307"/>
    </row>
    <row r="4680" spans="1:2" x14ac:dyDescent="0.25">
      <c r="A4680" s="307"/>
      <c r="B4680" s="307"/>
    </row>
    <row r="4681" spans="1:2" x14ac:dyDescent="0.25">
      <c r="A4681" s="307"/>
      <c r="B4681" s="307"/>
    </row>
    <row r="4682" spans="1:2" x14ac:dyDescent="0.25">
      <c r="A4682" s="307"/>
      <c r="B4682" s="307"/>
    </row>
    <row r="4683" spans="1:2" x14ac:dyDescent="0.25">
      <c r="A4683" s="307"/>
      <c r="B4683" s="307"/>
    </row>
    <row r="4684" spans="1:2" x14ac:dyDescent="0.25">
      <c r="A4684" s="307"/>
      <c r="B4684" s="307"/>
    </row>
    <row r="4685" spans="1:2" x14ac:dyDescent="0.25">
      <c r="A4685" s="307"/>
      <c r="B4685" s="307"/>
    </row>
    <row r="4686" spans="1:2" x14ac:dyDescent="0.25">
      <c r="A4686" s="307"/>
      <c r="B4686" s="307"/>
    </row>
    <row r="4687" spans="1:2" x14ac:dyDescent="0.25">
      <c r="A4687" s="307"/>
      <c r="B4687" s="307"/>
    </row>
    <row r="4688" spans="1:2" x14ac:dyDescent="0.25">
      <c r="A4688" s="307"/>
      <c r="B4688" s="307"/>
    </row>
    <row r="4689" spans="1:2" x14ac:dyDescent="0.25">
      <c r="A4689" s="307"/>
      <c r="B4689" s="307"/>
    </row>
    <row r="4690" spans="1:2" x14ac:dyDescent="0.25">
      <c r="A4690" s="307"/>
      <c r="B4690" s="307"/>
    </row>
    <row r="4691" spans="1:2" x14ac:dyDescent="0.25">
      <c r="A4691" s="307"/>
      <c r="B4691" s="307"/>
    </row>
    <row r="4692" spans="1:2" x14ac:dyDescent="0.25">
      <c r="A4692" s="307"/>
      <c r="B4692" s="307"/>
    </row>
    <row r="4693" spans="1:2" x14ac:dyDescent="0.25">
      <c r="A4693" s="307"/>
      <c r="B4693" s="307"/>
    </row>
    <row r="4694" spans="1:2" x14ac:dyDescent="0.25">
      <c r="A4694" s="307"/>
      <c r="B4694" s="307"/>
    </row>
    <row r="4695" spans="1:2" x14ac:dyDescent="0.25">
      <c r="A4695" s="307"/>
      <c r="B4695" s="307"/>
    </row>
    <row r="4696" spans="1:2" x14ac:dyDescent="0.25">
      <c r="A4696" s="307"/>
      <c r="B4696" s="307"/>
    </row>
    <row r="4697" spans="1:2" x14ac:dyDescent="0.25">
      <c r="A4697" s="307"/>
      <c r="B4697" s="307"/>
    </row>
    <row r="4698" spans="1:2" x14ac:dyDescent="0.25">
      <c r="A4698" s="307"/>
      <c r="B4698" s="307"/>
    </row>
    <row r="4699" spans="1:2" x14ac:dyDescent="0.25">
      <c r="A4699" s="307"/>
      <c r="B4699" s="307"/>
    </row>
    <row r="4700" spans="1:2" x14ac:dyDescent="0.25">
      <c r="A4700" s="307"/>
      <c r="B4700" s="307"/>
    </row>
    <row r="4701" spans="1:2" x14ac:dyDescent="0.25">
      <c r="A4701" s="307"/>
      <c r="B4701" s="307"/>
    </row>
    <row r="4702" spans="1:2" x14ac:dyDescent="0.25">
      <c r="A4702" s="307"/>
      <c r="B4702" s="307"/>
    </row>
    <row r="4703" spans="1:2" x14ac:dyDescent="0.25">
      <c r="A4703" s="307"/>
      <c r="B4703" s="307"/>
    </row>
    <row r="4704" spans="1:2" x14ac:dyDescent="0.25">
      <c r="A4704" s="307"/>
      <c r="B4704" s="307"/>
    </row>
    <row r="4705" spans="1:2" x14ac:dyDescent="0.25">
      <c r="A4705" s="307"/>
      <c r="B4705" s="307"/>
    </row>
    <row r="4706" spans="1:2" x14ac:dyDescent="0.25">
      <c r="A4706" s="307"/>
      <c r="B4706" s="307"/>
    </row>
    <row r="4707" spans="1:2" x14ac:dyDescent="0.25">
      <c r="A4707" s="307"/>
      <c r="B4707" s="307"/>
    </row>
    <row r="4708" spans="1:2" x14ac:dyDescent="0.25">
      <c r="A4708" s="307"/>
      <c r="B4708" s="307"/>
    </row>
    <row r="4709" spans="1:2" x14ac:dyDescent="0.25">
      <c r="A4709" s="307"/>
      <c r="B4709" s="307"/>
    </row>
    <row r="4710" spans="1:2" x14ac:dyDescent="0.25">
      <c r="A4710" s="307"/>
      <c r="B4710" s="307"/>
    </row>
    <row r="4711" spans="1:2" x14ac:dyDescent="0.25">
      <c r="A4711" s="307"/>
      <c r="B4711" s="307"/>
    </row>
    <row r="4712" spans="1:2" x14ac:dyDescent="0.25">
      <c r="A4712" s="307"/>
      <c r="B4712" s="307"/>
    </row>
    <row r="4713" spans="1:2" x14ac:dyDescent="0.25">
      <c r="A4713" s="307"/>
      <c r="B4713" s="307"/>
    </row>
    <row r="4714" spans="1:2" x14ac:dyDescent="0.25">
      <c r="A4714" s="307"/>
      <c r="B4714" s="307"/>
    </row>
    <row r="4715" spans="1:2" x14ac:dyDescent="0.25">
      <c r="A4715" s="307"/>
      <c r="B4715" s="307"/>
    </row>
    <row r="4716" spans="1:2" x14ac:dyDescent="0.25">
      <c r="A4716" s="307"/>
      <c r="B4716" s="307"/>
    </row>
    <row r="4717" spans="1:2" x14ac:dyDescent="0.25">
      <c r="A4717" s="307"/>
      <c r="B4717" s="307"/>
    </row>
    <row r="4718" spans="1:2" x14ac:dyDescent="0.25">
      <c r="A4718" s="307"/>
      <c r="B4718" s="307"/>
    </row>
    <row r="4719" spans="1:2" x14ac:dyDescent="0.25">
      <c r="A4719" s="307"/>
      <c r="B4719" s="307"/>
    </row>
    <row r="4720" spans="1:2" x14ac:dyDescent="0.25">
      <c r="A4720" s="307"/>
      <c r="B4720" s="307"/>
    </row>
    <row r="4721" spans="1:2" x14ac:dyDescent="0.25">
      <c r="A4721" s="307"/>
      <c r="B4721" s="307"/>
    </row>
    <row r="4722" spans="1:2" x14ac:dyDescent="0.25">
      <c r="A4722" s="307"/>
      <c r="B4722" s="307"/>
    </row>
    <row r="4723" spans="1:2" x14ac:dyDescent="0.25">
      <c r="A4723" s="307"/>
      <c r="B4723" s="307"/>
    </row>
    <row r="4724" spans="1:2" x14ac:dyDescent="0.25">
      <c r="A4724" s="307"/>
      <c r="B4724" s="307"/>
    </row>
    <row r="4725" spans="1:2" x14ac:dyDescent="0.25">
      <c r="A4725" s="307"/>
      <c r="B4725" s="307"/>
    </row>
    <row r="4726" spans="1:2" x14ac:dyDescent="0.25">
      <c r="A4726" s="307"/>
      <c r="B4726" s="307"/>
    </row>
    <row r="4727" spans="1:2" x14ac:dyDescent="0.25">
      <c r="A4727" s="307"/>
      <c r="B4727" s="307"/>
    </row>
    <row r="4728" spans="1:2" x14ac:dyDescent="0.25">
      <c r="A4728" s="307"/>
      <c r="B4728" s="307"/>
    </row>
    <row r="4729" spans="1:2" x14ac:dyDescent="0.25">
      <c r="A4729" s="307"/>
      <c r="B4729" s="307"/>
    </row>
    <row r="4730" spans="1:2" x14ac:dyDescent="0.25">
      <c r="A4730" s="307"/>
      <c r="B4730" s="307"/>
    </row>
    <row r="4731" spans="1:2" x14ac:dyDescent="0.25">
      <c r="A4731" s="307"/>
      <c r="B4731" s="307"/>
    </row>
    <row r="4732" spans="1:2" x14ac:dyDescent="0.25">
      <c r="A4732" s="307"/>
      <c r="B4732" s="307"/>
    </row>
    <row r="4733" spans="1:2" x14ac:dyDescent="0.25">
      <c r="A4733" s="307"/>
      <c r="B4733" s="307"/>
    </row>
    <row r="4734" spans="1:2" x14ac:dyDescent="0.25">
      <c r="A4734" s="307"/>
      <c r="B4734" s="307"/>
    </row>
    <row r="4735" spans="1:2" x14ac:dyDescent="0.25">
      <c r="A4735" s="307"/>
      <c r="B4735" s="307"/>
    </row>
    <row r="4736" spans="1:2" x14ac:dyDescent="0.25">
      <c r="A4736" s="307"/>
      <c r="B4736" s="307"/>
    </row>
    <row r="4737" spans="1:2" x14ac:dyDescent="0.25">
      <c r="A4737" s="307"/>
      <c r="B4737" s="307"/>
    </row>
    <row r="4738" spans="1:2" x14ac:dyDescent="0.25">
      <c r="A4738" s="307"/>
      <c r="B4738" s="307"/>
    </row>
    <row r="4739" spans="1:2" x14ac:dyDescent="0.25">
      <c r="A4739" s="307"/>
      <c r="B4739" s="307"/>
    </row>
    <row r="4740" spans="1:2" x14ac:dyDescent="0.25">
      <c r="A4740" s="307"/>
      <c r="B4740" s="307"/>
    </row>
    <row r="4741" spans="1:2" x14ac:dyDescent="0.25">
      <c r="A4741" s="307"/>
      <c r="B4741" s="307"/>
    </row>
    <row r="4742" spans="1:2" x14ac:dyDescent="0.25">
      <c r="A4742" s="307"/>
      <c r="B4742" s="307"/>
    </row>
    <row r="4743" spans="1:2" x14ac:dyDescent="0.25">
      <c r="A4743" s="307"/>
      <c r="B4743" s="307"/>
    </row>
    <row r="4744" spans="1:2" x14ac:dyDescent="0.25">
      <c r="A4744" s="307"/>
      <c r="B4744" s="307"/>
    </row>
    <row r="4745" spans="1:2" x14ac:dyDescent="0.25">
      <c r="A4745" s="307"/>
      <c r="B4745" s="307"/>
    </row>
    <row r="4746" spans="1:2" x14ac:dyDescent="0.25">
      <c r="A4746" s="307"/>
      <c r="B4746" s="307"/>
    </row>
    <row r="4747" spans="1:2" x14ac:dyDescent="0.25">
      <c r="A4747" s="307"/>
      <c r="B4747" s="307"/>
    </row>
    <row r="4748" spans="1:2" x14ac:dyDescent="0.25">
      <c r="A4748" s="307"/>
      <c r="B4748" s="307"/>
    </row>
    <row r="4749" spans="1:2" x14ac:dyDescent="0.25">
      <c r="A4749" s="307"/>
      <c r="B4749" s="307"/>
    </row>
    <row r="4750" spans="1:2" x14ac:dyDescent="0.25">
      <c r="A4750" s="307"/>
      <c r="B4750" s="307"/>
    </row>
    <row r="4751" spans="1:2" x14ac:dyDescent="0.25">
      <c r="A4751" s="307"/>
      <c r="B4751" s="307"/>
    </row>
    <row r="4752" spans="1:2" x14ac:dyDescent="0.25">
      <c r="A4752" s="307"/>
      <c r="B4752" s="307"/>
    </row>
    <row r="4753" spans="1:2" x14ac:dyDescent="0.25">
      <c r="A4753" s="307"/>
      <c r="B4753" s="307"/>
    </row>
    <row r="4754" spans="1:2" x14ac:dyDescent="0.25">
      <c r="A4754" s="307"/>
      <c r="B4754" s="307"/>
    </row>
    <row r="4755" spans="1:2" x14ac:dyDescent="0.25">
      <c r="A4755" s="307"/>
      <c r="B4755" s="307"/>
    </row>
    <row r="4756" spans="1:2" x14ac:dyDescent="0.25">
      <c r="A4756" s="307"/>
      <c r="B4756" s="307"/>
    </row>
    <row r="4757" spans="1:2" x14ac:dyDescent="0.25">
      <c r="A4757" s="307"/>
      <c r="B4757" s="307"/>
    </row>
    <row r="4758" spans="1:2" x14ac:dyDescent="0.25">
      <c r="A4758" s="307"/>
      <c r="B4758" s="307"/>
    </row>
    <row r="4759" spans="1:2" x14ac:dyDescent="0.25">
      <c r="A4759" s="307"/>
      <c r="B4759" s="307"/>
    </row>
    <row r="4760" spans="1:2" x14ac:dyDescent="0.25">
      <c r="A4760" s="307"/>
      <c r="B4760" s="307"/>
    </row>
    <row r="4761" spans="1:2" x14ac:dyDescent="0.25">
      <c r="A4761" s="307"/>
      <c r="B4761" s="307"/>
    </row>
    <row r="4762" spans="1:2" x14ac:dyDescent="0.25">
      <c r="A4762" s="307"/>
      <c r="B4762" s="307"/>
    </row>
    <row r="4763" spans="1:2" x14ac:dyDescent="0.25">
      <c r="A4763" s="307"/>
      <c r="B4763" s="307"/>
    </row>
    <row r="4764" spans="1:2" x14ac:dyDescent="0.25">
      <c r="A4764" s="307"/>
      <c r="B4764" s="307"/>
    </row>
    <row r="4765" spans="1:2" x14ac:dyDescent="0.25">
      <c r="A4765" s="307"/>
      <c r="B4765" s="307"/>
    </row>
    <row r="4766" spans="1:2" x14ac:dyDescent="0.25">
      <c r="A4766" s="307"/>
      <c r="B4766" s="307"/>
    </row>
    <row r="4767" spans="1:2" x14ac:dyDescent="0.25">
      <c r="A4767" s="307"/>
      <c r="B4767" s="307"/>
    </row>
    <row r="4768" spans="1:2" x14ac:dyDescent="0.25">
      <c r="A4768" s="307"/>
      <c r="B4768" s="307"/>
    </row>
    <row r="4769" spans="1:2" x14ac:dyDescent="0.25">
      <c r="A4769" s="307"/>
      <c r="B4769" s="307"/>
    </row>
    <row r="4770" spans="1:2" x14ac:dyDescent="0.25">
      <c r="A4770" s="307"/>
      <c r="B4770" s="307"/>
    </row>
    <row r="4771" spans="1:2" x14ac:dyDescent="0.25">
      <c r="A4771" s="307"/>
      <c r="B4771" s="307"/>
    </row>
    <row r="4772" spans="1:2" x14ac:dyDescent="0.25">
      <c r="A4772" s="307"/>
      <c r="B4772" s="307"/>
    </row>
    <row r="4773" spans="1:2" x14ac:dyDescent="0.25">
      <c r="A4773" s="307"/>
      <c r="B4773" s="307"/>
    </row>
    <row r="4774" spans="1:2" x14ac:dyDescent="0.25">
      <c r="A4774" s="307"/>
      <c r="B4774" s="307"/>
    </row>
    <row r="4775" spans="1:2" x14ac:dyDescent="0.25">
      <c r="A4775" s="307"/>
      <c r="B4775" s="307"/>
    </row>
    <row r="4776" spans="1:2" x14ac:dyDescent="0.25">
      <c r="A4776" s="307"/>
      <c r="B4776" s="307"/>
    </row>
    <row r="4777" spans="1:2" x14ac:dyDescent="0.25">
      <c r="A4777" s="307"/>
      <c r="B4777" s="307"/>
    </row>
    <row r="4778" spans="1:2" x14ac:dyDescent="0.25">
      <c r="A4778" s="307"/>
      <c r="B4778" s="307"/>
    </row>
    <row r="4779" spans="1:2" x14ac:dyDescent="0.25">
      <c r="A4779" s="307"/>
      <c r="B4779" s="307"/>
    </row>
    <row r="4780" spans="1:2" x14ac:dyDescent="0.25">
      <c r="A4780" s="307"/>
      <c r="B4780" s="307"/>
    </row>
    <row r="4781" spans="1:2" x14ac:dyDescent="0.25">
      <c r="A4781" s="307"/>
      <c r="B4781" s="307"/>
    </row>
    <row r="4782" spans="1:2" x14ac:dyDescent="0.25">
      <c r="A4782" s="307"/>
      <c r="B4782" s="307"/>
    </row>
    <row r="4783" spans="1:2" x14ac:dyDescent="0.25">
      <c r="A4783" s="307"/>
      <c r="B4783" s="307"/>
    </row>
    <row r="4784" spans="1:2" x14ac:dyDescent="0.25">
      <c r="A4784" s="307"/>
      <c r="B4784" s="307"/>
    </row>
    <row r="4785" spans="1:2" x14ac:dyDescent="0.25">
      <c r="A4785" s="307"/>
      <c r="B4785" s="307"/>
    </row>
    <row r="4786" spans="1:2" x14ac:dyDescent="0.25">
      <c r="A4786" s="307"/>
      <c r="B4786" s="307"/>
    </row>
    <row r="4787" spans="1:2" x14ac:dyDescent="0.25">
      <c r="A4787" s="307"/>
      <c r="B4787" s="307"/>
    </row>
    <row r="4788" spans="1:2" x14ac:dyDescent="0.25">
      <c r="A4788" s="307"/>
      <c r="B4788" s="307"/>
    </row>
    <row r="4789" spans="1:2" x14ac:dyDescent="0.25">
      <c r="A4789" s="307"/>
      <c r="B4789" s="307"/>
    </row>
    <row r="4790" spans="1:2" x14ac:dyDescent="0.25">
      <c r="A4790" s="307"/>
      <c r="B4790" s="307"/>
    </row>
    <row r="4791" spans="1:2" x14ac:dyDescent="0.25">
      <c r="A4791" s="307"/>
      <c r="B4791" s="307"/>
    </row>
    <row r="4792" spans="1:2" x14ac:dyDescent="0.25">
      <c r="A4792" s="307"/>
      <c r="B4792" s="307"/>
    </row>
    <row r="4793" spans="1:2" x14ac:dyDescent="0.25">
      <c r="A4793" s="307"/>
      <c r="B4793" s="307"/>
    </row>
    <row r="4794" spans="1:2" x14ac:dyDescent="0.25">
      <c r="A4794" s="307"/>
      <c r="B4794" s="307"/>
    </row>
    <row r="4795" spans="1:2" x14ac:dyDescent="0.25">
      <c r="A4795" s="307"/>
      <c r="B4795" s="307"/>
    </row>
    <row r="4796" spans="1:2" x14ac:dyDescent="0.25">
      <c r="A4796" s="307"/>
      <c r="B4796" s="307"/>
    </row>
    <row r="4797" spans="1:2" x14ac:dyDescent="0.25">
      <c r="A4797" s="307"/>
      <c r="B4797" s="307"/>
    </row>
    <row r="4798" spans="1:2" x14ac:dyDescent="0.25">
      <c r="A4798" s="307"/>
      <c r="B4798" s="307"/>
    </row>
    <row r="4799" spans="1:2" x14ac:dyDescent="0.25">
      <c r="A4799" s="307"/>
      <c r="B4799" s="307"/>
    </row>
    <row r="4800" spans="1:2" x14ac:dyDescent="0.25">
      <c r="A4800" s="307"/>
      <c r="B4800" s="307"/>
    </row>
    <row r="4801" spans="1:2" x14ac:dyDescent="0.25">
      <c r="A4801" s="307"/>
      <c r="B4801" s="307"/>
    </row>
    <row r="4802" spans="1:2" x14ac:dyDescent="0.25">
      <c r="A4802" s="307"/>
      <c r="B4802" s="307"/>
    </row>
    <row r="4803" spans="1:2" x14ac:dyDescent="0.25">
      <c r="A4803" s="307"/>
      <c r="B4803" s="307"/>
    </row>
    <row r="4804" spans="1:2" x14ac:dyDescent="0.25">
      <c r="A4804" s="307"/>
      <c r="B4804" s="307"/>
    </row>
    <row r="4805" spans="1:2" x14ac:dyDescent="0.25">
      <c r="A4805" s="307"/>
      <c r="B4805" s="307"/>
    </row>
    <row r="4806" spans="1:2" x14ac:dyDescent="0.25">
      <c r="A4806" s="307"/>
      <c r="B4806" s="307"/>
    </row>
    <row r="4807" spans="1:2" x14ac:dyDescent="0.25">
      <c r="A4807" s="307"/>
      <c r="B4807" s="307"/>
    </row>
    <row r="4808" spans="1:2" x14ac:dyDescent="0.25">
      <c r="A4808" s="307"/>
      <c r="B4808" s="307"/>
    </row>
    <row r="4809" spans="1:2" x14ac:dyDescent="0.25">
      <c r="A4809" s="307"/>
      <c r="B4809" s="307"/>
    </row>
    <row r="4810" spans="1:2" x14ac:dyDescent="0.25">
      <c r="A4810" s="307"/>
      <c r="B4810" s="307"/>
    </row>
    <row r="4811" spans="1:2" x14ac:dyDescent="0.25">
      <c r="A4811" s="307"/>
      <c r="B4811" s="307"/>
    </row>
    <row r="4812" spans="1:2" x14ac:dyDescent="0.25">
      <c r="A4812" s="307"/>
      <c r="B4812" s="307"/>
    </row>
    <row r="4813" spans="1:2" x14ac:dyDescent="0.25">
      <c r="A4813" s="307"/>
      <c r="B4813" s="307"/>
    </row>
    <row r="4814" spans="1:2" x14ac:dyDescent="0.25">
      <c r="A4814" s="307"/>
      <c r="B4814" s="307"/>
    </row>
    <row r="4815" spans="1:2" x14ac:dyDescent="0.25">
      <c r="A4815" s="307"/>
      <c r="B4815" s="307"/>
    </row>
    <row r="4816" spans="1:2" x14ac:dyDescent="0.25">
      <c r="A4816" s="307"/>
      <c r="B4816" s="307"/>
    </row>
    <row r="4817" spans="1:2" x14ac:dyDescent="0.25">
      <c r="A4817" s="307"/>
      <c r="B4817" s="307"/>
    </row>
    <row r="4818" spans="1:2" x14ac:dyDescent="0.25">
      <c r="A4818" s="307"/>
      <c r="B4818" s="307"/>
    </row>
    <row r="4819" spans="1:2" x14ac:dyDescent="0.25">
      <c r="A4819" s="307"/>
      <c r="B4819" s="307"/>
    </row>
    <row r="4820" spans="1:2" x14ac:dyDescent="0.25">
      <c r="A4820" s="307"/>
      <c r="B4820" s="307"/>
    </row>
    <row r="4821" spans="1:2" x14ac:dyDescent="0.25">
      <c r="A4821" s="307"/>
      <c r="B4821" s="307"/>
    </row>
    <row r="4822" spans="1:2" x14ac:dyDescent="0.25">
      <c r="A4822" s="307"/>
      <c r="B4822" s="307"/>
    </row>
    <row r="4823" spans="1:2" x14ac:dyDescent="0.25">
      <c r="A4823" s="307"/>
      <c r="B4823" s="307"/>
    </row>
    <row r="4824" spans="1:2" x14ac:dyDescent="0.25">
      <c r="A4824" s="307"/>
      <c r="B4824" s="307"/>
    </row>
    <row r="4825" spans="1:2" x14ac:dyDescent="0.25">
      <c r="A4825" s="307"/>
      <c r="B4825" s="307"/>
    </row>
    <row r="4826" spans="1:2" x14ac:dyDescent="0.25">
      <c r="A4826" s="307"/>
      <c r="B4826" s="307"/>
    </row>
    <row r="4827" spans="1:2" x14ac:dyDescent="0.25">
      <c r="A4827" s="307"/>
      <c r="B4827" s="307"/>
    </row>
    <row r="4828" spans="1:2" x14ac:dyDescent="0.25">
      <c r="A4828" s="307"/>
      <c r="B4828" s="307"/>
    </row>
    <row r="4829" spans="1:2" x14ac:dyDescent="0.25">
      <c r="A4829" s="307"/>
      <c r="B4829" s="307"/>
    </row>
    <row r="4830" spans="1:2" x14ac:dyDescent="0.25">
      <c r="A4830" s="307"/>
      <c r="B4830" s="307"/>
    </row>
    <row r="4831" spans="1:2" x14ac:dyDescent="0.25">
      <c r="A4831" s="307"/>
      <c r="B4831" s="307"/>
    </row>
    <row r="4832" spans="1:2" x14ac:dyDescent="0.25">
      <c r="A4832" s="307"/>
      <c r="B4832" s="307"/>
    </row>
    <row r="4833" spans="1:2" x14ac:dyDescent="0.25">
      <c r="A4833" s="307"/>
      <c r="B4833" s="307"/>
    </row>
    <row r="4834" spans="1:2" x14ac:dyDescent="0.25">
      <c r="A4834" s="307"/>
      <c r="B4834" s="307"/>
    </row>
    <row r="4835" spans="1:2" x14ac:dyDescent="0.25">
      <c r="A4835" s="307"/>
      <c r="B4835" s="307"/>
    </row>
    <row r="4836" spans="1:2" x14ac:dyDescent="0.25">
      <c r="A4836" s="307"/>
      <c r="B4836" s="307"/>
    </row>
    <row r="4837" spans="1:2" x14ac:dyDescent="0.25">
      <c r="A4837" s="307"/>
      <c r="B4837" s="307"/>
    </row>
    <row r="4838" spans="1:2" x14ac:dyDescent="0.25">
      <c r="A4838" s="307"/>
      <c r="B4838" s="307"/>
    </row>
    <row r="4839" spans="1:2" x14ac:dyDescent="0.25">
      <c r="A4839" s="307"/>
      <c r="B4839" s="307"/>
    </row>
    <row r="4840" spans="1:2" x14ac:dyDescent="0.25">
      <c r="A4840" s="307"/>
      <c r="B4840" s="307"/>
    </row>
    <row r="4841" spans="1:2" x14ac:dyDescent="0.25">
      <c r="A4841" s="307"/>
      <c r="B4841" s="307"/>
    </row>
    <row r="4842" spans="1:2" x14ac:dyDescent="0.25">
      <c r="A4842" s="307"/>
      <c r="B4842" s="307"/>
    </row>
    <row r="4843" spans="1:2" x14ac:dyDescent="0.25">
      <c r="A4843" s="307"/>
      <c r="B4843" s="307"/>
    </row>
    <row r="4844" spans="1:2" x14ac:dyDescent="0.25">
      <c r="A4844" s="307"/>
      <c r="B4844" s="307"/>
    </row>
    <row r="4845" spans="1:2" x14ac:dyDescent="0.25">
      <c r="A4845" s="307"/>
      <c r="B4845" s="307"/>
    </row>
    <row r="4846" spans="1:2" x14ac:dyDescent="0.25">
      <c r="A4846" s="307"/>
      <c r="B4846" s="307"/>
    </row>
    <row r="4847" spans="1:2" x14ac:dyDescent="0.25">
      <c r="A4847" s="307"/>
      <c r="B4847" s="307"/>
    </row>
    <row r="4848" spans="1:2" x14ac:dyDescent="0.25">
      <c r="A4848" s="307"/>
      <c r="B4848" s="307"/>
    </row>
    <row r="4849" spans="1:2" x14ac:dyDescent="0.25">
      <c r="A4849" s="307"/>
      <c r="B4849" s="307"/>
    </row>
    <row r="4850" spans="1:2" x14ac:dyDescent="0.25">
      <c r="A4850" s="307"/>
      <c r="B4850" s="307"/>
    </row>
    <row r="4851" spans="1:2" x14ac:dyDescent="0.25">
      <c r="A4851" s="307"/>
      <c r="B4851" s="307"/>
    </row>
    <row r="4852" spans="1:2" x14ac:dyDescent="0.25">
      <c r="A4852" s="307"/>
      <c r="B4852" s="307"/>
    </row>
    <row r="4853" spans="1:2" x14ac:dyDescent="0.25">
      <c r="A4853" s="307"/>
      <c r="B4853" s="307"/>
    </row>
    <row r="4854" spans="1:2" x14ac:dyDescent="0.25">
      <c r="A4854" s="307"/>
      <c r="B4854" s="307"/>
    </row>
    <row r="4855" spans="1:2" x14ac:dyDescent="0.25">
      <c r="A4855" s="307"/>
      <c r="B4855" s="307"/>
    </row>
    <row r="4856" spans="1:2" x14ac:dyDescent="0.25">
      <c r="A4856" s="307"/>
      <c r="B4856" s="307"/>
    </row>
    <row r="4857" spans="1:2" x14ac:dyDescent="0.25">
      <c r="A4857" s="307"/>
      <c r="B4857" s="307"/>
    </row>
    <row r="4858" spans="1:2" x14ac:dyDescent="0.25">
      <c r="A4858" s="307"/>
      <c r="B4858" s="307"/>
    </row>
    <row r="4859" spans="1:2" x14ac:dyDescent="0.25">
      <c r="A4859" s="307"/>
      <c r="B4859" s="307"/>
    </row>
    <row r="4860" spans="1:2" x14ac:dyDescent="0.25">
      <c r="A4860" s="307"/>
      <c r="B4860" s="307"/>
    </row>
    <row r="4861" spans="1:2" x14ac:dyDescent="0.25">
      <c r="A4861" s="307"/>
      <c r="B4861" s="307"/>
    </row>
    <row r="4862" spans="1:2" x14ac:dyDescent="0.25">
      <c r="A4862" s="307"/>
      <c r="B4862" s="307"/>
    </row>
    <row r="4863" spans="1:2" x14ac:dyDescent="0.25">
      <c r="A4863" s="307"/>
      <c r="B4863" s="307"/>
    </row>
    <row r="4864" spans="1:2" x14ac:dyDescent="0.25">
      <c r="A4864" s="307"/>
      <c r="B4864" s="307"/>
    </row>
    <row r="4865" spans="1:2" x14ac:dyDescent="0.25">
      <c r="A4865" s="307"/>
      <c r="B4865" s="307"/>
    </row>
    <row r="4866" spans="1:2" x14ac:dyDescent="0.25">
      <c r="A4866" s="307"/>
      <c r="B4866" s="307"/>
    </row>
    <row r="4867" spans="1:2" x14ac:dyDescent="0.25">
      <c r="A4867" s="307"/>
      <c r="B4867" s="307"/>
    </row>
    <row r="4868" spans="1:2" x14ac:dyDescent="0.25">
      <c r="A4868" s="307"/>
      <c r="B4868" s="307"/>
    </row>
    <row r="4869" spans="1:2" x14ac:dyDescent="0.25">
      <c r="A4869" s="307"/>
      <c r="B4869" s="307"/>
    </row>
    <row r="4870" spans="1:2" x14ac:dyDescent="0.25">
      <c r="A4870" s="307"/>
      <c r="B4870" s="307"/>
    </row>
    <row r="4871" spans="1:2" x14ac:dyDescent="0.25">
      <c r="A4871" s="307"/>
      <c r="B4871" s="307"/>
    </row>
    <row r="4872" spans="1:2" x14ac:dyDescent="0.25">
      <c r="A4872" s="307"/>
      <c r="B4872" s="307"/>
    </row>
    <row r="4873" spans="1:2" x14ac:dyDescent="0.25">
      <c r="A4873" s="307"/>
      <c r="B4873" s="307"/>
    </row>
    <row r="4874" spans="1:2" x14ac:dyDescent="0.25">
      <c r="A4874" s="307"/>
      <c r="B4874" s="307"/>
    </row>
    <row r="4875" spans="1:2" x14ac:dyDescent="0.25">
      <c r="A4875" s="307"/>
      <c r="B4875" s="307"/>
    </row>
    <row r="4876" spans="1:2" x14ac:dyDescent="0.25">
      <c r="A4876" s="307"/>
      <c r="B4876" s="307"/>
    </row>
    <row r="4877" spans="1:2" x14ac:dyDescent="0.25">
      <c r="A4877" s="307"/>
      <c r="B4877" s="307"/>
    </row>
    <row r="4878" spans="1:2" x14ac:dyDescent="0.25">
      <c r="A4878" s="307"/>
      <c r="B4878" s="307"/>
    </row>
    <row r="4879" spans="1:2" x14ac:dyDescent="0.25">
      <c r="A4879" s="307"/>
      <c r="B4879" s="307"/>
    </row>
    <row r="4880" spans="1:2" x14ac:dyDescent="0.25">
      <c r="A4880" s="307"/>
      <c r="B4880" s="307"/>
    </row>
    <row r="4881" spans="1:2" x14ac:dyDescent="0.25">
      <c r="A4881" s="307"/>
      <c r="B4881" s="307"/>
    </row>
    <row r="4882" spans="1:2" x14ac:dyDescent="0.25">
      <c r="A4882" s="307"/>
      <c r="B4882" s="307"/>
    </row>
    <row r="4883" spans="1:2" x14ac:dyDescent="0.25">
      <c r="A4883" s="307"/>
      <c r="B4883" s="307"/>
    </row>
    <row r="4884" spans="1:2" x14ac:dyDescent="0.25">
      <c r="A4884" s="307"/>
      <c r="B4884" s="307"/>
    </row>
    <row r="4885" spans="1:2" x14ac:dyDescent="0.25">
      <c r="A4885" s="307"/>
      <c r="B4885" s="307"/>
    </row>
    <row r="4886" spans="1:2" x14ac:dyDescent="0.25">
      <c r="A4886" s="307"/>
      <c r="B4886" s="307"/>
    </row>
    <row r="4887" spans="1:2" x14ac:dyDescent="0.25">
      <c r="A4887" s="307"/>
      <c r="B4887" s="307"/>
    </row>
    <row r="4888" spans="1:2" x14ac:dyDescent="0.25">
      <c r="A4888" s="307"/>
      <c r="B4888" s="307"/>
    </row>
    <row r="4889" spans="1:2" x14ac:dyDescent="0.25">
      <c r="A4889" s="307"/>
      <c r="B4889" s="307"/>
    </row>
    <row r="4890" spans="1:2" x14ac:dyDescent="0.25">
      <c r="A4890" s="307"/>
      <c r="B4890" s="307"/>
    </row>
    <row r="4891" spans="1:2" x14ac:dyDescent="0.25">
      <c r="A4891" s="307"/>
      <c r="B4891" s="307"/>
    </row>
    <row r="4892" spans="1:2" x14ac:dyDescent="0.25">
      <c r="A4892" s="307"/>
      <c r="B4892" s="307"/>
    </row>
    <row r="4893" spans="1:2" x14ac:dyDescent="0.25">
      <c r="A4893" s="307"/>
      <c r="B4893" s="307"/>
    </row>
    <row r="4894" spans="1:2" x14ac:dyDescent="0.25">
      <c r="A4894" s="307"/>
      <c r="B4894" s="307"/>
    </row>
    <row r="4895" spans="1:2" x14ac:dyDescent="0.25">
      <c r="A4895" s="307"/>
      <c r="B4895" s="307"/>
    </row>
    <row r="4896" spans="1:2" x14ac:dyDescent="0.25">
      <c r="A4896" s="307"/>
      <c r="B4896" s="307"/>
    </row>
    <row r="4897" spans="1:2" x14ac:dyDescent="0.25">
      <c r="A4897" s="307"/>
      <c r="B4897" s="307"/>
    </row>
    <row r="4898" spans="1:2" x14ac:dyDescent="0.25">
      <c r="A4898" s="307"/>
      <c r="B4898" s="307"/>
    </row>
    <row r="4899" spans="1:2" x14ac:dyDescent="0.25">
      <c r="A4899" s="307"/>
      <c r="B4899" s="307"/>
    </row>
    <row r="4900" spans="1:2" x14ac:dyDescent="0.25">
      <c r="A4900" s="307"/>
      <c r="B4900" s="307"/>
    </row>
    <row r="4901" spans="1:2" x14ac:dyDescent="0.25">
      <c r="A4901" s="307"/>
      <c r="B4901" s="307"/>
    </row>
    <row r="4902" spans="1:2" x14ac:dyDescent="0.25">
      <c r="A4902" s="307"/>
      <c r="B4902" s="307"/>
    </row>
    <row r="4903" spans="1:2" x14ac:dyDescent="0.25">
      <c r="A4903" s="307"/>
      <c r="B4903" s="307"/>
    </row>
    <row r="4904" spans="1:2" x14ac:dyDescent="0.25">
      <c r="A4904" s="307"/>
      <c r="B4904" s="307"/>
    </row>
    <row r="4905" spans="1:2" x14ac:dyDescent="0.25">
      <c r="A4905" s="307"/>
      <c r="B4905" s="307"/>
    </row>
    <row r="4906" spans="1:2" x14ac:dyDescent="0.25">
      <c r="A4906" s="307"/>
      <c r="B4906" s="307"/>
    </row>
    <row r="4907" spans="1:2" x14ac:dyDescent="0.25">
      <c r="A4907" s="307"/>
      <c r="B4907" s="307"/>
    </row>
    <row r="4908" spans="1:2" x14ac:dyDescent="0.25">
      <c r="A4908" s="307"/>
      <c r="B4908" s="307"/>
    </row>
    <row r="4909" spans="1:2" x14ac:dyDescent="0.25">
      <c r="A4909" s="307"/>
      <c r="B4909" s="307"/>
    </row>
    <row r="4910" spans="1:2" x14ac:dyDescent="0.25">
      <c r="A4910" s="307"/>
      <c r="B4910" s="307"/>
    </row>
    <row r="4911" spans="1:2" x14ac:dyDescent="0.25">
      <c r="A4911" s="307"/>
      <c r="B4911" s="307"/>
    </row>
    <row r="4912" spans="1:2" x14ac:dyDescent="0.25">
      <c r="A4912" s="307"/>
      <c r="B4912" s="307"/>
    </row>
    <row r="4913" spans="1:2" x14ac:dyDescent="0.25">
      <c r="A4913" s="307"/>
      <c r="B4913" s="307"/>
    </row>
    <row r="4914" spans="1:2" x14ac:dyDescent="0.25">
      <c r="A4914" s="307"/>
      <c r="B4914" s="307"/>
    </row>
    <row r="4915" spans="1:2" x14ac:dyDescent="0.25">
      <c r="A4915" s="307"/>
      <c r="B4915" s="307"/>
    </row>
    <row r="4916" spans="1:2" x14ac:dyDescent="0.25">
      <c r="A4916" s="307"/>
      <c r="B4916" s="307"/>
    </row>
    <row r="4917" spans="1:2" x14ac:dyDescent="0.25">
      <c r="A4917" s="307"/>
      <c r="B4917" s="307"/>
    </row>
    <row r="4918" spans="1:2" x14ac:dyDescent="0.25">
      <c r="A4918" s="307"/>
      <c r="B4918" s="307"/>
    </row>
    <row r="4919" spans="1:2" x14ac:dyDescent="0.25">
      <c r="A4919" s="307"/>
      <c r="B4919" s="307"/>
    </row>
    <row r="4920" spans="1:2" x14ac:dyDescent="0.25">
      <c r="A4920" s="307"/>
      <c r="B4920" s="307"/>
    </row>
    <row r="4921" spans="1:2" x14ac:dyDescent="0.25">
      <c r="A4921" s="307"/>
      <c r="B4921" s="307"/>
    </row>
    <row r="4922" spans="1:2" x14ac:dyDescent="0.25">
      <c r="A4922" s="307"/>
      <c r="B4922" s="307"/>
    </row>
    <row r="4923" spans="1:2" x14ac:dyDescent="0.25">
      <c r="A4923" s="307"/>
      <c r="B4923" s="307"/>
    </row>
    <row r="4924" spans="1:2" x14ac:dyDescent="0.25">
      <c r="A4924" s="307"/>
      <c r="B4924" s="307"/>
    </row>
    <row r="4925" spans="1:2" x14ac:dyDescent="0.25">
      <c r="A4925" s="307"/>
      <c r="B4925" s="307"/>
    </row>
    <row r="4926" spans="1:2" x14ac:dyDescent="0.25">
      <c r="A4926" s="307"/>
      <c r="B4926" s="307"/>
    </row>
    <row r="4927" spans="1:2" x14ac:dyDescent="0.25">
      <c r="A4927" s="307"/>
      <c r="B4927" s="307"/>
    </row>
    <row r="4928" spans="1:2" x14ac:dyDescent="0.25">
      <c r="A4928" s="307"/>
      <c r="B4928" s="307"/>
    </row>
    <row r="4929" spans="1:2" x14ac:dyDescent="0.25">
      <c r="A4929" s="307"/>
      <c r="B4929" s="307"/>
    </row>
    <row r="4930" spans="1:2" x14ac:dyDescent="0.25">
      <c r="A4930" s="307"/>
      <c r="B4930" s="307"/>
    </row>
    <row r="4931" spans="1:2" x14ac:dyDescent="0.25">
      <c r="A4931" s="307"/>
      <c r="B4931" s="307"/>
    </row>
    <row r="4932" spans="1:2" x14ac:dyDescent="0.25">
      <c r="A4932" s="307"/>
      <c r="B4932" s="307"/>
    </row>
    <row r="4933" spans="1:2" x14ac:dyDescent="0.25">
      <c r="A4933" s="307"/>
      <c r="B4933" s="307"/>
    </row>
    <row r="4934" spans="1:2" x14ac:dyDescent="0.25">
      <c r="A4934" s="307"/>
      <c r="B4934" s="307"/>
    </row>
    <row r="4935" spans="1:2" x14ac:dyDescent="0.25">
      <c r="A4935" s="307"/>
      <c r="B4935" s="307"/>
    </row>
    <row r="4936" spans="1:2" x14ac:dyDescent="0.25">
      <c r="A4936" s="307"/>
      <c r="B4936" s="307"/>
    </row>
    <row r="4937" spans="1:2" x14ac:dyDescent="0.25">
      <c r="A4937" s="307"/>
      <c r="B4937" s="307"/>
    </row>
    <row r="4938" spans="1:2" x14ac:dyDescent="0.25">
      <c r="A4938" s="307"/>
      <c r="B4938" s="307"/>
    </row>
    <row r="4939" spans="1:2" x14ac:dyDescent="0.25">
      <c r="A4939" s="307"/>
      <c r="B4939" s="307"/>
    </row>
    <row r="4940" spans="1:2" x14ac:dyDescent="0.25">
      <c r="A4940" s="307"/>
      <c r="B4940" s="307"/>
    </row>
    <row r="4941" spans="1:2" x14ac:dyDescent="0.25">
      <c r="A4941" s="307"/>
      <c r="B4941" s="307"/>
    </row>
    <row r="4942" spans="1:2" x14ac:dyDescent="0.25">
      <c r="A4942" s="307"/>
      <c r="B4942" s="307"/>
    </row>
    <row r="4943" spans="1:2" x14ac:dyDescent="0.25">
      <c r="A4943" s="307"/>
      <c r="B4943" s="307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rintOptions horizontalCentered="1"/>
  <pageMargins left="0.51181102362204722" right="0.51181102362204722" top="0.47244094488188981" bottom="0.74803149606299213" header="0.31496062992125984" footer="0.31496062992125984"/>
  <pageSetup paperSize="9" scale="68" orientation="landscape" r:id="rId1"/>
  <headerFooter>
    <oddHeader>&amp;R&amp;"Times New Roman CE,Félkövér"&amp;11 3.melléklet a 24/2020.(VI.3.) önkormányzati rendelethez&amp;"Times New Roman CE,Dőlt"&amp;10
3. melléklet
az 5/2020.(II.17.) önkormányzati rendelethez</oddHeader>
  </headerFooter>
  <rowBreaks count="2" manualBreakCount="2">
    <brk id="26" max="16383" man="1"/>
    <brk id="4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37"/>
  <sheetViews>
    <sheetView view="pageBreakPreview" zoomScale="80" zoomScaleNormal="100" zoomScaleSheetLayoutView="80" workbookViewId="0">
      <pane xSplit="2" ySplit="8" topLeftCell="C16" activePane="bottomRight" state="frozen"/>
      <selection activeCell="F18" sqref="F18"/>
      <selection pane="topRight" activeCell="F18" sqref="F18"/>
      <selection pane="bottomLeft" activeCell="F18" sqref="F18"/>
      <selection pane="bottomRight" activeCell="H37" sqref="H37"/>
    </sheetView>
  </sheetViews>
  <sheetFormatPr defaultColWidth="9" defaultRowHeight="15.75" x14ac:dyDescent="0.25"/>
  <cols>
    <col min="1" max="1" width="35.75" style="72" customWidth="1"/>
    <col min="2" max="2" width="11" style="72" customWidth="1"/>
    <col min="3" max="3" width="14.75" style="252" customWidth="1"/>
    <col min="4" max="4" width="14.5" style="252" customWidth="1"/>
    <col min="5" max="5" width="15" style="252" customWidth="1"/>
    <col min="6" max="6" width="14.375" style="252" customWidth="1"/>
    <col min="7" max="7" width="14.25" style="252" customWidth="1"/>
    <col min="8" max="8" width="14.625" style="252" customWidth="1"/>
    <col min="9" max="9" width="14.75" style="252" customWidth="1"/>
    <col min="10" max="10" width="14.375" style="252" customWidth="1"/>
    <col min="11" max="11" width="14.75" style="252" customWidth="1"/>
    <col min="12" max="254" width="9" style="72"/>
    <col min="255" max="16384" width="9" style="594"/>
  </cols>
  <sheetData>
    <row r="1" spans="1:254" x14ac:dyDescent="0.25">
      <c r="A1" s="884" t="s">
        <v>181</v>
      </c>
      <c r="B1" s="884"/>
      <c r="C1" s="884"/>
      <c r="D1" s="884"/>
      <c r="E1" s="884"/>
      <c r="F1" s="884"/>
      <c r="G1" s="884"/>
      <c r="H1" s="884"/>
      <c r="I1" s="884"/>
      <c r="J1" s="884"/>
      <c r="K1" s="884"/>
    </row>
    <row r="2" spans="1:254" x14ac:dyDescent="0.25">
      <c r="A2" s="884" t="s">
        <v>797</v>
      </c>
      <c r="B2" s="884"/>
      <c r="C2" s="884"/>
      <c r="D2" s="884"/>
      <c r="E2" s="884"/>
      <c r="F2" s="884"/>
      <c r="G2" s="884"/>
      <c r="H2" s="884"/>
      <c r="I2" s="884"/>
      <c r="J2" s="884"/>
      <c r="K2" s="884"/>
    </row>
    <row r="3" spans="1:254" x14ac:dyDescent="0.25">
      <c r="A3" s="884" t="s">
        <v>863</v>
      </c>
      <c r="B3" s="884"/>
      <c r="C3" s="884"/>
      <c r="D3" s="884"/>
      <c r="E3" s="884"/>
      <c r="F3" s="884"/>
      <c r="G3" s="884"/>
      <c r="H3" s="884"/>
      <c r="I3" s="884"/>
      <c r="J3" s="884"/>
      <c r="K3" s="884"/>
    </row>
    <row r="5" spans="1:254" ht="16.5" thickBot="1" x14ac:dyDescent="0.3"/>
    <row r="6" spans="1:254" ht="46.5" customHeight="1" thickTop="1" thickBot="1" x14ac:dyDescent="0.3">
      <c r="A6" s="892" t="s">
        <v>137</v>
      </c>
      <c r="B6" s="892" t="s">
        <v>154</v>
      </c>
      <c r="C6" s="877" t="s">
        <v>22</v>
      </c>
      <c r="D6" s="878"/>
      <c r="E6" s="879"/>
      <c r="F6" s="886" t="s">
        <v>182</v>
      </c>
      <c r="G6" s="887"/>
      <c r="H6" s="888"/>
      <c r="I6" s="894" t="s">
        <v>144</v>
      </c>
      <c r="J6" s="895"/>
      <c r="K6" s="896"/>
      <c r="L6" s="311"/>
      <c r="M6" s="311"/>
      <c r="N6" s="311"/>
      <c r="O6" s="311"/>
      <c r="P6" s="311"/>
      <c r="Q6" s="311"/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  <c r="AD6" s="311"/>
      <c r="AE6" s="311"/>
      <c r="AF6" s="311"/>
      <c r="AG6" s="311"/>
      <c r="AH6" s="311"/>
      <c r="AI6" s="311"/>
      <c r="AJ6" s="311"/>
      <c r="AK6" s="311"/>
      <c r="AL6" s="311"/>
      <c r="AM6" s="311"/>
      <c r="AN6" s="311"/>
      <c r="AO6" s="311"/>
      <c r="AP6" s="311"/>
      <c r="AQ6" s="311"/>
      <c r="AR6" s="311"/>
      <c r="AS6" s="311"/>
      <c r="AT6" s="311"/>
      <c r="AU6" s="311"/>
      <c r="AV6" s="311"/>
      <c r="AW6" s="311"/>
      <c r="AX6" s="311"/>
      <c r="AY6" s="311"/>
      <c r="AZ6" s="311"/>
      <c r="BA6" s="311"/>
      <c r="BB6" s="311"/>
      <c r="BC6" s="311"/>
      <c r="BD6" s="311"/>
      <c r="BE6" s="311"/>
      <c r="BF6" s="311"/>
      <c r="BG6" s="311"/>
      <c r="BH6" s="311"/>
      <c r="BI6" s="311"/>
      <c r="BJ6" s="311"/>
      <c r="BK6" s="311"/>
      <c r="BL6" s="311"/>
      <c r="BM6" s="311"/>
      <c r="BN6" s="311"/>
      <c r="BO6" s="311"/>
      <c r="BP6" s="311"/>
      <c r="BQ6" s="311"/>
      <c r="BR6" s="311"/>
      <c r="BS6" s="311"/>
      <c r="BT6" s="311"/>
      <c r="BU6" s="311"/>
      <c r="BV6" s="311"/>
      <c r="BW6" s="311"/>
      <c r="BX6" s="311"/>
      <c r="BY6" s="311"/>
      <c r="BZ6" s="311"/>
      <c r="CA6" s="311"/>
      <c r="CB6" s="311"/>
      <c r="CC6" s="311"/>
      <c r="CD6" s="311"/>
      <c r="CE6" s="311"/>
      <c r="CF6" s="311"/>
      <c r="CG6" s="311"/>
      <c r="CH6" s="311"/>
      <c r="CI6" s="311"/>
      <c r="CJ6" s="311"/>
      <c r="CK6" s="311"/>
      <c r="CL6" s="311"/>
      <c r="CM6" s="311"/>
      <c r="CN6" s="311"/>
      <c r="CO6" s="311"/>
      <c r="CP6" s="311"/>
      <c r="CQ6" s="311"/>
      <c r="CR6" s="311"/>
      <c r="CS6" s="311"/>
      <c r="CT6" s="311"/>
      <c r="CU6" s="311"/>
      <c r="CV6" s="311"/>
      <c r="CW6" s="311"/>
      <c r="CX6" s="311"/>
      <c r="CY6" s="311"/>
      <c r="CZ6" s="311"/>
      <c r="DA6" s="311"/>
      <c r="DB6" s="311"/>
      <c r="DC6" s="311"/>
      <c r="DD6" s="311"/>
      <c r="DE6" s="311"/>
      <c r="DF6" s="311"/>
      <c r="DG6" s="311"/>
      <c r="DH6" s="311"/>
      <c r="DI6" s="311"/>
      <c r="DJ6" s="311"/>
      <c r="DK6" s="311"/>
      <c r="DL6" s="311"/>
      <c r="DM6" s="311"/>
      <c r="DN6" s="311"/>
      <c r="DO6" s="311"/>
      <c r="DP6" s="311"/>
      <c r="DQ6" s="311"/>
      <c r="DR6" s="311"/>
      <c r="DS6" s="311"/>
      <c r="DT6" s="311"/>
      <c r="DU6" s="311"/>
      <c r="DV6" s="311"/>
      <c r="DW6" s="311"/>
      <c r="DX6" s="311"/>
      <c r="DY6" s="311"/>
      <c r="DZ6" s="311"/>
      <c r="EA6" s="311"/>
      <c r="EB6" s="311"/>
      <c r="EC6" s="311"/>
      <c r="ED6" s="311"/>
      <c r="EE6" s="311"/>
      <c r="EF6" s="311"/>
      <c r="EG6" s="311"/>
      <c r="EH6" s="311"/>
      <c r="EI6" s="311"/>
      <c r="EJ6" s="311"/>
      <c r="EK6" s="311"/>
      <c r="EL6" s="311"/>
      <c r="EM6" s="311"/>
      <c r="EN6" s="311"/>
      <c r="EO6" s="311"/>
      <c r="EP6" s="311"/>
      <c r="EQ6" s="311"/>
      <c r="ER6" s="311"/>
      <c r="ES6" s="311"/>
      <c r="ET6" s="311"/>
      <c r="EU6" s="311"/>
      <c r="EV6" s="311"/>
      <c r="EW6" s="311"/>
      <c r="EX6" s="311"/>
      <c r="EY6" s="311"/>
      <c r="EZ6" s="311"/>
      <c r="FA6" s="311"/>
      <c r="FB6" s="311"/>
      <c r="FC6" s="311"/>
      <c r="FD6" s="311"/>
      <c r="FE6" s="311"/>
      <c r="FF6" s="311"/>
      <c r="FG6" s="311"/>
      <c r="FH6" s="311"/>
      <c r="FI6" s="311"/>
      <c r="FJ6" s="311"/>
      <c r="FK6" s="311"/>
      <c r="FL6" s="311"/>
      <c r="FM6" s="311"/>
      <c r="FN6" s="311"/>
      <c r="FO6" s="311"/>
      <c r="FP6" s="311"/>
      <c r="FQ6" s="311"/>
      <c r="FR6" s="311"/>
      <c r="FS6" s="311"/>
      <c r="FT6" s="311"/>
      <c r="FU6" s="311"/>
      <c r="FV6" s="311"/>
      <c r="FW6" s="311"/>
      <c r="FX6" s="311"/>
      <c r="FY6" s="311"/>
      <c r="FZ6" s="311"/>
      <c r="GA6" s="311"/>
      <c r="GB6" s="311"/>
      <c r="GC6" s="311"/>
      <c r="GD6" s="311"/>
      <c r="GE6" s="311"/>
      <c r="GF6" s="311"/>
      <c r="GG6" s="311"/>
      <c r="GH6" s="311"/>
      <c r="GI6" s="311"/>
      <c r="GJ6" s="311"/>
      <c r="GK6" s="311"/>
      <c r="GL6" s="311"/>
      <c r="GM6" s="311"/>
      <c r="GN6" s="311"/>
      <c r="GO6" s="311"/>
      <c r="GP6" s="311"/>
      <c r="GQ6" s="311"/>
      <c r="GR6" s="311"/>
      <c r="GS6" s="311"/>
      <c r="GT6" s="311"/>
      <c r="GU6" s="311"/>
      <c r="GV6" s="311"/>
      <c r="GW6" s="311"/>
      <c r="GX6" s="311"/>
      <c r="GY6" s="311"/>
      <c r="GZ6" s="311"/>
      <c r="HA6" s="311"/>
      <c r="HB6" s="311"/>
      <c r="HC6" s="311"/>
      <c r="HD6" s="311"/>
      <c r="HE6" s="311"/>
      <c r="HF6" s="311"/>
      <c r="HG6" s="311"/>
      <c r="HH6" s="311"/>
      <c r="HI6" s="311"/>
      <c r="HJ6" s="311"/>
      <c r="HK6" s="311"/>
      <c r="HL6" s="311"/>
      <c r="HM6" s="311"/>
      <c r="HN6" s="311"/>
      <c r="HO6" s="311"/>
      <c r="HP6" s="311"/>
      <c r="HQ6" s="311"/>
      <c r="HR6" s="311"/>
      <c r="HS6" s="311"/>
      <c r="HT6" s="311"/>
      <c r="HU6" s="311"/>
      <c r="HV6" s="311"/>
      <c r="HW6" s="311"/>
      <c r="HX6" s="311"/>
      <c r="HY6" s="311"/>
      <c r="HZ6" s="311"/>
      <c r="IA6" s="311"/>
      <c r="IB6" s="311"/>
      <c r="IC6" s="311"/>
      <c r="ID6" s="311"/>
      <c r="IE6" s="311"/>
      <c r="IF6" s="311"/>
      <c r="IG6" s="311"/>
      <c r="IH6" s="311"/>
      <c r="II6" s="311"/>
      <c r="IJ6" s="311"/>
      <c r="IK6" s="311"/>
      <c r="IL6" s="311"/>
      <c r="IM6" s="311"/>
      <c r="IN6" s="311"/>
      <c r="IO6" s="311"/>
      <c r="IP6" s="311"/>
      <c r="IQ6" s="311"/>
      <c r="IR6" s="311"/>
      <c r="IS6" s="311"/>
      <c r="IT6" s="311"/>
    </row>
    <row r="7" spans="1:254" ht="33" thickTop="1" thickBot="1" x14ac:dyDescent="0.3">
      <c r="A7" s="893"/>
      <c r="B7" s="893"/>
      <c r="C7" s="582" t="s">
        <v>349</v>
      </c>
      <c r="D7" s="582" t="s">
        <v>350</v>
      </c>
      <c r="E7" s="582" t="s">
        <v>864</v>
      </c>
      <c r="F7" s="582" t="s">
        <v>349</v>
      </c>
      <c r="G7" s="582" t="s">
        <v>350</v>
      </c>
      <c r="H7" s="582" t="s">
        <v>864</v>
      </c>
      <c r="I7" s="582" t="s">
        <v>349</v>
      </c>
      <c r="J7" s="582" t="s">
        <v>350</v>
      </c>
      <c r="K7" s="582" t="s">
        <v>864</v>
      </c>
      <c r="L7" s="316"/>
      <c r="M7" s="316"/>
      <c r="N7" s="316"/>
      <c r="O7" s="316"/>
      <c r="P7" s="316"/>
      <c r="Q7" s="316"/>
      <c r="R7" s="316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  <c r="AK7" s="316"/>
      <c r="AL7" s="316"/>
      <c r="AM7" s="316"/>
      <c r="AN7" s="316"/>
      <c r="AO7" s="316"/>
      <c r="AP7" s="316"/>
      <c r="AQ7" s="316"/>
      <c r="AR7" s="316"/>
      <c r="AS7" s="316"/>
      <c r="AT7" s="316"/>
      <c r="AU7" s="316"/>
      <c r="AV7" s="316"/>
      <c r="AW7" s="316"/>
      <c r="AX7" s="316"/>
      <c r="AY7" s="316"/>
      <c r="AZ7" s="316"/>
      <c r="BA7" s="316"/>
      <c r="BB7" s="316"/>
      <c r="BC7" s="316"/>
      <c r="BD7" s="316"/>
      <c r="BE7" s="316"/>
      <c r="BF7" s="316"/>
      <c r="BG7" s="316"/>
      <c r="BH7" s="316"/>
      <c r="BI7" s="316"/>
      <c r="BJ7" s="316"/>
      <c r="BK7" s="316"/>
      <c r="BL7" s="316"/>
      <c r="BM7" s="316"/>
      <c r="BN7" s="316"/>
      <c r="BO7" s="316"/>
      <c r="BP7" s="316"/>
      <c r="BQ7" s="316"/>
      <c r="BR7" s="316"/>
      <c r="BS7" s="316"/>
      <c r="BT7" s="316"/>
      <c r="BU7" s="316"/>
      <c r="BV7" s="316"/>
      <c r="BW7" s="316"/>
      <c r="BX7" s="316"/>
      <c r="BY7" s="316"/>
      <c r="BZ7" s="316"/>
      <c r="CA7" s="316"/>
      <c r="CB7" s="316"/>
      <c r="CC7" s="316"/>
      <c r="CD7" s="316"/>
      <c r="CE7" s="316"/>
      <c r="CF7" s="316"/>
      <c r="CG7" s="316"/>
      <c r="CH7" s="316"/>
      <c r="CI7" s="316"/>
      <c r="CJ7" s="316"/>
      <c r="CK7" s="316"/>
      <c r="CL7" s="316"/>
      <c r="CM7" s="316"/>
      <c r="CN7" s="316"/>
      <c r="CO7" s="316"/>
      <c r="CP7" s="316"/>
      <c r="CQ7" s="316"/>
      <c r="CR7" s="316"/>
      <c r="CS7" s="316"/>
      <c r="CT7" s="316"/>
      <c r="CU7" s="316"/>
      <c r="CV7" s="316"/>
      <c r="CW7" s="316"/>
      <c r="CX7" s="316"/>
      <c r="CY7" s="316"/>
      <c r="CZ7" s="316"/>
      <c r="DA7" s="316"/>
      <c r="DB7" s="316"/>
      <c r="DC7" s="316"/>
      <c r="DD7" s="316"/>
      <c r="DE7" s="316"/>
      <c r="DF7" s="316"/>
      <c r="DG7" s="316"/>
      <c r="DH7" s="316"/>
      <c r="DI7" s="316"/>
      <c r="DJ7" s="316"/>
      <c r="DK7" s="316"/>
      <c r="DL7" s="316"/>
      <c r="DM7" s="316"/>
      <c r="DN7" s="316"/>
      <c r="DO7" s="316"/>
      <c r="DP7" s="316"/>
      <c r="DQ7" s="316"/>
      <c r="DR7" s="316"/>
      <c r="DS7" s="316"/>
      <c r="DT7" s="316"/>
      <c r="DU7" s="316"/>
      <c r="DV7" s="316"/>
      <c r="DW7" s="316"/>
      <c r="DX7" s="316"/>
      <c r="DY7" s="316"/>
      <c r="DZ7" s="316"/>
      <c r="EA7" s="316"/>
      <c r="EB7" s="316"/>
      <c r="EC7" s="316"/>
      <c r="ED7" s="316"/>
      <c r="EE7" s="316"/>
      <c r="EF7" s="316"/>
      <c r="EG7" s="316"/>
      <c r="EH7" s="316"/>
      <c r="EI7" s="316"/>
      <c r="EJ7" s="316"/>
      <c r="EK7" s="316"/>
      <c r="EL7" s="316"/>
      <c r="EM7" s="316"/>
      <c r="EN7" s="316"/>
      <c r="EO7" s="316"/>
      <c r="EP7" s="316"/>
      <c r="EQ7" s="316"/>
      <c r="ER7" s="316"/>
      <c r="ES7" s="316"/>
      <c r="ET7" s="316"/>
      <c r="EU7" s="316"/>
      <c r="EV7" s="316"/>
      <c r="EW7" s="316"/>
      <c r="EX7" s="316"/>
      <c r="EY7" s="316"/>
      <c r="EZ7" s="316"/>
      <c r="FA7" s="316"/>
      <c r="FB7" s="316"/>
      <c r="FC7" s="316"/>
      <c r="FD7" s="316"/>
      <c r="FE7" s="316"/>
      <c r="FF7" s="316"/>
      <c r="FG7" s="316"/>
      <c r="FH7" s="316"/>
      <c r="FI7" s="316"/>
      <c r="FJ7" s="316"/>
      <c r="FK7" s="316"/>
      <c r="FL7" s="316"/>
      <c r="FM7" s="316"/>
      <c r="FN7" s="316"/>
      <c r="FO7" s="316"/>
      <c r="FP7" s="316"/>
      <c r="FQ7" s="316"/>
      <c r="FR7" s="316"/>
      <c r="FS7" s="316"/>
      <c r="FT7" s="316"/>
      <c r="FU7" s="316"/>
      <c r="FV7" s="316"/>
      <c r="FW7" s="316"/>
      <c r="FX7" s="316"/>
      <c r="FY7" s="316"/>
      <c r="FZ7" s="316"/>
      <c r="GA7" s="316"/>
      <c r="GB7" s="316"/>
      <c r="GC7" s="316"/>
      <c r="GD7" s="316"/>
      <c r="GE7" s="316"/>
      <c r="GF7" s="316"/>
      <c r="GG7" s="316"/>
      <c r="GH7" s="316"/>
      <c r="GI7" s="316"/>
      <c r="GJ7" s="316"/>
      <c r="GK7" s="316"/>
      <c r="GL7" s="316"/>
      <c r="GM7" s="316"/>
      <c r="GN7" s="316"/>
      <c r="GO7" s="316"/>
      <c r="GP7" s="316"/>
      <c r="GQ7" s="316"/>
      <c r="GR7" s="316"/>
      <c r="GS7" s="316"/>
      <c r="GT7" s="316"/>
      <c r="GU7" s="316"/>
      <c r="GV7" s="316"/>
      <c r="GW7" s="316"/>
      <c r="GX7" s="316"/>
      <c r="GY7" s="316"/>
      <c r="GZ7" s="316"/>
      <c r="HA7" s="316"/>
      <c r="HB7" s="316"/>
      <c r="HC7" s="316"/>
      <c r="HD7" s="316"/>
      <c r="HE7" s="316"/>
      <c r="HF7" s="316"/>
      <c r="HG7" s="316"/>
      <c r="HH7" s="316"/>
      <c r="HI7" s="316"/>
      <c r="HJ7" s="316"/>
      <c r="HK7" s="316"/>
      <c r="HL7" s="316"/>
      <c r="HM7" s="316"/>
      <c r="HN7" s="316"/>
      <c r="HO7" s="316"/>
      <c r="HP7" s="316"/>
      <c r="HQ7" s="316"/>
      <c r="HR7" s="316"/>
      <c r="HS7" s="316"/>
      <c r="HT7" s="316"/>
      <c r="HU7" s="316"/>
      <c r="HV7" s="316"/>
      <c r="HW7" s="316"/>
      <c r="HX7" s="316"/>
      <c r="HY7" s="316"/>
      <c r="HZ7" s="316"/>
      <c r="IA7" s="316"/>
      <c r="IB7" s="316"/>
      <c r="IC7" s="316"/>
      <c r="ID7" s="316"/>
      <c r="IE7" s="316"/>
      <c r="IF7" s="316"/>
      <c r="IG7" s="316"/>
      <c r="IH7" s="316"/>
      <c r="II7" s="316"/>
      <c r="IJ7" s="316"/>
      <c r="IK7" s="316"/>
      <c r="IL7" s="316"/>
      <c r="IM7" s="316"/>
      <c r="IN7" s="316"/>
      <c r="IO7" s="316"/>
      <c r="IP7" s="316"/>
      <c r="IQ7" s="316"/>
      <c r="IR7" s="316"/>
      <c r="IS7" s="316"/>
      <c r="IT7" s="316"/>
    </row>
    <row r="8" spans="1:254" ht="17.25" thickTop="1" thickBot="1" x14ac:dyDescent="0.3">
      <c r="A8" s="361" t="s">
        <v>138</v>
      </c>
      <c r="B8" s="362"/>
      <c r="C8" s="582" t="s">
        <v>183</v>
      </c>
      <c r="D8" s="582" t="s">
        <v>351</v>
      </c>
      <c r="E8" s="582" t="s">
        <v>352</v>
      </c>
      <c r="F8" s="579" t="s">
        <v>184</v>
      </c>
      <c r="G8" s="579" t="s">
        <v>353</v>
      </c>
      <c r="H8" s="579" t="s">
        <v>354</v>
      </c>
      <c r="I8" s="582" t="s">
        <v>185</v>
      </c>
      <c r="J8" s="582" t="s">
        <v>355</v>
      </c>
      <c r="K8" s="582" t="s">
        <v>356</v>
      </c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  <c r="AD8" s="316"/>
      <c r="AE8" s="316"/>
      <c r="AF8" s="316"/>
      <c r="AG8" s="316"/>
      <c r="AH8" s="316"/>
      <c r="AI8" s="316"/>
      <c r="AJ8" s="316"/>
      <c r="AK8" s="316"/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316"/>
      <c r="BE8" s="316"/>
      <c r="BF8" s="316"/>
      <c r="BG8" s="316"/>
      <c r="BH8" s="316"/>
      <c r="BI8" s="316"/>
      <c r="BJ8" s="316"/>
      <c r="BK8" s="316"/>
      <c r="BL8" s="316"/>
      <c r="BM8" s="316"/>
      <c r="BN8" s="316"/>
      <c r="BO8" s="316"/>
      <c r="BP8" s="316"/>
      <c r="BQ8" s="316"/>
      <c r="BR8" s="316"/>
      <c r="BS8" s="316"/>
      <c r="BT8" s="316"/>
      <c r="BU8" s="316"/>
      <c r="BV8" s="316"/>
      <c r="BW8" s="316"/>
      <c r="BX8" s="316"/>
      <c r="BY8" s="316"/>
      <c r="BZ8" s="316"/>
      <c r="CA8" s="316"/>
      <c r="CB8" s="316"/>
      <c r="CC8" s="316"/>
      <c r="CD8" s="316"/>
      <c r="CE8" s="316"/>
      <c r="CF8" s="316"/>
      <c r="CG8" s="316"/>
      <c r="CH8" s="316"/>
      <c r="CI8" s="316"/>
      <c r="CJ8" s="316"/>
      <c r="CK8" s="316"/>
      <c r="CL8" s="316"/>
      <c r="CM8" s="316"/>
      <c r="CN8" s="316"/>
      <c r="CO8" s="316"/>
      <c r="CP8" s="316"/>
      <c r="CQ8" s="316"/>
      <c r="CR8" s="316"/>
      <c r="CS8" s="316"/>
      <c r="CT8" s="316"/>
      <c r="CU8" s="316"/>
      <c r="CV8" s="316"/>
      <c r="CW8" s="316"/>
      <c r="CX8" s="316"/>
      <c r="CY8" s="316"/>
      <c r="CZ8" s="316"/>
      <c r="DA8" s="316"/>
      <c r="DB8" s="316"/>
      <c r="DC8" s="316"/>
      <c r="DD8" s="316"/>
      <c r="DE8" s="316"/>
      <c r="DF8" s="316"/>
      <c r="DG8" s="316"/>
      <c r="DH8" s="316"/>
      <c r="DI8" s="316"/>
      <c r="DJ8" s="316"/>
      <c r="DK8" s="316"/>
      <c r="DL8" s="316"/>
      <c r="DM8" s="316"/>
      <c r="DN8" s="316"/>
      <c r="DO8" s="316"/>
      <c r="DP8" s="316"/>
      <c r="DQ8" s="316"/>
      <c r="DR8" s="316"/>
      <c r="DS8" s="316"/>
      <c r="DT8" s="316"/>
      <c r="DU8" s="316"/>
      <c r="DV8" s="316"/>
      <c r="DW8" s="316"/>
      <c r="DX8" s="316"/>
      <c r="DY8" s="316"/>
      <c r="DZ8" s="316"/>
      <c r="EA8" s="316"/>
      <c r="EB8" s="316"/>
      <c r="EC8" s="316"/>
      <c r="ED8" s="316"/>
      <c r="EE8" s="316"/>
      <c r="EF8" s="316"/>
      <c r="EG8" s="316"/>
      <c r="EH8" s="316"/>
      <c r="EI8" s="316"/>
      <c r="EJ8" s="316"/>
      <c r="EK8" s="316"/>
      <c r="EL8" s="316"/>
      <c r="EM8" s="316"/>
      <c r="EN8" s="316"/>
      <c r="EO8" s="316"/>
      <c r="EP8" s="316"/>
      <c r="EQ8" s="316"/>
      <c r="ER8" s="316"/>
      <c r="ES8" s="316"/>
      <c r="ET8" s="316"/>
      <c r="EU8" s="316"/>
      <c r="EV8" s="316"/>
      <c r="EW8" s="316"/>
      <c r="EX8" s="316"/>
      <c r="EY8" s="316"/>
      <c r="EZ8" s="316"/>
      <c r="FA8" s="316"/>
      <c r="FB8" s="316"/>
      <c r="FC8" s="316"/>
      <c r="FD8" s="316"/>
      <c r="FE8" s="316"/>
      <c r="FF8" s="316"/>
      <c r="FG8" s="316"/>
      <c r="FH8" s="316"/>
      <c r="FI8" s="316"/>
      <c r="FJ8" s="316"/>
      <c r="FK8" s="316"/>
      <c r="FL8" s="316"/>
      <c r="FM8" s="316"/>
      <c r="FN8" s="316"/>
      <c r="FO8" s="316"/>
      <c r="FP8" s="316"/>
      <c r="FQ8" s="316"/>
      <c r="FR8" s="316"/>
      <c r="FS8" s="316"/>
      <c r="FT8" s="316"/>
      <c r="FU8" s="316"/>
      <c r="FV8" s="316"/>
      <c r="FW8" s="316"/>
      <c r="FX8" s="316"/>
      <c r="FY8" s="316"/>
      <c r="FZ8" s="316"/>
      <c r="GA8" s="316"/>
      <c r="GB8" s="316"/>
      <c r="GC8" s="316"/>
      <c r="GD8" s="316"/>
      <c r="GE8" s="316"/>
      <c r="GF8" s="316"/>
      <c r="GG8" s="316"/>
      <c r="GH8" s="316"/>
      <c r="GI8" s="316"/>
      <c r="GJ8" s="316"/>
      <c r="GK8" s="316"/>
      <c r="GL8" s="316"/>
      <c r="GM8" s="316"/>
      <c r="GN8" s="316"/>
      <c r="GO8" s="316"/>
      <c r="GP8" s="316"/>
      <c r="GQ8" s="316"/>
      <c r="GR8" s="316"/>
      <c r="GS8" s="316"/>
      <c r="GT8" s="316"/>
      <c r="GU8" s="316"/>
      <c r="GV8" s="316"/>
      <c r="GW8" s="316"/>
      <c r="GX8" s="316"/>
      <c r="GY8" s="316"/>
      <c r="GZ8" s="316"/>
      <c r="HA8" s="316"/>
      <c r="HB8" s="316"/>
      <c r="HC8" s="316"/>
      <c r="HD8" s="316"/>
      <c r="HE8" s="316"/>
      <c r="HF8" s="316"/>
      <c r="HG8" s="316"/>
      <c r="HH8" s="316"/>
      <c r="HI8" s="316"/>
      <c r="HJ8" s="316"/>
      <c r="HK8" s="316"/>
      <c r="HL8" s="316"/>
      <c r="HM8" s="316"/>
      <c r="HN8" s="316"/>
      <c r="HO8" s="316"/>
      <c r="HP8" s="316"/>
      <c r="HQ8" s="316"/>
      <c r="HR8" s="316"/>
      <c r="HS8" s="316"/>
      <c r="HT8" s="316"/>
      <c r="HU8" s="316"/>
      <c r="HV8" s="316"/>
      <c r="HW8" s="316"/>
      <c r="HX8" s="316"/>
      <c r="HY8" s="316"/>
      <c r="HZ8" s="316"/>
      <c r="IA8" s="316"/>
      <c r="IB8" s="316"/>
      <c r="IC8" s="316"/>
      <c r="ID8" s="316"/>
      <c r="IE8" s="316"/>
      <c r="IF8" s="316"/>
      <c r="IG8" s="316"/>
      <c r="IH8" s="316"/>
      <c r="II8" s="316"/>
      <c r="IJ8" s="316"/>
      <c r="IK8" s="316"/>
      <c r="IL8" s="316"/>
      <c r="IM8" s="316"/>
      <c r="IN8" s="316"/>
      <c r="IO8" s="316"/>
      <c r="IP8" s="316"/>
      <c r="IQ8" s="316"/>
      <c r="IR8" s="316"/>
      <c r="IS8" s="316"/>
      <c r="IT8" s="316"/>
    </row>
    <row r="9" spans="1:254" ht="16.5" thickTop="1" x14ac:dyDescent="0.25">
      <c r="A9" s="323" t="s">
        <v>28</v>
      </c>
      <c r="B9" s="323" t="s">
        <v>155</v>
      </c>
      <c r="C9" s="255">
        <v>420221</v>
      </c>
      <c r="D9" s="255">
        <v>-21972</v>
      </c>
      <c r="E9" s="255">
        <f>SUM(C9:D9)</f>
        <v>398249</v>
      </c>
      <c r="F9" s="255">
        <v>7870692</v>
      </c>
      <c r="G9" s="255">
        <v>491692</v>
      </c>
      <c r="H9" s="255">
        <f>SUM(F9:G9)</f>
        <v>8362384</v>
      </c>
      <c r="I9" s="363">
        <f>SUM(C9+F9)</f>
        <v>8290913</v>
      </c>
      <c r="J9" s="363">
        <f t="shared" ref="J9:K13" si="0">SUM(D9+G9)</f>
        <v>469720</v>
      </c>
      <c r="K9" s="363">
        <f t="shared" si="0"/>
        <v>8760633</v>
      </c>
    </row>
    <row r="10" spans="1:254" ht="31.5" x14ac:dyDescent="0.25">
      <c r="A10" s="333" t="s">
        <v>29</v>
      </c>
      <c r="B10" s="333" t="s">
        <v>156</v>
      </c>
      <c r="C10" s="248">
        <v>87636</v>
      </c>
      <c r="D10" s="248">
        <v>10433</v>
      </c>
      <c r="E10" s="248">
        <f t="shared" ref="E10:E13" si="1">SUM(C10:D10)</f>
        <v>98069</v>
      </c>
      <c r="F10" s="248">
        <v>1466820</v>
      </c>
      <c r="G10" s="248">
        <v>52542</v>
      </c>
      <c r="H10" s="248">
        <f>SUM(F10:G10)</f>
        <v>1519362</v>
      </c>
      <c r="I10" s="89">
        <f>SUM(C10+F10)</f>
        <v>1554456</v>
      </c>
      <c r="J10" s="89">
        <f t="shared" si="0"/>
        <v>62975</v>
      </c>
      <c r="K10" s="89">
        <f t="shared" si="0"/>
        <v>1617431</v>
      </c>
    </row>
    <row r="11" spans="1:254" x14ac:dyDescent="0.25">
      <c r="A11" s="70" t="s">
        <v>30</v>
      </c>
      <c r="B11" s="70" t="s">
        <v>157</v>
      </c>
      <c r="C11" s="248">
        <v>9409751</v>
      </c>
      <c r="D11" s="248">
        <v>-447792</v>
      </c>
      <c r="E11" s="248">
        <f t="shared" si="1"/>
        <v>8961959</v>
      </c>
      <c r="F11" s="248">
        <v>6160983</v>
      </c>
      <c r="G11" s="248">
        <v>-1149690</v>
      </c>
      <c r="H11" s="248">
        <f t="shared" ref="H11:H17" si="2">SUM(F11:G11)</f>
        <v>5011293</v>
      </c>
      <c r="I11" s="89">
        <f>SUM(C11+F11)</f>
        <v>15570734</v>
      </c>
      <c r="J11" s="89">
        <f t="shared" si="0"/>
        <v>-1597482</v>
      </c>
      <c r="K11" s="89">
        <f t="shared" si="0"/>
        <v>13973252</v>
      </c>
    </row>
    <row r="12" spans="1:254" x14ac:dyDescent="0.25">
      <c r="A12" s="70" t="s">
        <v>455</v>
      </c>
      <c r="B12" s="70" t="s">
        <v>158</v>
      </c>
      <c r="C12" s="248">
        <v>200146</v>
      </c>
      <c r="D12" s="248">
        <v>20224</v>
      </c>
      <c r="E12" s="248">
        <f t="shared" si="1"/>
        <v>220370</v>
      </c>
      <c r="F12" s="248"/>
      <c r="G12" s="248"/>
      <c r="H12" s="248">
        <f t="shared" si="2"/>
        <v>0</v>
      </c>
      <c r="I12" s="89">
        <f>SUM(C12+F12)</f>
        <v>200146</v>
      </c>
      <c r="J12" s="89">
        <f t="shared" si="0"/>
        <v>20224</v>
      </c>
      <c r="K12" s="89">
        <f t="shared" si="0"/>
        <v>220370</v>
      </c>
    </row>
    <row r="13" spans="1:254" ht="31.5" x14ac:dyDescent="0.25">
      <c r="A13" s="333" t="s">
        <v>179</v>
      </c>
      <c r="B13" s="333" t="s">
        <v>315</v>
      </c>
      <c r="C13" s="248">
        <v>13611900</v>
      </c>
      <c r="D13" s="255">
        <f>-1868050-24300</f>
        <v>-1892350</v>
      </c>
      <c r="E13" s="248">
        <f t="shared" si="1"/>
        <v>11719550</v>
      </c>
      <c r="F13" s="255">
        <v>0</v>
      </c>
      <c r="G13" s="255">
        <v>0</v>
      </c>
      <c r="H13" s="248">
        <f t="shared" si="2"/>
        <v>0</v>
      </c>
      <c r="I13" s="89">
        <f>SUM(C13+F13)</f>
        <v>13611900</v>
      </c>
      <c r="J13" s="89">
        <f t="shared" si="0"/>
        <v>-1892350</v>
      </c>
      <c r="K13" s="89">
        <f t="shared" si="0"/>
        <v>11719550</v>
      </c>
    </row>
    <row r="14" spans="1:254" ht="31.5" x14ac:dyDescent="0.25">
      <c r="A14" s="341" t="s">
        <v>341</v>
      </c>
      <c r="B14" s="342"/>
      <c r="C14" s="256">
        <f>SUM(C9+C10+C11+C12+C13)</f>
        <v>23729654</v>
      </c>
      <c r="D14" s="256">
        <f t="shared" ref="D14:E14" si="3">SUM(D9+D10+D11+D12+D13)</f>
        <v>-2331457</v>
      </c>
      <c r="E14" s="256">
        <f t="shared" si="3"/>
        <v>21398197</v>
      </c>
      <c r="F14" s="256">
        <f>SUM(F9+F10+F11+F12+F13)</f>
        <v>15498495</v>
      </c>
      <c r="G14" s="256">
        <f t="shared" ref="G14:H14" si="4">SUM(G9+G10+G11+G12+G13)</f>
        <v>-605456</v>
      </c>
      <c r="H14" s="256">
        <f t="shared" si="4"/>
        <v>14893039</v>
      </c>
      <c r="I14" s="256">
        <f>SUM(I9:I12,I13)</f>
        <v>39228149</v>
      </c>
      <c r="J14" s="256">
        <f t="shared" ref="J14:K14" si="5">SUM(J9:J12,J13)</f>
        <v>-2936913</v>
      </c>
      <c r="K14" s="256">
        <f t="shared" si="5"/>
        <v>36291236</v>
      </c>
    </row>
    <row r="15" spans="1:254" x14ac:dyDescent="0.25">
      <c r="A15" s="70" t="s">
        <v>162</v>
      </c>
      <c r="B15" s="70" t="s">
        <v>159</v>
      </c>
      <c r="C15" s="71">
        <v>24520552</v>
      </c>
      <c r="D15" s="71">
        <v>-775147</v>
      </c>
      <c r="E15" s="71">
        <f>SUM(C15:D15)</f>
        <v>23745405</v>
      </c>
      <c r="F15" s="71">
        <v>124492</v>
      </c>
      <c r="G15" s="71">
        <v>112005</v>
      </c>
      <c r="H15" s="71">
        <f t="shared" si="2"/>
        <v>236497</v>
      </c>
      <c r="I15" s="89">
        <f>SUM(C15+F15)</f>
        <v>24645044</v>
      </c>
      <c r="J15" s="89">
        <f t="shared" ref="J15:K17" si="6">SUM(D15+G15)</f>
        <v>-663142</v>
      </c>
      <c r="K15" s="89">
        <f t="shared" si="6"/>
        <v>23981902</v>
      </c>
    </row>
    <row r="16" spans="1:254" x14ac:dyDescent="0.25">
      <c r="A16" s="70" t="s">
        <v>163</v>
      </c>
      <c r="B16" s="70" t="s">
        <v>160</v>
      </c>
      <c r="C16" s="71">
        <v>317706</v>
      </c>
      <c r="D16" s="71">
        <v>22953</v>
      </c>
      <c r="E16" s="71">
        <f>SUM(C16:D16)</f>
        <v>340659</v>
      </c>
      <c r="F16" s="71">
        <v>0</v>
      </c>
      <c r="G16" s="71">
        <v>15439</v>
      </c>
      <c r="H16" s="71">
        <f t="shared" si="2"/>
        <v>15439</v>
      </c>
      <c r="I16" s="89">
        <f>SUM(C16+F16)</f>
        <v>317706</v>
      </c>
      <c r="J16" s="89">
        <f t="shared" si="6"/>
        <v>38392</v>
      </c>
      <c r="K16" s="89">
        <f t="shared" si="6"/>
        <v>356098</v>
      </c>
    </row>
    <row r="17" spans="1:254" x14ac:dyDescent="0.25">
      <c r="A17" s="70" t="s">
        <v>268</v>
      </c>
      <c r="B17" s="70" t="s">
        <v>161</v>
      </c>
      <c r="C17" s="71">
        <v>2163093</v>
      </c>
      <c r="D17" s="71">
        <f>-120852-605287</f>
        <v>-726139</v>
      </c>
      <c r="E17" s="71">
        <f>SUM(C17:D17)</f>
        <v>1436954</v>
      </c>
      <c r="F17" s="71">
        <v>20000</v>
      </c>
      <c r="G17" s="71">
        <v>-17230</v>
      </c>
      <c r="H17" s="71">
        <f t="shared" si="2"/>
        <v>2770</v>
      </c>
      <c r="I17" s="89">
        <f>SUM(C17+F17)</f>
        <v>2183093</v>
      </c>
      <c r="J17" s="89">
        <f t="shared" si="6"/>
        <v>-743369</v>
      </c>
      <c r="K17" s="89">
        <f t="shared" si="6"/>
        <v>1439724</v>
      </c>
    </row>
    <row r="18" spans="1:254" ht="31.5" x14ac:dyDescent="0.25">
      <c r="A18" s="341" t="s">
        <v>342</v>
      </c>
      <c r="B18" s="343"/>
      <c r="C18" s="257">
        <f>SUM(C15:C17)</f>
        <v>27001351</v>
      </c>
      <c r="D18" s="257">
        <f t="shared" ref="D18:E18" si="7">SUM(D15:D17)</f>
        <v>-1478333</v>
      </c>
      <c r="E18" s="257">
        <f t="shared" si="7"/>
        <v>25523018</v>
      </c>
      <c r="F18" s="256">
        <f>SUM(F15:F17)</f>
        <v>144492</v>
      </c>
      <c r="G18" s="256">
        <f t="shared" ref="G18:H18" si="8">SUM(G15:G17)</f>
        <v>110214</v>
      </c>
      <c r="H18" s="256">
        <f t="shared" si="8"/>
        <v>254706</v>
      </c>
      <c r="I18" s="256">
        <f>SUM(I15:I17)</f>
        <v>27145843</v>
      </c>
      <c r="J18" s="256">
        <f t="shared" ref="J18:K18" si="9">SUM(J15:J17)</f>
        <v>-1368119</v>
      </c>
      <c r="K18" s="256">
        <f t="shared" si="9"/>
        <v>25777724</v>
      </c>
    </row>
    <row r="19" spans="1:254" x14ac:dyDescent="0.25">
      <c r="A19" s="70" t="s">
        <v>206</v>
      </c>
      <c r="B19" s="70"/>
      <c r="C19" s="71">
        <v>400000</v>
      </c>
      <c r="D19" s="71">
        <v>-127541</v>
      </c>
      <c r="E19" s="71">
        <f>SUM(C19:D19)</f>
        <v>272459</v>
      </c>
      <c r="F19" s="71">
        <v>0</v>
      </c>
      <c r="G19" s="71">
        <v>0</v>
      </c>
      <c r="H19" s="71">
        <f>SUM(F19:G19)</f>
        <v>0</v>
      </c>
      <c r="I19" s="89">
        <f>SUM(C19+F19)</f>
        <v>400000</v>
      </c>
      <c r="J19" s="89">
        <f t="shared" ref="J19:K20" si="10">SUM(D19+G19)</f>
        <v>-127541</v>
      </c>
      <c r="K19" s="89">
        <f t="shared" si="10"/>
        <v>272459</v>
      </c>
    </row>
    <row r="20" spans="1:254" x14ac:dyDescent="0.25">
      <c r="A20" s="70" t="s">
        <v>207</v>
      </c>
      <c r="B20" s="77"/>
      <c r="C20" s="71">
        <v>736816</v>
      </c>
      <c r="D20" s="71">
        <v>2074590</v>
      </c>
      <c r="E20" s="71">
        <f>SUM(C20:D20)</f>
        <v>2811406</v>
      </c>
      <c r="F20" s="71">
        <v>0</v>
      </c>
      <c r="G20" s="71">
        <v>0</v>
      </c>
      <c r="H20" s="71">
        <f>SUM(F20:G20)</f>
        <v>0</v>
      </c>
      <c r="I20" s="89">
        <f>SUM(C20+F20)</f>
        <v>736816</v>
      </c>
      <c r="J20" s="89">
        <f t="shared" si="10"/>
        <v>2074590</v>
      </c>
      <c r="K20" s="89">
        <f t="shared" si="10"/>
        <v>2811406</v>
      </c>
    </row>
    <row r="21" spans="1:254" s="76" customFormat="1" ht="16.5" thickBot="1" x14ac:dyDescent="0.3">
      <c r="A21" s="73" t="s">
        <v>208</v>
      </c>
      <c r="B21" s="78" t="s">
        <v>316</v>
      </c>
      <c r="C21" s="74">
        <f>SUM(C19:C20)</f>
        <v>1136816</v>
      </c>
      <c r="D21" s="74">
        <f t="shared" ref="D21:E21" si="11">SUM(D19:D20)</f>
        <v>1947049</v>
      </c>
      <c r="E21" s="74">
        <f t="shared" si="11"/>
        <v>3083865</v>
      </c>
      <c r="F21" s="74">
        <f>SUM(F19:F20)</f>
        <v>0</v>
      </c>
      <c r="G21" s="74">
        <f t="shared" ref="G21:H21" si="12">SUM(G19:G20)</f>
        <v>0</v>
      </c>
      <c r="H21" s="74">
        <f t="shared" si="12"/>
        <v>0</v>
      </c>
      <c r="I21" s="91">
        <f>SUM(I19:I20)</f>
        <v>1136816</v>
      </c>
      <c r="J21" s="91">
        <f t="shared" ref="J21:K21" si="13">SUM(J19:J20)</f>
        <v>1947049</v>
      </c>
      <c r="K21" s="91">
        <f t="shared" si="13"/>
        <v>3083865</v>
      </c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</row>
    <row r="22" spans="1:254" ht="17.25" thickTop="1" thickBot="1" x14ac:dyDescent="0.3">
      <c r="A22" s="239" t="s">
        <v>209</v>
      </c>
      <c r="B22" s="347" t="s">
        <v>273</v>
      </c>
      <c r="C22" s="241">
        <f>+C21+C18+C14</f>
        <v>51867821</v>
      </c>
      <c r="D22" s="241">
        <f t="shared" ref="D22:E22" si="14">+D21+D18+D14</f>
        <v>-1862741</v>
      </c>
      <c r="E22" s="241">
        <f t="shared" si="14"/>
        <v>50005080</v>
      </c>
      <c r="F22" s="241">
        <f>+F21+F18+F14</f>
        <v>15642987</v>
      </c>
      <c r="G22" s="241">
        <f t="shared" ref="G22:H22" si="15">+G21+G18+G14</f>
        <v>-495242</v>
      </c>
      <c r="H22" s="241">
        <f t="shared" si="15"/>
        <v>15147745</v>
      </c>
      <c r="I22" s="241">
        <f>+I21+I18+I14</f>
        <v>67510808</v>
      </c>
      <c r="J22" s="241">
        <f t="shared" ref="J22:K22" si="16">+J21+J18+J14</f>
        <v>-2357983</v>
      </c>
      <c r="K22" s="241">
        <f t="shared" si="16"/>
        <v>65152825</v>
      </c>
    </row>
    <row r="23" spans="1:254" ht="32.25" thickTop="1" x14ac:dyDescent="0.25">
      <c r="A23" s="589" t="s">
        <v>820</v>
      </c>
      <c r="B23" s="590" t="s">
        <v>456</v>
      </c>
      <c r="C23" s="591">
        <v>163966</v>
      </c>
      <c r="D23" s="591"/>
      <c r="E23" s="591">
        <f>SUM(C23:D23)</f>
        <v>163966</v>
      </c>
      <c r="F23" s="591"/>
      <c r="G23" s="591"/>
      <c r="H23" s="591"/>
      <c r="I23" s="596">
        <f>SUM(C23+F23)</f>
        <v>163966</v>
      </c>
      <c r="J23" s="596">
        <f t="shared" ref="J23:J24" si="17">SUM(D23+G23)</f>
        <v>0</v>
      </c>
      <c r="K23" s="591">
        <f t="shared" ref="K23" si="18">SUM(E23:H23)</f>
        <v>163966</v>
      </c>
      <c r="IS23" s="594"/>
      <c r="IT23" s="594"/>
    </row>
    <row r="24" spans="1:254" ht="16.5" thickBot="1" x14ac:dyDescent="0.3">
      <c r="A24" s="592" t="s">
        <v>818</v>
      </c>
      <c r="B24" s="593" t="s">
        <v>314</v>
      </c>
      <c r="C24" s="349">
        <v>13023250</v>
      </c>
      <c r="D24" s="349">
        <f>-1381591-20000</f>
        <v>-1401591</v>
      </c>
      <c r="E24" s="349">
        <f>SUM(C24:D24)</f>
        <v>11621659</v>
      </c>
      <c r="F24" s="349"/>
      <c r="G24" s="349"/>
      <c r="H24" s="349"/>
      <c r="I24" s="596">
        <f>SUM(C24+F24)</f>
        <v>13023250</v>
      </c>
      <c r="J24" s="596">
        <f t="shared" si="17"/>
        <v>-1401591</v>
      </c>
      <c r="K24" s="591">
        <f t="shared" ref="K24" si="19">SUM(E24:H24)</f>
        <v>11621659</v>
      </c>
      <c r="IS24" s="594"/>
      <c r="IT24" s="594"/>
    </row>
    <row r="25" spans="1:254" ht="17.25" thickTop="1" thickBot="1" x14ac:dyDescent="0.3">
      <c r="A25" s="350" t="s">
        <v>819</v>
      </c>
      <c r="B25" s="351" t="s">
        <v>210</v>
      </c>
      <c r="C25" s="259">
        <f>SUM(C23:C24)</f>
        <v>13187216</v>
      </c>
      <c r="D25" s="259">
        <f>SUM(D23:D24)</f>
        <v>-1401591</v>
      </c>
      <c r="E25" s="259">
        <f>SUM(E23:E24)</f>
        <v>11785625</v>
      </c>
      <c r="F25" s="259">
        <f>SUM(F23:F23)</f>
        <v>0</v>
      </c>
      <c r="G25" s="259">
        <f>SUM(G23:G23)</f>
        <v>0</v>
      </c>
      <c r="H25" s="259">
        <f>SUM(H23:H23)</f>
        <v>0</v>
      </c>
      <c r="I25" s="259">
        <f>SUM(I23:I24)</f>
        <v>13187216</v>
      </c>
      <c r="J25" s="259">
        <f>SUM(J23:J24)</f>
        <v>-1401591</v>
      </c>
      <c r="K25" s="259">
        <f>SUM(K23:K24)</f>
        <v>11785625</v>
      </c>
      <c r="L25" s="597"/>
      <c r="M25" s="597"/>
      <c r="N25" s="597"/>
      <c r="O25" s="597"/>
      <c r="P25" s="597"/>
      <c r="Q25" s="597"/>
      <c r="R25" s="597"/>
      <c r="S25" s="597"/>
      <c r="T25" s="597"/>
      <c r="U25" s="597"/>
      <c r="V25" s="597"/>
      <c r="W25" s="597"/>
      <c r="X25" s="597"/>
      <c r="Y25" s="597"/>
      <c r="Z25" s="597"/>
      <c r="AA25" s="597"/>
      <c r="AB25" s="597"/>
      <c r="AC25" s="597"/>
      <c r="AD25" s="597"/>
      <c r="AE25" s="597"/>
      <c r="AF25" s="597"/>
      <c r="AG25" s="597"/>
      <c r="AH25" s="597"/>
      <c r="AI25" s="597"/>
      <c r="AJ25" s="597"/>
      <c r="AK25" s="597"/>
      <c r="AL25" s="597"/>
      <c r="AM25" s="597"/>
      <c r="AN25" s="597"/>
      <c r="AO25" s="597"/>
      <c r="AP25" s="597"/>
      <c r="AQ25" s="597"/>
      <c r="AR25" s="597"/>
      <c r="AS25" s="597"/>
      <c r="AT25" s="597"/>
      <c r="AU25" s="597"/>
      <c r="AV25" s="597"/>
      <c r="AW25" s="597"/>
      <c r="AX25" s="597"/>
      <c r="AY25" s="597"/>
      <c r="AZ25" s="597"/>
      <c r="BA25" s="597"/>
      <c r="BB25" s="597"/>
      <c r="BC25" s="597"/>
      <c r="BD25" s="597"/>
      <c r="BE25" s="597"/>
      <c r="BF25" s="597"/>
      <c r="BG25" s="597"/>
      <c r="BH25" s="597"/>
      <c r="BI25" s="597"/>
      <c r="BJ25" s="597"/>
      <c r="BK25" s="597"/>
      <c r="BL25" s="597"/>
      <c r="BM25" s="597"/>
      <c r="BN25" s="597"/>
      <c r="BO25" s="597"/>
      <c r="BP25" s="597"/>
      <c r="BQ25" s="597"/>
      <c r="BR25" s="597"/>
      <c r="BS25" s="597"/>
      <c r="BT25" s="597"/>
      <c r="BU25" s="597"/>
      <c r="BV25" s="597"/>
      <c r="BW25" s="597"/>
      <c r="BX25" s="597"/>
      <c r="BY25" s="597"/>
      <c r="BZ25" s="597"/>
      <c r="CA25" s="597"/>
      <c r="CB25" s="597"/>
      <c r="CC25" s="597"/>
      <c r="CD25" s="597"/>
      <c r="CE25" s="597"/>
      <c r="CF25" s="597"/>
      <c r="CG25" s="597"/>
      <c r="CH25" s="597"/>
      <c r="CI25" s="597"/>
      <c r="CJ25" s="597"/>
      <c r="CK25" s="597"/>
      <c r="CL25" s="597"/>
      <c r="CM25" s="597"/>
      <c r="CN25" s="597"/>
      <c r="CO25" s="597"/>
      <c r="CP25" s="597"/>
      <c r="CQ25" s="597"/>
      <c r="CR25" s="597"/>
      <c r="CS25" s="597"/>
      <c r="CT25" s="597"/>
      <c r="CU25" s="597"/>
      <c r="CV25" s="597"/>
      <c r="CW25" s="597"/>
      <c r="CX25" s="597"/>
      <c r="CY25" s="597"/>
      <c r="CZ25" s="597"/>
      <c r="DA25" s="597"/>
      <c r="DB25" s="597"/>
      <c r="DC25" s="597"/>
      <c r="DD25" s="597"/>
      <c r="DE25" s="597"/>
      <c r="DF25" s="597"/>
      <c r="DG25" s="597"/>
      <c r="DH25" s="597"/>
      <c r="DI25" s="597"/>
      <c r="DJ25" s="597"/>
      <c r="DK25" s="597"/>
      <c r="DL25" s="597"/>
      <c r="DM25" s="597"/>
      <c r="DN25" s="597"/>
      <c r="DO25" s="597"/>
      <c r="DP25" s="597"/>
      <c r="DQ25" s="597"/>
      <c r="DR25" s="597"/>
      <c r="DS25" s="597"/>
      <c r="DT25" s="597"/>
      <c r="DU25" s="597"/>
      <c r="DV25" s="597"/>
      <c r="DW25" s="597"/>
      <c r="DX25" s="597"/>
      <c r="DY25" s="597"/>
      <c r="DZ25" s="597"/>
      <c r="EA25" s="597"/>
      <c r="EB25" s="597"/>
      <c r="EC25" s="597"/>
      <c r="ED25" s="597"/>
      <c r="EE25" s="597"/>
      <c r="EF25" s="597"/>
      <c r="EG25" s="597"/>
      <c r="EH25" s="597"/>
      <c r="EI25" s="597"/>
      <c r="EJ25" s="597"/>
      <c r="EK25" s="597"/>
      <c r="EL25" s="597"/>
      <c r="EM25" s="597"/>
      <c r="EN25" s="597"/>
      <c r="EO25" s="597"/>
      <c r="EP25" s="597"/>
      <c r="EQ25" s="597"/>
      <c r="ER25" s="597"/>
      <c r="ES25" s="597"/>
      <c r="ET25" s="597"/>
      <c r="EU25" s="597"/>
      <c r="EV25" s="597"/>
      <c r="EW25" s="597"/>
      <c r="EX25" s="597"/>
      <c r="EY25" s="597"/>
      <c r="EZ25" s="597"/>
      <c r="FA25" s="597"/>
      <c r="FB25" s="597"/>
      <c r="FC25" s="597"/>
      <c r="FD25" s="597"/>
      <c r="FE25" s="597"/>
      <c r="FF25" s="597"/>
      <c r="FG25" s="597"/>
      <c r="FH25" s="597"/>
      <c r="FI25" s="597"/>
      <c r="FJ25" s="597"/>
      <c r="FK25" s="597"/>
      <c r="FL25" s="597"/>
      <c r="FM25" s="597"/>
      <c r="FN25" s="597"/>
      <c r="FO25" s="597"/>
      <c r="FP25" s="597"/>
      <c r="FQ25" s="597"/>
      <c r="FR25" s="597"/>
      <c r="FS25" s="597"/>
      <c r="FT25" s="597"/>
      <c r="FU25" s="597"/>
      <c r="FV25" s="597"/>
      <c r="FW25" s="597"/>
      <c r="FX25" s="597"/>
      <c r="FY25" s="597"/>
      <c r="FZ25" s="597"/>
      <c r="GA25" s="597"/>
      <c r="GB25" s="597"/>
      <c r="GC25" s="597"/>
      <c r="GD25" s="597"/>
      <c r="GE25" s="597"/>
      <c r="GF25" s="597"/>
      <c r="GG25" s="597"/>
      <c r="GH25" s="597"/>
      <c r="GI25" s="597"/>
      <c r="GJ25" s="597"/>
      <c r="GK25" s="597"/>
      <c r="GL25" s="597"/>
      <c r="GM25" s="597"/>
      <c r="GN25" s="597"/>
      <c r="GO25" s="597"/>
      <c r="GP25" s="597"/>
      <c r="GQ25" s="597"/>
      <c r="GR25" s="597"/>
      <c r="GS25" s="597"/>
      <c r="GT25" s="597"/>
      <c r="GU25" s="597"/>
      <c r="GV25" s="597"/>
      <c r="GW25" s="597"/>
      <c r="GX25" s="597"/>
      <c r="GY25" s="597"/>
      <c r="GZ25" s="597"/>
      <c r="HA25" s="597"/>
      <c r="HB25" s="597"/>
      <c r="HC25" s="597"/>
      <c r="HD25" s="597"/>
      <c r="HE25" s="597"/>
      <c r="HF25" s="597"/>
      <c r="HG25" s="597"/>
      <c r="HH25" s="597"/>
      <c r="HI25" s="597"/>
      <c r="HJ25" s="597"/>
      <c r="HK25" s="597"/>
      <c r="HL25" s="597"/>
      <c r="HM25" s="597"/>
      <c r="HN25" s="597"/>
      <c r="HO25" s="597"/>
      <c r="HP25" s="597"/>
      <c r="HQ25" s="597"/>
      <c r="HR25" s="597"/>
      <c r="HS25" s="597"/>
      <c r="HT25" s="597"/>
      <c r="HU25" s="597"/>
      <c r="HV25" s="597"/>
      <c r="HW25" s="597"/>
      <c r="HX25" s="597"/>
      <c r="HY25" s="597"/>
      <c r="HZ25" s="597"/>
      <c r="IA25" s="597"/>
      <c r="IB25" s="597"/>
      <c r="IC25" s="597"/>
      <c r="ID25" s="597"/>
      <c r="IE25" s="597"/>
      <c r="IF25" s="597"/>
      <c r="IG25" s="597"/>
      <c r="IH25" s="597"/>
      <c r="II25" s="597"/>
      <c r="IJ25" s="597"/>
      <c r="IK25" s="597"/>
      <c r="IL25" s="597"/>
      <c r="IM25" s="597"/>
      <c r="IN25" s="597"/>
      <c r="IO25" s="597"/>
      <c r="IP25" s="597"/>
      <c r="IQ25" s="597"/>
      <c r="IR25" s="597"/>
      <c r="IS25" s="594"/>
      <c r="IT25" s="594"/>
    </row>
    <row r="26" spans="1:254" ht="17.25" thickTop="1" thickBot="1" x14ac:dyDescent="0.3">
      <c r="A26" s="239" t="s">
        <v>338</v>
      </c>
      <c r="B26" s="240"/>
      <c r="C26" s="241"/>
      <c r="D26" s="241"/>
      <c r="E26" s="241"/>
      <c r="F26" s="242">
        <v>1994.93</v>
      </c>
      <c r="G26" s="242">
        <v>-27.75</v>
      </c>
      <c r="H26" s="242">
        <f>SUM(F26:G26)</f>
        <v>1967.18</v>
      </c>
      <c r="I26" s="242">
        <f>F26</f>
        <v>1994.93</v>
      </c>
      <c r="J26" s="242">
        <f t="shared" ref="J26:K26" si="20">G26</f>
        <v>-27.75</v>
      </c>
      <c r="K26" s="242">
        <f t="shared" si="20"/>
        <v>1967.18</v>
      </c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3"/>
      <c r="AQ26" s="243"/>
      <c r="AR26" s="243"/>
      <c r="AS26" s="243"/>
      <c r="AT26" s="243"/>
      <c r="AU26" s="243"/>
      <c r="AV26" s="243"/>
      <c r="AW26" s="243"/>
      <c r="AX26" s="243"/>
      <c r="AY26" s="243"/>
      <c r="AZ26" s="243"/>
      <c r="BA26" s="243"/>
      <c r="BB26" s="243"/>
      <c r="BC26" s="243"/>
      <c r="BD26" s="243"/>
      <c r="BE26" s="243"/>
      <c r="BF26" s="243"/>
      <c r="BG26" s="243"/>
      <c r="BH26" s="243"/>
      <c r="BI26" s="243"/>
      <c r="BJ26" s="243"/>
      <c r="BK26" s="243"/>
      <c r="BL26" s="243"/>
      <c r="BM26" s="243"/>
      <c r="BN26" s="243"/>
      <c r="BO26" s="243"/>
      <c r="BP26" s="243"/>
      <c r="BQ26" s="243"/>
      <c r="BR26" s="243"/>
      <c r="BS26" s="243"/>
      <c r="BT26" s="243"/>
      <c r="BU26" s="243"/>
      <c r="BV26" s="243"/>
      <c r="BW26" s="243"/>
      <c r="BX26" s="243"/>
      <c r="BY26" s="243"/>
      <c r="BZ26" s="243"/>
      <c r="CA26" s="243"/>
      <c r="CB26" s="243"/>
      <c r="CC26" s="243"/>
      <c r="CD26" s="243"/>
      <c r="CE26" s="243"/>
      <c r="CF26" s="243"/>
      <c r="CG26" s="243"/>
      <c r="CH26" s="243"/>
      <c r="CI26" s="243"/>
      <c r="CJ26" s="243"/>
      <c r="CK26" s="243"/>
      <c r="CL26" s="243"/>
      <c r="CM26" s="243"/>
      <c r="CN26" s="243"/>
      <c r="CO26" s="243"/>
      <c r="CP26" s="243"/>
      <c r="CQ26" s="243"/>
      <c r="CR26" s="243"/>
      <c r="CS26" s="243"/>
      <c r="CT26" s="243"/>
      <c r="CU26" s="243"/>
      <c r="CV26" s="243"/>
      <c r="CW26" s="243"/>
      <c r="CX26" s="243"/>
      <c r="CY26" s="243"/>
      <c r="CZ26" s="243"/>
      <c r="DA26" s="243"/>
      <c r="DB26" s="243"/>
      <c r="DC26" s="243"/>
      <c r="DD26" s="243"/>
      <c r="DE26" s="243"/>
      <c r="DF26" s="243"/>
      <c r="DG26" s="243"/>
      <c r="DH26" s="243"/>
      <c r="DI26" s="243"/>
      <c r="DJ26" s="243"/>
      <c r="DK26" s="243"/>
      <c r="DL26" s="243"/>
      <c r="DM26" s="243"/>
      <c r="DN26" s="243"/>
      <c r="DO26" s="243"/>
      <c r="DP26" s="243"/>
      <c r="DQ26" s="243"/>
      <c r="DR26" s="243"/>
      <c r="DS26" s="243"/>
      <c r="DT26" s="243"/>
      <c r="DU26" s="243"/>
      <c r="DV26" s="243"/>
      <c r="DW26" s="243"/>
      <c r="DX26" s="243"/>
      <c r="DY26" s="243"/>
      <c r="DZ26" s="243"/>
      <c r="EA26" s="243"/>
      <c r="EB26" s="243"/>
      <c r="EC26" s="243"/>
      <c r="ED26" s="243"/>
      <c r="EE26" s="243"/>
      <c r="EF26" s="243"/>
      <c r="EG26" s="243"/>
      <c r="EH26" s="243"/>
      <c r="EI26" s="243"/>
      <c r="EJ26" s="243"/>
      <c r="EK26" s="243"/>
      <c r="EL26" s="243"/>
      <c r="EM26" s="243"/>
      <c r="EN26" s="243"/>
      <c r="EO26" s="243"/>
      <c r="EP26" s="243"/>
      <c r="EQ26" s="243"/>
      <c r="ER26" s="243"/>
      <c r="ES26" s="243"/>
      <c r="ET26" s="243"/>
      <c r="EU26" s="243"/>
      <c r="EV26" s="243"/>
      <c r="EW26" s="243"/>
      <c r="EX26" s="243"/>
      <c r="EY26" s="243"/>
      <c r="EZ26" s="243"/>
      <c r="FA26" s="243"/>
      <c r="FB26" s="243"/>
      <c r="FC26" s="243"/>
      <c r="FD26" s="243"/>
      <c r="FE26" s="243"/>
      <c r="FF26" s="243"/>
      <c r="FG26" s="243"/>
      <c r="FH26" s="243"/>
      <c r="FI26" s="243"/>
      <c r="FJ26" s="243"/>
      <c r="FK26" s="243"/>
      <c r="FL26" s="243"/>
      <c r="FM26" s="243"/>
      <c r="FN26" s="243"/>
      <c r="FO26" s="243"/>
      <c r="FP26" s="243"/>
      <c r="FQ26" s="243"/>
      <c r="FR26" s="243"/>
      <c r="FS26" s="243"/>
      <c r="FT26" s="243"/>
      <c r="FU26" s="243"/>
      <c r="FV26" s="243"/>
      <c r="FW26" s="243"/>
      <c r="FX26" s="243"/>
      <c r="FY26" s="243"/>
      <c r="FZ26" s="243"/>
      <c r="GA26" s="243"/>
      <c r="GB26" s="243"/>
      <c r="GC26" s="243"/>
      <c r="GD26" s="243"/>
      <c r="GE26" s="243"/>
      <c r="GF26" s="243"/>
      <c r="GG26" s="243"/>
      <c r="GH26" s="243"/>
      <c r="GI26" s="243"/>
      <c r="GJ26" s="243"/>
      <c r="GK26" s="243"/>
      <c r="GL26" s="243"/>
      <c r="GM26" s="243"/>
      <c r="GN26" s="243"/>
      <c r="GO26" s="243"/>
      <c r="GP26" s="243"/>
      <c r="GQ26" s="243"/>
      <c r="GR26" s="243"/>
      <c r="GS26" s="243"/>
      <c r="GT26" s="243"/>
      <c r="GU26" s="243"/>
      <c r="GV26" s="243"/>
      <c r="GW26" s="243"/>
      <c r="GX26" s="243"/>
      <c r="GY26" s="243"/>
      <c r="GZ26" s="243"/>
      <c r="HA26" s="243"/>
      <c r="HB26" s="243"/>
      <c r="HC26" s="243"/>
      <c r="HD26" s="243"/>
      <c r="HE26" s="243"/>
      <c r="HF26" s="243"/>
      <c r="HG26" s="243"/>
      <c r="HH26" s="243"/>
      <c r="HI26" s="243"/>
      <c r="HJ26" s="243"/>
      <c r="HK26" s="243"/>
      <c r="HL26" s="243"/>
      <c r="HM26" s="243"/>
      <c r="HN26" s="243"/>
      <c r="HO26" s="243"/>
      <c r="HP26" s="243"/>
      <c r="HQ26" s="243"/>
      <c r="HR26" s="243"/>
      <c r="HS26" s="243"/>
      <c r="HT26" s="243"/>
      <c r="HU26" s="243"/>
      <c r="HV26" s="243"/>
      <c r="HW26" s="243"/>
      <c r="HX26" s="243"/>
      <c r="HY26" s="243"/>
      <c r="HZ26" s="243"/>
      <c r="IA26" s="243"/>
      <c r="IB26" s="243"/>
      <c r="IC26" s="243"/>
      <c r="ID26" s="243"/>
      <c r="IE26" s="243"/>
      <c r="IF26" s="243"/>
      <c r="IG26" s="243"/>
      <c r="IH26" s="243"/>
      <c r="II26" s="243"/>
      <c r="IJ26" s="243"/>
      <c r="IK26" s="243"/>
      <c r="IL26" s="243"/>
      <c r="IM26" s="243"/>
      <c r="IN26" s="243"/>
      <c r="IO26" s="243"/>
      <c r="IP26" s="243"/>
      <c r="IQ26" s="243"/>
      <c r="IR26" s="243"/>
      <c r="IS26" s="594"/>
      <c r="IT26" s="594"/>
    </row>
    <row r="27" spans="1:254" ht="16.5" thickTop="1" x14ac:dyDescent="0.25">
      <c r="A27" s="252"/>
      <c r="B27" s="252"/>
      <c r="C27" s="72"/>
      <c r="D27" s="72"/>
      <c r="E27" s="72"/>
      <c r="F27" s="72"/>
      <c r="G27" s="72"/>
      <c r="H27" s="72"/>
    </row>
    <row r="28" spans="1:254" x14ac:dyDescent="0.25">
      <c r="A28" s="252"/>
      <c r="B28" s="252"/>
      <c r="C28" s="72"/>
      <c r="D28" s="72"/>
      <c r="E28" s="72"/>
      <c r="F28" s="72"/>
      <c r="G28" s="72"/>
      <c r="H28" s="72"/>
    </row>
    <row r="29" spans="1:254" x14ac:dyDescent="0.25">
      <c r="A29" s="252"/>
      <c r="B29" s="252"/>
      <c r="C29" s="72"/>
      <c r="D29" s="72"/>
      <c r="E29" s="72"/>
      <c r="F29" s="72"/>
      <c r="G29" s="72"/>
      <c r="H29" s="72"/>
    </row>
    <row r="30" spans="1:254" x14ac:dyDescent="0.25">
      <c r="A30" s="252"/>
      <c r="B30" s="252"/>
      <c r="C30" s="72"/>
      <c r="D30" s="72"/>
      <c r="E30" s="72"/>
      <c r="F30" s="72"/>
      <c r="G30" s="72"/>
      <c r="H30" s="72"/>
    </row>
    <row r="31" spans="1:254" x14ac:dyDescent="0.25">
      <c r="A31" s="252"/>
      <c r="B31" s="252"/>
      <c r="C31" s="72"/>
      <c r="D31" s="72"/>
      <c r="E31" s="72"/>
      <c r="F31" s="72"/>
      <c r="G31" s="72"/>
      <c r="H31" s="72"/>
    </row>
    <row r="32" spans="1:254" x14ac:dyDescent="0.25">
      <c r="A32" s="252"/>
      <c r="B32" s="252"/>
      <c r="C32" s="72"/>
      <c r="D32" s="72"/>
      <c r="E32" s="72"/>
      <c r="F32" s="72"/>
      <c r="G32" s="72"/>
      <c r="H32" s="72"/>
    </row>
    <row r="33" spans="1:8" x14ac:dyDescent="0.25">
      <c r="A33" s="252"/>
      <c r="B33" s="252"/>
      <c r="C33" s="72"/>
      <c r="D33" s="72"/>
      <c r="E33" s="72"/>
      <c r="F33" s="72"/>
      <c r="G33" s="72"/>
      <c r="H33" s="72"/>
    </row>
    <row r="34" spans="1:8" x14ac:dyDescent="0.25">
      <c r="A34" s="252"/>
      <c r="B34" s="252"/>
      <c r="C34" s="72"/>
      <c r="D34" s="72"/>
      <c r="E34" s="72"/>
      <c r="F34" s="72"/>
      <c r="G34" s="72"/>
      <c r="H34" s="72"/>
    </row>
    <row r="35" spans="1:8" x14ac:dyDescent="0.25">
      <c r="A35" s="252"/>
      <c r="B35" s="252"/>
      <c r="C35" s="72"/>
      <c r="D35" s="72"/>
      <c r="E35" s="72"/>
      <c r="F35" s="72"/>
      <c r="G35" s="72"/>
      <c r="H35" s="72"/>
    </row>
    <row r="36" spans="1:8" x14ac:dyDescent="0.25">
      <c r="A36" s="29"/>
      <c r="B36" s="29"/>
      <c r="C36" s="72"/>
      <c r="D36" s="72"/>
      <c r="E36" s="72"/>
      <c r="F36" s="72"/>
      <c r="G36" s="72"/>
      <c r="H36" s="72"/>
    </row>
    <row r="37" spans="1:8" x14ac:dyDescent="0.25">
      <c r="C37" s="299"/>
      <c r="D37" s="299"/>
      <c r="E37" s="299"/>
    </row>
  </sheetData>
  <mergeCells count="8">
    <mergeCell ref="A1:K1"/>
    <mergeCell ref="A2:K2"/>
    <mergeCell ref="A3:K3"/>
    <mergeCell ref="A6:A7"/>
    <mergeCell ref="B6:B7"/>
    <mergeCell ref="C6:E6"/>
    <mergeCell ref="F6:H6"/>
    <mergeCell ref="I6:K6"/>
  </mergeCells>
  <pageMargins left="0.51181102362204722" right="0.51181102362204722" top="0.94488188976377963" bottom="0.74803149606299213" header="0.31496062992125984" footer="0.31496062992125984"/>
  <pageSetup paperSize="9" scale="71" orientation="landscape" r:id="rId1"/>
  <headerFooter>
    <oddHeader>&amp;R&amp;"Times New Roman CE,Félkövér"&amp;11  4.melléklet a 24/2020.(VI.3.) önkormányzati rendelethez&amp;"Times New Roman CE,Dőlt"&amp;10
4. melléklet
az 5/2020.(II.17.) önkormányzati rendelethez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workbookViewId="0">
      <selection activeCell="C12" sqref="C12"/>
    </sheetView>
  </sheetViews>
  <sheetFormatPr defaultColWidth="8.75" defaultRowHeight="15.75" x14ac:dyDescent="0.25"/>
  <cols>
    <col min="1" max="1" width="44.5" style="597" customWidth="1"/>
    <col min="2" max="2" width="14.25" style="243" customWidth="1"/>
    <col min="3" max="3" width="16.125" style="598" customWidth="1"/>
    <col min="4" max="16384" width="8.75" style="594"/>
  </cols>
  <sheetData>
    <row r="1" spans="1:3" x14ac:dyDescent="0.25">
      <c r="A1" s="884" t="s">
        <v>223</v>
      </c>
      <c r="B1" s="884"/>
      <c r="C1" s="884"/>
    </row>
    <row r="2" spans="1:3" x14ac:dyDescent="0.25">
      <c r="A2" s="884" t="s">
        <v>798</v>
      </c>
      <c r="B2" s="884"/>
      <c r="C2" s="884"/>
    </row>
    <row r="3" spans="1:3" x14ac:dyDescent="0.25">
      <c r="A3" s="884" t="s">
        <v>863</v>
      </c>
      <c r="B3" s="884"/>
      <c r="C3" s="884"/>
    </row>
    <row r="5" spans="1:3" ht="16.5" thickBot="1" x14ac:dyDescent="0.3"/>
    <row r="6" spans="1:3" ht="17.25" customHeight="1" thickTop="1" thickBot="1" x14ac:dyDescent="0.3">
      <c r="A6" s="599" t="s">
        <v>137</v>
      </c>
      <c r="B6" s="512" t="s">
        <v>154</v>
      </c>
      <c r="C6" s="600" t="s">
        <v>144</v>
      </c>
    </row>
    <row r="7" spans="1:3" ht="16.5" thickTop="1" x14ac:dyDescent="0.25">
      <c r="A7" s="513" t="s">
        <v>218</v>
      </c>
      <c r="B7" s="514" t="s">
        <v>224</v>
      </c>
      <c r="C7" s="515">
        <f>'3 bevétel(szűkített)'!K52</f>
        <v>37050535</v>
      </c>
    </row>
    <row r="8" spans="1:3" x14ac:dyDescent="0.25">
      <c r="A8" s="601" t="s">
        <v>225</v>
      </c>
      <c r="B8" s="516"/>
      <c r="C8" s="363">
        <f>'3 bevétel(szűkített)'!K58</f>
        <v>28266256</v>
      </c>
    </row>
    <row r="9" spans="1:3" x14ac:dyDescent="0.25">
      <c r="A9" s="602" t="s">
        <v>307</v>
      </c>
      <c r="B9" s="517"/>
      <c r="C9" s="89">
        <f>'3 bevétel(szűkített)'!K59</f>
        <v>11621659</v>
      </c>
    </row>
    <row r="10" spans="1:3" s="519" customFormat="1" x14ac:dyDescent="0.25">
      <c r="A10" s="342" t="s">
        <v>834</v>
      </c>
      <c r="B10" s="518" t="s">
        <v>174</v>
      </c>
      <c r="C10" s="89">
        <f>SUM(C8:C9)</f>
        <v>39887915</v>
      </c>
    </row>
    <row r="11" spans="1:3" x14ac:dyDescent="0.25">
      <c r="A11" s="603"/>
      <c r="B11" s="342"/>
      <c r="C11" s="89"/>
    </row>
    <row r="12" spans="1:3" s="519" customFormat="1" x14ac:dyDescent="0.25">
      <c r="A12" s="342" t="s">
        <v>219</v>
      </c>
      <c r="B12" s="342" t="s">
        <v>164</v>
      </c>
      <c r="C12" s="89">
        <f>'4 kiadás(szűkített)'!K22</f>
        <v>65152825</v>
      </c>
    </row>
    <row r="13" spans="1:3" ht="31.5" x14ac:dyDescent="0.25">
      <c r="A13" s="589" t="s">
        <v>837</v>
      </c>
      <c r="B13" s="88"/>
      <c r="C13" s="89">
        <f>'4 kiadás(szűkített)'!K23</f>
        <v>163966</v>
      </c>
    </row>
    <row r="14" spans="1:3" x14ac:dyDescent="0.25">
      <c r="A14" s="589" t="s">
        <v>835</v>
      </c>
      <c r="B14" s="88"/>
      <c r="C14" s="89">
        <f>'4 kiadás(szűkített)'!K24</f>
        <v>11621659</v>
      </c>
    </row>
    <row r="15" spans="1:3" x14ac:dyDescent="0.25">
      <c r="A15" s="88" t="s">
        <v>836</v>
      </c>
      <c r="B15" s="88" t="s">
        <v>210</v>
      </c>
      <c r="C15" s="520">
        <f>SUM(C13+C14)</f>
        <v>11785625</v>
      </c>
    </row>
    <row r="16" spans="1:3" x14ac:dyDescent="0.25">
      <c r="A16" s="603"/>
      <c r="B16" s="342"/>
      <c r="C16" s="596"/>
    </row>
    <row r="17" spans="1:3" s="519" customFormat="1" x14ac:dyDescent="0.25">
      <c r="A17" s="342" t="s">
        <v>220</v>
      </c>
      <c r="B17" s="342"/>
      <c r="C17" s="89">
        <f>SUM(C7-C12)</f>
        <v>-28102290</v>
      </c>
    </row>
    <row r="18" spans="1:3" s="519" customFormat="1" x14ac:dyDescent="0.25">
      <c r="A18" s="342" t="s">
        <v>221</v>
      </c>
      <c r="B18" s="342"/>
      <c r="C18" s="89">
        <f>SUM(C10-C15)</f>
        <v>28102290</v>
      </c>
    </row>
    <row r="19" spans="1:3" s="519" customFormat="1" ht="16.5" thickBot="1" x14ac:dyDescent="0.3">
      <c r="A19" s="521" t="s">
        <v>222</v>
      </c>
      <c r="B19" s="521"/>
      <c r="C19" s="522">
        <f>SUM(C17+C18)</f>
        <v>0</v>
      </c>
    </row>
    <row r="20" spans="1:3" ht="16.5" thickTop="1" x14ac:dyDescent="0.25"/>
  </sheetData>
  <mergeCells count="3">
    <mergeCell ref="A1:C1"/>
    <mergeCell ref="A2:C2"/>
    <mergeCell ref="A3:C3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&amp;R&amp;"Times New Roman CE,Félkövér"&amp;10 5.melléklet a 24/2020.(VI.3.) önkormányzati rendelethez&amp;"Times New Roman CE,Dőlt"
5. melléklet
az 5/2020.(II.17.) önkormányzati rendelethez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3"/>
  <sheetViews>
    <sheetView zoomScale="90" zoomScaleNormal="90" workbookViewId="0">
      <selection activeCell="H43" sqref="H43"/>
    </sheetView>
  </sheetViews>
  <sheetFormatPr defaultColWidth="8" defaultRowHeight="15.75" x14ac:dyDescent="0.25"/>
  <cols>
    <col min="1" max="1" width="20" style="615" customWidth="1"/>
    <col min="2" max="2" width="43.375" style="615" customWidth="1"/>
    <col min="3" max="3" width="10.75" style="615" customWidth="1"/>
    <col min="4" max="4" width="11.25" style="615" customWidth="1"/>
    <col min="5" max="5" width="12.125" style="615" customWidth="1"/>
    <col min="6" max="6" width="8.625" style="615" hidden="1" customWidth="1"/>
    <col min="7" max="7" width="8" style="615"/>
    <col min="8" max="8" width="9.875" style="615" bestFit="1" customWidth="1"/>
    <col min="9" max="9" width="8" style="615"/>
    <col min="10" max="10" width="8.875" style="615" bestFit="1" customWidth="1"/>
    <col min="11" max="16384" width="8" style="615"/>
  </cols>
  <sheetData>
    <row r="1" spans="1:13" ht="33.75" customHeight="1" x14ac:dyDescent="0.25">
      <c r="A1" s="898" t="s">
        <v>1159</v>
      </c>
      <c r="B1" s="899"/>
      <c r="C1" s="899"/>
      <c r="D1" s="899"/>
      <c r="E1" s="899"/>
    </row>
    <row r="2" spans="1:13" ht="16.5" thickBot="1" x14ac:dyDescent="0.3"/>
    <row r="3" spans="1:13" s="616" customFormat="1" ht="31.9" customHeight="1" thickBot="1" x14ac:dyDescent="0.3">
      <c r="A3" s="900" t="s">
        <v>1092</v>
      </c>
      <c r="B3" s="900"/>
      <c r="C3" s="900" t="s">
        <v>1093</v>
      </c>
      <c r="D3" s="900"/>
      <c r="E3" s="900"/>
    </row>
    <row r="4" spans="1:13" s="616" customFormat="1" ht="48" thickBot="1" x14ac:dyDescent="0.3">
      <c r="A4" s="604" t="s">
        <v>1094</v>
      </c>
      <c r="B4" s="604" t="s">
        <v>137</v>
      </c>
      <c r="C4" s="604" t="s">
        <v>1095</v>
      </c>
      <c r="D4" s="604" t="s">
        <v>1096</v>
      </c>
      <c r="E4" s="604" t="s">
        <v>1097</v>
      </c>
    </row>
    <row r="5" spans="1:13" s="616" customFormat="1" ht="30" customHeight="1" x14ac:dyDescent="0.25">
      <c r="A5" s="617" t="s">
        <v>1098</v>
      </c>
      <c r="B5" s="618" t="s">
        <v>1099</v>
      </c>
      <c r="C5" s="619">
        <v>100</v>
      </c>
      <c r="D5" s="619" t="s">
        <v>1100</v>
      </c>
      <c r="E5" s="620">
        <v>18</v>
      </c>
    </row>
    <row r="6" spans="1:13" s="616" customFormat="1" ht="30" customHeight="1" x14ac:dyDescent="0.25">
      <c r="A6" s="617" t="s">
        <v>1101</v>
      </c>
      <c r="B6" s="618" t="s">
        <v>1102</v>
      </c>
      <c r="C6" s="619"/>
      <c r="D6" s="619"/>
      <c r="E6" s="620">
        <v>1674389</v>
      </c>
    </row>
    <row r="7" spans="1:13" s="616" customFormat="1" ht="22.9" customHeight="1" x14ac:dyDescent="0.25">
      <c r="A7" s="617" t="s">
        <v>1103</v>
      </c>
      <c r="B7" s="618" t="s">
        <v>1104</v>
      </c>
      <c r="C7" s="621">
        <v>97400</v>
      </c>
      <c r="D7" s="619"/>
      <c r="E7" s="620">
        <v>297878</v>
      </c>
    </row>
    <row r="8" spans="1:13" s="616" customFormat="1" ht="47.25" x14ac:dyDescent="0.25">
      <c r="A8" s="617" t="s">
        <v>1105</v>
      </c>
      <c r="B8" s="618" t="s">
        <v>1106</v>
      </c>
      <c r="C8" s="621"/>
      <c r="D8" s="619"/>
      <c r="E8" s="620">
        <v>47399</v>
      </c>
    </row>
    <row r="9" spans="1:13" s="616" customFormat="1" ht="22.9" customHeight="1" x14ac:dyDescent="0.25">
      <c r="A9" s="617" t="s">
        <v>1107</v>
      </c>
      <c r="B9" s="618" t="s">
        <v>1108</v>
      </c>
      <c r="C9" s="621">
        <v>811600</v>
      </c>
      <c r="D9" s="619"/>
      <c r="E9" s="620">
        <v>2435</v>
      </c>
      <c r="F9" s="622">
        <f>SUM(E6:E9)</f>
        <v>2022101</v>
      </c>
    </row>
    <row r="10" spans="1:13" s="616" customFormat="1" ht="22.9" customHeight="1" x14ac:dyDescent="0.25">
      <c r="A10" s="617" t="s">
        <v>1109</v>
      </c>
      <c r="B10" s="618" t="s">
        <v>1110</v>
      </c>
      <c r="C10" s="621">
        <v>3780000</v>
      </c>
      <c r="D10" s="619"/>
      <c r="E10" s="620">
        <f>42160+3200</f>
        <v>45360</v>
      </c>
      <c r="K10" s="897"/>
      <c r="L10" s="897"/>
      <c r="M10" s="897"/>
    </row>
    <row r="11" spans="1:13" s="616" customFormat="1" ht="22.9" customHeight="1" x14ac:dyDescent="0.25">
      <c r="A11" s="617" t="s">
        <v>1111</v>
      </c>
      <c r="B11" s="618" t="s">
        <v>1112</v>
      </c>
      <c r="C11" s="621">
        <v>3300000</v>
      </c>
      <c r="D11" s="619"/>
      <c r="E11" s="620">
        <f>76890-990</f>
        <v>75900</v>
      </c>
    </row>
    <row r="12" spans="1:13" s="616" customFormat="1" ht="22.9" customHeight="1" x14ac:dyDescent="0.25">
      <c r="A12" s="617" t="s">
        <v>1113</v>
      </c>
      <c r="B12" s="618" t="s">
        <v>1114</v>
      </c>
      <c r="C12" s="621">
        <v>65360</v>
      </c>
      <c r="D12" s="619">
        <v>446</v>
      </c>
      <c r="E12" s="620">
        <v>29151</v>
      </c>
    </row>
    <row r="13" spans="1:13" s="616" customFormat="1" ht="22.9" customHeight="1" x14ac:dyDescent="0.25">
      <c r="A13" s="617" t="s">
        <v>1115</v>
      </c>
      <c r="B13" s="618" t="s">
        <v>1116</v>
      </c>
      <c r="C13" s="621">
        <v>25000</v>
      </c>
      <c r="D13" s="619">
        <v>4</v>
      </c>
      <c r="E13" s="620">
        <v>100</v>
      </c>
    </row>
    <row r="14" spans="1:13" s="616" customFormat="1" ht="22.9" customHeight="1" x14ac:dyDescent="0.25">
      <c r="A14" s="617" t="s">
        <v>1117</v>
      </c>
      <c r="B14" s="618" t="s">
        <v>1118</v>
      </c>
      <c r="C14" s="621">
        <v>330000</v>
      </c>
      <c r="D14" s="619">
        <v>158</v>
      </c>
      <c r="E14" s="620">
        <v>52140</v>
      </c>
    </row>
    <row r="15" spans="1:13" s="616" customFormat="1" ht="22.9" customHeight="1" x14ac:dyDescent="0.25">
      <c r="A15" s="617" t="s">
        <v>1119</v>
      </c>
      <c r="B15" s="623" t="s">
        <v>1120</v>
      </c>
      <c r="C15" s="621">
        <v>190000</v>
      </c>
      <c r="D15" s="619">
        <v>80</v>
      </c>
      <c r="E15" s="620">
        <v>15200</v>
      </c>
    </row>
    <row r="16" spans="1:13" s="616" customFormat="1" ht="30" customHeight="1" x14ac:dyDescent="0.25">
      <c r="A16" s="617" t="s">
        <v>1121</v>
      </c>
      <c r="B16" s="623" t="s">
        <v>1122</v>
      </c>
      <c r="C16" s="621">
        <v>689000</v>
      </c>
      <c r="D16" s="619">
        <v>18</v>
      </c>
      <c r="E16" s="620">
        <v>12402</v>
      </c>
    </row>
    <row r="17" spans="1:6" s="616" customFormat="1" ht="22.9" customHeight="1" x14ac:dyDescent="0.25">
      <c r="A17" s="617" t="s">
        <v>1123</v>
      </c>
      <c r="B17" s="623" t="s">
        <v>1124</v>
      </c>
      <c r="C17" s="621">
        <v>239100</v>
      </c>
      <c r="D17" s="619">
        <v>60</v>
      </c>
      <c r="E17" s="620">
        <v>14346</v>
      </c>
    </row>
    <row r="18" spans="1:6" s="616" customFormat="1" ht="22.9" customHeight="1" x14ac:dyDescent="0.25">
      <c r="A18" s="617" t="s">
        <v>1125</v>
      </c>
      <c r="B18" s="623" t="s">
        <v>1126</v>
      </c>
      <c r="C18" s="621">
        <v>569350</v>
      </c>
      <c r="D18" s="619">
        <v>121</v>
      </c>
      <c r="E18" s="620">
        <v>68891</v>
      </c>
    </row>
    <row r="19" spans="1:6" s="616" customFormat="1" ht="30" customHeight="1" x14ac:dyDescent="0.25">
      <c r="A19" s="617" t="s">
        <v>1127</v>
      </c>
      <c r="B19" s="623" t="s">
        <v>1128</v>
      </c>
      <c r="C19" s="621"/>
      <c r="D19" s="619"/>
      <c r="E19" s="620">
        <v>101755</v>
      </c>
    </row>
    <row r="20" spans="1:6" s="616" customFormat="1" ht="79.900000000000006" customHeight="1" x14ac:dyDescent="0.25">
      <c r="A20" s="617" t="s">
        <v>1129</v>
      </c>
      <c r="B20" s="623" t="s">
        <v>1130</v>
      </c>
      <c r="C20" s="621">
        <v>3858040</v>
      </c>
      <c r="D20" s="619">
        <v>73</v>
      </c>
      <c r="E20" s="620">
        <v>281637</v>
      </c>
    </row>
    <row r="21" spans="1:6" s="616" customFormat="1" ht="65.45" customHeight="1" x14ac:dyDescent="0.25">
      <c r="A21" s="617" t="s">
        <v>1131</v>
      </c>
      <c r="B21" s="623" t="s">
        <v>1132</v>
      </c>
      <c r="C21" s="621"/>
      <c r="D21" s="619"/>
      <c r="E21" s="620">
        <v>225462</v>
      </c>
    </row>
    <row r="22" spans="1:6" s="616" customFormat="1" ht="49.15" customHeight="1" x14ac:dyDescent="0.25">
      <c r="A22" s="617" t="s">
        <v>1133</v>
      </c>
      <c r="B22" s="623" t="s">
        <v>1134</v>
      </c>
      <c r="C22" s="621">
        <v>2200000</v>
      </c>
      <c r="D22" s="624">
        <v>160.02000000000001</v>
      </c>
      <c r="E22" s="620">
        <v>352044</v>
      </c>
    </row>
    <row r="23" spans="1:6" s="616" customFormat="1" ht="31.5" x14ac:dyDescent="0.25">
      <c r="A23" s="617" t="s">
        <v>1135</v>
      </c>
      <c r="B23" s="623" t="s">
        <v>1136</v>
      </c>
      <c r="C23" s="621"/>
      <c r="D23" s="619"/>
      <c r="E23" s="620">
        <v>426227</v>
      </c>
    </row>
    <row r="24" spans="1:6" s="616" customFormat="1" ht="30" customHeight="1" x14ac:dyDescent="0.25">
      <c r="A24" s="617" t="s">
        <v>1137</v>
      </c>
      <c r="B24" s="623" t="s">
        <v>1138</v>
      </c>
      <c r="C24" s="621">
        <v>285</v>
      </c>
      <c r="D24" s="619">
        <v>120</v>
      </c>
      <c r="E24" s="620">
        <v>34</v>
      </c>
    </row>
    <row r="25" spans="1:6" s="616" customFormat="1" ht="49.15" customHeight="1" x14ac:dyDescent="0.25">
      <c r="A25" s="617" t="s">
        <v>1139</v>
      </c>
      <c r="B25" s="623" t="s">
        <v>1140</v>
      </c>
      <c r="C25" s="621"/>
      <c r="D25" s="619"/>
      <c r="E25" s="620">
        <f>200389</f>
        <v>200389</v>
      </c>
    </row>
    <row r="26" spans="1:6" s="616" customFormat="1" ht="22.9" customHeight="1" x14ac:dyDescent="0.25">
      <c r="A26" s="617" t="s">
        <v>1141</v>
      </c>
      <c r="B26" s="623" t="s">
        <v>1142</v>
      </c>
      <c r="C26" s="621"/>
      <c r="D26" s="619"/>
      <c r="E26" s="620">
        <v>60900</v>
      </c>
      <c r="F26" s="622">
        <f>SUM(E10:E26)</f>
        <v>1961938</v>
      </c>
    </row>
    <row r="27" spans="1:6" s="616" customFormat="1" ht="30" customHeight="1" x14ac:dyDescent="0.25">
      <c r="A27" s="617" t="s">
        <v>1143</v>
      </c>
      <c r="B27" s="623" t="s">
        <v>1144</v>
      </c>
      <c r="C27" s="621">
        <v>459</v>
      </c>
      <c r="D27" s="625">
        <v>96373</v>
      </c>
      <c r="E27" s="620">
        <v>44235</v>
      </c>
    </row>
    <row r="28" spans="1:6" s="616" customFormat="1" ht="30" customHeight="1" x14ac:dyDescent="0.25">
      <c r="A28" s="617" t="s">
        <v>1145</v>
      </c>
      <c r="B28" s="623" t="s">
        <v>1146</v>
      </c>
      <c r="C28" s="621"/>
      <c r="D28" s="619"/>
      <c r="E28" s="620">
        <f>73051+1</f>
        <v>73052</v>
      </c>
    </row>
    <row r="29" spans="1:6" ht="9" customHeight="1" thickBot="1" x14ac:dyDescent="0.3"/>
    <row r="30" spans="1:6" s="616" customFormat="1" ht="16.5" thickBot="1" x14ac:dyDescent="0.3">
      <c r="A30" s="605" t="s">
        <v>1147</v>
      </c>
      <c r="B30" s="606"/>
      <c r="C30" s="607"/>
      <c r="D30" s="607"/>
      <c r="E30" s="608">
        <f>SUM(E5:E28)</f>
        <v>4101344</v>
      </c>
    </row>
    <row r="31" spans="1:6" ht="16.5" thickBot="1" x14ac:dyDescent="0.3">
      <c r="B31" s="626"/>
    </row>
    <row r="32" spans="1:6" s="616" customFormat="1" ht="31.9" customHeight="1" thickBot="1" x14ac:dyDescent="0.3">
      <c r="A32" s="900" t="s">
        <v>1092</v>
      </c>
      <c r="B32" s="900"/>
      <c r="C32" s="900" t="s">
        <v>1093</v>
      </c>
      <c r="D32" s="900"/>
      <c r="E32" s="900"/>
    </row>
    <row r="33" spans="1:11" s="616" customFormat="1" ht="48" thickBot="1" x14ac:dyDescent="0.3">
      <c r="A33" s="604" t="s">
        <v>1094</v>
      </c>
      <c r="B33" s="604" t="s">
        <v>137</v>
      </c>
      <c r="C33" s="604" t="s">
        <v>1095</v>
      </c>
      <c r="D33" s="604" t="s">
        <v>1096</v>
      </c>
      <c r="E33" s="604" t="s">
        <v>1097</v>
      </c>
    </row>
    <row r="34" spans="1:11" s="616" customFormat="1" ht="47.25" x14ac:dyDescent="0.25">
      <c r="A34" s="617" t="s">
        <v>1148</v>
      </c>
      <c r="B34" s="623" t="s">
        <v>1149</v>
      </c>
      <c r="C34" s="627"/>
      <c r="D34" s="628"/>
      <c r="E34" s="620">
        <v>234160</v>
      </c>
    </row>
    <row r="35" spans="1:11" s="616" customFormat="1" ht="47.25" x14ac:dyDescent="0.25">
      <c r="A35" s="617" t="s">
        <v>1150</v>
      </c>
      <c r="B35" s="623" t="s">
        <v>1151</v>
      </c>
      <c r="C35" s="627"/>
      <c r="D35" s="628"/>
      <c r="E35" s="620">
        <v>177000</v>
      </c>
    </row>
    <row r="36" spans="1:11" s="616" customFormat="1" ht="47.25" x14ac:dyDescent="0.25">
      <c r="A36" s="617" t="s">
        <v>1152</v>
      </c>
      <c r="B36" s="623" t="s">
        <v>1153</v>
      </c>
      <c r="C36" s="627"/>
      <c r="D36" s="628"/>
      <c r="E36" s="620">
        <v>30000</v>
      </c>
    </row>
    <row r="37" spans="1:11" s="616" customFormat="1" ht="47.25" x14ac:dyDescent="0.25">
      <c r="A37" s="617" t="s">
        <v>1154</v>
      </c>
      <c r="B37" s="623" t="s">
        <v>1155</v>
      </c>
      <c r="C37" s="627"/>
      <c r="D37" s="628"/>
      <c r="E37" s="620">
        <v>485391</v>
      </c>
    </row>
    <row r="38" spans="1:11" s="616" customFormat="1" ht="31.5" x14ac:dyDescent="0.25">
      <c r="A38" s="617" t="s">
        <v>1156</v>
      </c>
      <c r="B38" s="623" t="s">
        <v>1157</v>
      </c>
      <c r="C38" s="628"/>
      <c r="D38" s="628"/>
      <c r="E38" s="620">
        <f>3088-988</f>
        <v>2100</v>
      </c>
    </row>
    <row r="39" spans="1:11" x14ac:dyDescent="0.25">
      <c r="B39" s="629"/>
      <c r="E39" s="630"/>
    </row>
    <row r="40" spans="1:11" s="613" customFormat="1" x14ac:dyDescent="0.25">
      <c r="A40" s="609" t="s">
        <v>1158</v>
      </c>
      <c r="B40" s="610"/>
      <c r="C40" s="611"/>
      <c r="D40" s="611"/>
      <c r="E40" s="612">
        <f>SUM(E34:E38)</f>
        <v>928651</v>
      </c>
      <c r="J40" s="615"/>
      <c r="K40" s="615"/>
    </row>
    <row r="41" spans="1:11" x14ac:dyDescent="0.25">
      <c r="B41" s="629"/>
      <c r="E41" s="630"/>
    </row>
    <row r="42" spans="1:11" s="613" customFormat="1" x14ac:dyDescent="0.25">
      <c r="A42" s="609" t="s">
        <v>490</v>
      </c>
      <c r="B42" s="611"/>
      <c r="C42" s="611"/>
      <c r="D42" s="611"/>
      <c r="E42" s="612">
        <f>E30+E34+E35+E37+E38+E36</f>
        <v>5029995</v>
      </c>
      <c r="G42" s="615"/>
      <c r="J42" s="614"/>
    </row>
    <row r="43" spans="1:11" x14ac:dyDescent="0.25">
      <c r="H43" s="630"/>
    </row>
  </sheetData>
  <mergeCells count="6">
    <mergeCell ref="K10:M10"/>
    <mergeCell ref="A1:E1"/>
    <mergeCell ref="A3:B3"/>
    <mergeCell ref="C3:E3"/>
    <mergeCell ref="A32:B32"/>
    <mergeCell ref="C32:E32"/>
  </mergeCells>
  <pageMargins left="0.59055118110236227" right="0.39370078740157483" top="0.82677165354330717" bottom="0.43307086614173229" header="0.31496062992125984" footer="0.31496062992125984"/>
  <pageSetup paperSize="9" scale="82" orientation="portrait" r:id="rId1"/>
  <headerFooter>
    <oddHeader>&amp;C&amp;"Times New Roman CE,Félkövér"
&amp;R&amp;"Times New Roman CE,Félkövér"&amp;11 6.melléklet a 24/2020.(VI.3.) önkormányzati rendelethez&amp;"Times New Roman CE,Dőlt"
6. melléklet
 az 5/2020.(II.17.) önkormányzati rendelethez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41"/>
  <sheetViews>
    <sheetView view="pageBreakPreview" zoomScale="60" zoomScaleNormal="68" workbookViewId="0">
      <pane xSplit="2" ySplit="4" topLeftCell="C606" activePane="bottomRight" state="frozen"/>
      <selection activeCell="G59" sqref="G59"/>
      <selection pane="topRight" activeCell="G59" sqref="G59"/>
      <selection pane="bottomLeft" activeCell="G59" sqref="G59"/>
      <selection pane="bottomRight" activeCell="A605" sqref="A605:O606"/>
    </sheetView>
  </sheetViews>
  <sheetFormatPr defaultRowHeight="15.75" x14ac:dyDescent="0.25"/>
  <cols>
    <col min="1" max="1" width="3.125" style="680" customWidth="1"/>
    <col min="2" max="2" width="38.25" style="630" customWidth="1"/>
    <col min="3" max="3" width="15.75" style="669" customWidth="1"/>
    <col min="4" max="4" width="16.875" style="669" customWidth="1"/>
    <col min="5" max="5" width="11.75" style="669" customWidth="1"/>
    <col min="6" max="6" width="10.125" style="669" customWidth="1"/>
    <col min="7" max="7" width="12.625" style="669" customWidth="1"/>
    <col min="8" max="8" width="13.25" style="669" customWidth="1"/>
    <col min="9" max="9" width="12.375" style="669" customWidth="1"/>
    <col min="10" max="10" width="13.75" style="669" customWidth="1"/>
    <col min="11" max="11" width="13.375" style="669" customWidth="1"/>
    <col min="12" max="12" width="14" style="669" customWidth="1"/>
    <col min="13" max="13" width="14.875" style="669" customWidth="1"/>
    <col min="14" max="14" width="12.5" style="669" customWidth="1"/>
    <col min="15" max="15" width="11.125" style="669" customWidth="1"/>
    <col min="16" max="16" width="10.25" style="669" customWidth="1"/>
    <col min="17" max="17" width="9.25" style="669" bestFit="1" customWidth="1"/>
    <col min="18" max="16384" width="9" style="669"/>
  </cols>
  <sheetData>
    <row r="1" spans="1:15" ht="21.75" customHeight="1" thickBot="1" x14ac:dyDescent="0.3">
      <c r="A1" s="903" t="s">
        <v>427</v>
      </c>
      <c r="B1" s="901" t="s">
        <v>426</v>
      </c>
      <c r="C1" s="901" t="s">
        <v>259</v>
      </c>
      <c r="D1" s="901" t="s">
        <v>260</v>
      </c>
      <c r="E1" s="901" t="s">
        <v>425</v>
      </c>
      <c r="F1" s="901" t="s">
        <v>54</v>
      </c>
      <c r="G1" s="901" t="s">
        <v>59</v>
      </c>
      <c r="H1" s="901" t="s">
        <v>261</v>
      </c>
      <c r="I1" s="901" t="s">
        <v>262</v>
      </c>
      <c r="J1" s="901" t="s">
        <v>444</v>
      </c>
      <c r="K1" s="901" t="s">
        <v>445</v>
      </c>
      <c r="L1" s="901" t="s">
        <v>424</v>
      </c>
      <c r="M1" s="906" t="s">
        <v>423</v>
      </c>
      <c r="N1" s="907"/>
      <c r="O1" s="901" t="s">
        <v>422</v>
      </c>
    </row>
    <row r="2" spans="1:15" ht="33.75" customHeight="1" thickBot="1" x14ac:dyDescent="0.3">
      <c r="A2" s="904"/>
      <c r="B2" s="902"/>
      <c r="C2" s="902"/>
      <c r="D2" s="902"/>
      <c r="E2" s="902"/>
      <c r="F2" s="902"/>
      <c r="G2" s="902"/>
      <c r="H2" s="902"/>
      <c r="I2" s="902"/>
      <c r="J2" s="902"/>
      <c r="K2" s="902"/>
      <c r="L2" s="902"/>
      <c r="M2" s="631" t="s">
        <v>421</v>
      </c>
      <c r="N2" s="632" t="s">
        <v>263</v>
      </c>
      <c r="O2" s="902"/>
    </row>
    <row r="3" spans="1:15" thickBot="1" x14ac:dyDescent="0.3">
      <c r="A3" s="905"/>
      <c r="B3" s="633"/>
      <c r="C3" s="634" t="s">
        <v>165</v>
      </c>
      <c r="D3" s="634" t="s">
        <v>166</v>
      </c>
      <c r="E3" s="634" t="s">
        <v>167</v>
      </c>
      <c r="F3" s="634" t="s">
        <v>168</v>
      </c>
      <c r="G3" s="634" t="s">
        <v>169</v>
      </c>
      <c r="H3" s="634" t="s">
        <v>170</v>
      </c>
      <c r="I3" s="634" t="s">
        <v>171</v>
      </c>
      <c r="J3" s="635" t="s">
        <v>420</v>
      </c>
      <c r="K3" s="636" t="s">
        <v>419</v>
      </c>
      <c r="L3" s="634" t="s">
        <v>418</v>
      </c>
      <c r="M3" s="908" t="s">
        <v>174</v>
      </c>
      <c r="N3" s="909"/>
      <c r="O3" s="637" t="s">
        <v>417</v>
      </c>
    </row>
    <row r="4" spans="1:15" ht="17.25" thickTop="1" thickBot="1" x14ac:dyDescent="0.3">
      <c r="A4" s="638"/>
      <c r="B4" s="639" t="s">
        <v>139</v>
      </c>
      <c r="C4" s="640" t="s">
        <v>140</v>
      </c>
      <c r="D4" s="640" t="s">
        <v>141</v>
      </c>
      <c r="E4" s="640" t="s">
        <v>142</v>
      </c>
      <c r="F4" s="640" t="s">
        <v>143</v>
      </c>
      <c r="G4" s="640" t="s">
        <v>416</v>
      </c>
      <c r="H4" s="640" t="s">
        <v>35</v>
      </c>
      <c r="I4" s="640" t="s">
        <v>36</v>
      </c>
      <c r="J4" s="640" t="s">
        <v>415</v>
      </c>
      <c r="K4" s="640" t="s">
        <v>414</v>
      </c>
      <c r="L4" s="640" t="s">
        <v>413</v>
      </c>
      <c r="M4" s="910" t="s">
        <v>40</v>
      </c>
      <c r="N4" s="911"/>
      <c r="O4" s="641" t="s">
        <v>264</v>
      </c>
    </row>
    <row r="5" spans="1:15" ht="16.5" thickTop="1" x14ac:dyDescent="0.25">
      <c r="A5" s="642" t="s">
        <v>145</v>
      </c>
      <c r="B5" s="670" t="s">
        <v>412</v>
      </c>
      <c r="C5" s="670"/>
      <c r="D5" s="670"/>
      <c r="E5" s="670"/>
      <c r="F5" s="670"/>
      <c r="G5" s="670"/>
      <c r="H5" s="670"/>
      <c r="I5" s="670"/>
      <c r="J5" s="670"/>
      <c r="K5" s="670"/>
      <c r="L5" s="670"/>
      <c r="M5" s="670"/>
      <c r="N5" s="670"/>
      <c r="O5" s="670"/>
    </row>
    <row r="6" spans="1:15" x14ac:dyDescent="0.25">
      <c r="A6" s="642"/>
      <c r="B6" s="671" t="s">
        <v>349</v>
      </c>
      <c r="C6" s="671">
        <f>SUM(C7:C8)</f>
        <v>530700</v>
      </c>
      <c r="D6" s="671">
        <f t="shared" ref="D6:F6" si="0">SUM(D7:D8)</f>
        <v>0</v>
      </c>
      <c r="E6" s="671">
        <f t="shared" si="0"/>
        <v>0</v>
      </c>
      <c r="F6" s="671">
        <f t="shared" si="0"/>
        <v>1900</v>
      </c>
      <c r="G6" s="671"/>
      <c r="H6" s="671"/>
      <c r="I6" s="671"/>
      <c r="J6" s="671">
        <f>SUM(C6+E6+F6+H6)</f>
        <v>532600</v>
      </c>
      <c r="K6" s="671">
        <f>SUM(D6+G6+I6)</f>
        <v>0</v>
      </c>
      <c r="L6" s="671">
        <f>SUM(J6:K6)</f>
        <v>532600</v>
      </c>
      <c r="M6" s="671">
        <f>SUM(M7:M8)</f>
        <v>1116570</v>
      </c>
      <c r="N6" s="671"/>
      <c r="O6" s="671">
        <f>SUM(L6:N6)</f>
        <v>1649170</v>
      </c>
    </row>
    <row r="7" spans="1:15" s="672" customFormat="1" x14ac:dyDescent="0.25">
      <c r="A7" s="643"/>
      <c r="B7" s="644" t="s">
        <v>383</v>
      </c>
      <c r="C7" s="644">
        <v>398025</v>
      </c>
      <c r="D7" s="644"/>
      <c r="E7" s="644"/>
      <c r="F7" s="644">
        <v>1425</v>
      </c>
      <c r="G7" s="644"/>
      <c r="H7" s="644"/>
      <c r="I7" s="645"/>
      <c r="J7" s="645">
        <f>SUM(C7+E7+F7+H7)</f>
        <v>399450</v>
      </c>
      <c r="K7" s="645">
        <f>SUM(D7+G7+I7)</f>
        <v>0</v>
      </c>
      <c r="L7" s="645">
        <f>SUM(J7:K7)</f>
        <v>399450</v>
      </c>
      <c r="M7" s="645">
        <v>1038858</v>
      </c>
      <c r="N7" s="645"/>
      <c r="O7" s="645">
        <f>SUM(L7:N7)</f>
        <v>1438308</v>
      </c>
    </row>
    <row r="8" spans="1:15" s="672" customFormat="1" x14ac:dyDescent="0.25">
      <c r="A8" s="643"/>
      <c r="B8" s="644" t="s">
        <v>382</v>
      </c>
      <c r="C8" s="644">
        <v>132675</v>
      </c>
      <c r="D8" s="644"/>
      <c r="E8" s="644"/>
      <c r="F8" s="644">
        <v>475</v>
      </c>
      <c r="G8" s="644"/>
      <c r="H8" s="644"/>
      <c r="I8" s="645"/>
      <c r="J8" s="645">
        <f>SUM(C8+E8+F8+H8)</f>
        <v>133150</v>
      </c>
      <c r="K8" s="645">
        <f>SUM(D8+G8+I8)</f>
        <v>0</v>
      </c>
      <c r="L8" s="645">
        <f>SUM(J8:K8)</f>
        <v>133150</v>
      </c>
      <c r="M8" s="645">
        <v>77712</v>
      </c>
      <c r="N8" s="645"/>
      <c r="O8" s="645">
        <f>SUM(L8:N8)</f>
        <v>210862</v>
      </c>
    </row>
    <row r="9" spans="1:15" s="672" customFormat="1" x14ac:dyDescent="0.25">
      <c r="A9" s="643"/>
      <c r="B9" s="644" t="s">
        <v>132</v>
      </c>
      <c r="C9" s="646"/>
      <c r="D9" s="646"/>
      <c r="E9" s="646"/>
      <c r="F9" s="646"/>
      <c r="G9" s="646"/>
      <c r="H9" s="646"/>
      <c r="I9" s="646"/>
      <c r="J9" s="646"/>
      <c r="K9" s="646"/>
      <c r="L9" s="646"/>
      <c r="M9" s="646"/>
      <c r="N9" s="646"/>
      <c r="O9" s="646"/>
    </row>
    <row r="10" spans="1:15" ht="35.25" customHeight="1" x14ac:dyDescent="0.25">
      <c r="A10" s="642"/>
      <c r="B10" s="646" t="s">
        <v>1196</v>
      </c>
      <c r="C10" s="646">
        <v>42840</v>
      </c>
      <c r="D10" s="646"/>
      <c r="E10" s="646"/>
      <c r="F10" s="646"/>
      <c r="G10" s="646"/>
      <c r="H10" s="646"/>
      <c r="I10" s="646"/>
      <c r="J10" s="646">
        <f t="shared" ref="J10:J19" si="1">SUM(C10+E10+F10+H10)</f>
        <v>42840</v>
      </c>
      <c r="K10" s="646">
        <f t="shared" ref="K10:K19" si="2">SUM(D10+G10+I10)</f>
        <v>0</v>
      </c>
      <c r="L10" s="646">
        <f t="shared" ref="L10:L19" si="3">SUM(J10:K10)</f>
        <v>42840</v>
      </c>
      <c r="M10" s="646"/>
      <c r="N10" s="646">
        <v>105152</v>
      </c>
      <c r="O10" s="646">
        <f t="shared" ref="O10:O19" si="4">SUM(L10:N10)</f>
        <v>147992</v>
      </c>
    </row>
    <row r="11" spans="1:15" ht="31.5" x14ac:dyDescent="0.25">
      <c r="A11" s="642"/>
      <c r="B11" s="646" t="s">
        <v>1197</v>
      </c>
      <c r="C11" s="646"/>
      <c r="D11" s="646"/>
      <c r="E11" s="646"/>
      <c r="F11" s="646"/>
      <c r="G11" s="646"/>
      <c r="H11" s="646"/>
      <c r="I11" s="646"/>
      <c r="J11" s="646">
        <f t="shared" si="1"/>
        <v>0</v>
      </c>
      <c r="K11" s="646">
        <f t="shared" si="2"/>
        <v>0</v>
      </c>
      <c r="L11" s="646">
        <f t="shared" si="3"/>
        <v>0</v>
      </c>
      <c r="M11" s="646">
        <v>666</v>
      </c>
      <c r="N11" s="646"/>
      <c r="O11" s="646">
        <f t="shared" si="4"/>
        <v>666</v>
      </c>
    </row>
    <row r="12" spans="1:15" ht="31.5" x14ac:dyDescent="0.25">
      <c r="A12" s="642"/>
      <c r="B12" s="673" t="s">
        <v>1198</v>
      </c>
      <c r="C12" s="646"/>
      <c r="D12" s="646"/>
      <c r="E12" s="646"/>
      <c r="F12" s="646"/>
      <c r="G12" s="646"/>
      <c r="H12" s="646"/>
      <c r="I12" s="646"/>
      <c r="J12" s="646">
        <f t="shared" si="1"/>
        <v>0</v>
      </c>
      <c r="K12" s="646">
        <f t="shared" si="2"/>
        <v>0</v>
      </c>
      <c r="L12" s="646">
        <f t="shared" si="3"/>
        <v>0</v>
      </c>
      <c r="M12" s="646">
        <v>-5505</v>
      </c>
      <c r="N12" s="646"/>
      <c r="O12" s="646">
        <f t="shared" si="4"/>
        <v>-5505</v>
      </c>
    </row>
    <row r="13" spans="1:15" x14ac:dyDescent="0.25">
      <c r="A13" s="642"/>
      <c r="B13" s="646" t="s">
        <v>1199</v>
      </c>
      <c r="C13" s="646"/>
      <c r="D13" s="646"/>
      <c r="E13" s="646"/>
      <c r="F13" s="646"/>
      <c r="G13" s="646"/>
      <c r="H13" s="646"/>
      <c r="I13" s="646"/>
      <c r="J13" s="646">
        <f t="shared" si="1"/>
        <v>0</v>
      </c>
      <c r="K13" s="646">
        <f t="shared" si="2"/>
        <v>0</v>
      </c>
      <c r="L13" s="646">
        <f t="shared" si="3"/>
        <v>0</v>
      </c>
      <c r="M13" s="646">
        <v>-5183</v>
      </c>
      <c r="N13" s="646"/>
      <c r="O13" s="646">
        <f t="shared" si="4"/>
        <v>-5183</v>
      </c>
    </row>
    <row r="14" spans="1:15" ht="47.25" x14ac:dyDescent="0.25">
      <c r="A14" s="642"/>
      <c r="B14" s="646" t="s">
        <v>1200</v>
      </c>
      <c r="C14" s="646"/>
      <c r="D14" s="646"/>
      <c r="E14" s="646"/>
      <c r="F14" s="646"/>
      <c r="G14" s="646"/>
      <c r="H14" s="646"/>
      <c r="I14" s="646"/>
      <c r="J14" s="646">
        <f t="shared" si="1"/>
        <v>0</v>
      </c>
      <c r="K14" s="646">
        <f t="shared" si="2"/>
        <v>0</v>
      </c>
      <c r="L14" s="646">
        <f t="shared" si="3"/>
        <v>0</v>
      </c>
      <c r="M14" s="646">
        <v>1396</v>
      </c>
      <c r="N14" s="646"/>
      <c r="O14" s="646">
        <f t="shared" si="4"/>
        <v>1396</v>
      </c>
    </row>
    <row r="15" spans="1:15" x14ac:dyDescent="0.25">
      <c r="A15" s="642"/>
      <c r="B15" s="646" t="s">
        <v>1201</v>
      </c>
      <c r="C15" s="646"/>
      <c r="D15" s="646"/>
      <c r="E15" s="646"/>
      <c r="F15" s="646"/>
      <c r="G15" s="646"/>
      <c r="H15" s="646"/>
      <c r="I15" s="646"/>
      <c r="J15" s="646">
        <f t="shared" si="1"/>
        <v>0</v>
      </c>
      <c r="K15" s="646">
        <f t="shared" si="2"/>
        <v>0</v>
      </c>
      <c r="L15" s="646">
        <f t="shared" si="3"/>
        <v>0</v>
      </c>
      <c r="M15" s="646">
        <v>-2266</v>
      </c>
      <c r="N15" s="646"/>
      <c r="O15" s="646">
        <f t="shared" si="4"/>
        <v>-2266</v>
      </c>
    </row>
    <row r="16" spans="1:15" ht="31.5" x14ac:dyDescent="0.25">
      <c r="A16" s="642"/>
      <c r="B16" s="646" t="s">
        <v>1202</v>
      </c>
      <c r="C16" s="646"/>
      <c r="D16" s="646"/>
      <c r="E16" s="646"/>
      <c r="F16" s="646"/>
      <c r="G16" s="646"/>
      <c r="H16" s="646"/>
      <c r="I16" s="646"/>
      <c r="J16" s="646">
        <f t="shared" si="1"/>
        <v>0</v>
      </c>
      <c r="K16" s="646">
        <f t="shared" si="2"/>
        <v>0</v>
      </c>
      <c r="L16" s="646">
        <f t="shared" si="3"/>
        <v>0</v>
      </c>
      <c r="M16" s="646">
        <v>652</v>
      </c>
      <c r="N16" s="646"/>
      <c r="O16" s="646">
        <f t="shared" si="4"/>
        <v>652</v>
      </c>
    </row>
    <row r="17" spans="1:15" ht="110.25" customHeight="1" x14ac:dyDescent="0.25">
      <c r="A17" s="642"/>
      <c r="B17" s="646" t="s">
        <v>1203</v>
      </c>
      <c r="C17" s="646"/>
      <c r="D17" s="646"/>
      <c r="E17" s="646"/>
      <c r="F17" s="646"/>
      <c r="G17" s="646"/>
      <c r="H17" s="646"/>
      <c r="I17" s="646"/>
      <c r="J17" s="646">
        <f t="shared" si="1"/>
        <v>0</v>
      </c>
      <c r="K17" s="646">
        <f t="shared" si="2"/>
        <v>0</v>
      </c>
      <c r="L17" s="646">
        <f t="shared" si="3"/>
        <v>0</v>
      </c>
      <c r="M17" s="646">
        <v>-600000</v>
      </c>
      <c r="N17" s="646"/>
      <c r="O17" s="646">
        <f t="shared" si="4"/>
        <v>-600000</v>
      </c>
    </row>
    <row r="18" spans="1:15" s="672" customFormat="1" x14ac:dyDescent="0.25">
      <c r="A18" s="643"/>
      <c r="B18" s="644" t="s">
        <v>133</v>
      </c>
      <c r="C18" s="646"/>
      <c r="D18" s="646"/>
      <c r="E18" s="646"/>
      <c r="F18" s="646"/>
      <c r="G18" s="646"/>
      <c r="H18" s="646"/>
      <c r="I18" s="646"/>
      <c r="J18" s="646"/>
      <c r="K18" s="646"/>
      <c r="L18" s="646"/>
      <c r="M18" s="646"/>
      <c r="N18" s="646"/>
      <c r="O18" s="646"/>
    </row>
    <row r="19" spans="1:15" ht="16.5" thickBot="1" x14ac:dyDescent="0.3">
      <c r="A19" s="642"/>
      <c r="B19" s="646" t="s">
        <v>1204</v>
      </c>
      <c r="C19" s="646"/>
      <c r="D19" s="646"/>
      <c r="E19" s="646"/>
      <c r="F19" s="646"/>
      <c r="G19" s="646"/>
      <c r="H19" s="646"/>
      <c r="I19" s="646"/>
      <c r="J19" s="646">
        <f t="shared" si="1"/>
        <v>0</v>
      </c>
      <c r="K19" s="646">
        <f t="shared" si="2"/>
        <v>0</v>
      </c>
      <c r="L19" s="646">
        <f t="shared" si="3"/>
        <v>0</v>
      </c>
      <c r="M19" s="646">
        <v>5444</v>
      </c>
      <c r="N19" s="646"/>
      <c r="O19" s="646">
        <f t="shared" si="4"/>
        <v>5444</v>
      </c>
    </row>
    <row r="20" spans="1:15" ht="17.25" thickTop="1" thickBot="1" x14ac:dyDescent="0.3">
      <c r="A20" s="638"/>
      <c r="B20" s="647" t="s">
        <v>381</v>
      </c>
      <c r="C20" s="647">
        <f>+C6+C10+C19+C11+C12+C13+C14+C15+C16+C17</f>
        <v>573540</v>
      </c>
      <c r="D20" s="647">
        <f t="shared" ref="D20:O20" si="5">+D6+D10+D19+D11+D12+D13+D14+D15+D16+D17</f>
        <v>0</v>
      </c>
      <c r="E20" s="647">
        <f t="shared" si="5"/>
        <v>0</v>
      </c>
      <c r="F20" s="647">
        <f t="shared" si="5"/>
        <v>1900</v>
      </c>
      <c r="G20" s="647">
        <f t="shared" si="5"/>
        <v>0</v>
      </c>
      <c r="H20" s="647">
        <f t="shared" si="5"/>
        <v>0</v>
      </c>
      <c r="I20" s="647">
        <f t="shared" si="5"/>
        <v>0</v>
      </c>
      <c r="J20" s="647">
        <f t="shared" si="5"/>
        <v>575440</v>
      </c>
      <c r="K20" s="647">
        <f t="shared" si="5"/>
        <v>0</v>
      </c>
      <c r="L20" s="647">
        <f t="shared" si="5"/>
        <v>575440</v>
      </c>
      <c r="M20" s="647">
        <f t="shared" si="5"/>
        <v>511774</v>
      </c>
      <c r="N20" s="647">
        <f t="shared" si="5"/>
        <v>105152</v>
      </c>
      <c r="O20" s="647">
        <f t="shared" si="5"/>
        <v>1192366</v>
      </c>
    </row>
    <row r="21" spans="1:15" ht="17.25" thickTop="1" thickBot="1" x14ac:dyDescent="0.3">
      <c r="A21" s="638"/>
      <c r="B21" s="647" t="s">
        <v>380</v>
      </c>
      <c r="C21" s="647">
        <f t="shared" ref="C21:O21" si="6">+C7+C10+C11+C12+C13+C14+C15+C16+C17</f>
        <v>440865</v>
      </c>
      <c r="D21" s="647">
        <f t="shared" si="6"/>
        <v>0</v>
      </c>
      <c r="E21" s="647">
        <f t="shared" si="6"/>
        <v>0</v>
      </c>
      <c r="F21" s="647">
        <f t="shared" si="6"/>
        <v>1425</v>
      </c>
      <c r="G21" s="647">
        <f t="shared" si="6"/>
        <v>0</v>
      </c>
      <c r="H21" s="647">
        <f t="shared" si="6"/>
        <v>0</v>
      </c>
      <c r="I21" s="647">
        <f t="shared" si="6"/>
        <v>0</v>
      </c>
      <c r="J21" s="647">
        <f t="shared" si="6"/>
        <v>442290</v>
      </c>
      <c r="K21" s="647">
        <f t="shared" si="6"/>
        <v>0</v>
      </c>
      <c r="L21" s="647">
        <f t="shared" si="6"/>
        <v>442290</v>
      </c>
      <c r="M21" s="647">
        <f t="shared" si="6"/>
        <v>428618</v>
      </c>
      <c r="N21" s="647">
        <f t="shared" si="6"/>
        <v>105152</v>
      </c>
      <c r="O21" s="647">
        <f t="shared" si="6"/>
        <v>976060</v>
      </c>
    </row>
    <row r="22" spans="1:15" ht="17.25" thickTop="1" thickBot="1" x14ac:dyDescent="0.3">
      <c r="A22" s="638"/>
      <c r="B22" s="647" t="s">
        <v>379</v>
      </c>
      <c r="C22" s="647">
        <f>+C8+C19</f>
        <v>132675</v>
      </c>
      <c r="D22" s="647">
        <f t="shared" ref="D22:O22" si="7">+D8+D19</f>
        <v>0</v>
      </c>
      <c r="E22" s="647">
        <f t="shared" si="7"/>
        <v>0</v>
      </c>
      <c r="F22" s="647">
        <f t="shared" si="7"/>
        <v>475</v>
      </c>
      <c r="G22" s="647">
        <f t="shared" si="7"/>
        <v>0</v>
      </c>
      <c r="H22" s="647">
        <f t="shared" si="7"/>
        <v>0</v>
      </c>
      <c r="I22" s="647">
        <f t="shared" si="7"/>
        <v>0</v>
      </c>
      <c r="J22" s="647">
        <f t="shared" si="7"/>
        <v>133150</v>
      </c>
      <c r="K22" s="647">
        <f t="shared" si="7"/>
        <v>0</v>
      </c>
      <c r="L22" s="647">
        <f t="shared" si="7"/>
        <v>133150</v>
      </c>
      <c r="M22" s="647">
        <f t="shared" si="7"/>
        <v>83156</v>
      </c>
      <c r="N22" s="647">
        <f t="shared" si="7"/>
        <v>0</v>
      </c>
      <c r="O22" s="647">
        <f t="shared" si="7"/>
        <v>216306</v>
      </c>
    </row>
    <row r="23" spans="1:15" ht="32.25" thickTop="1" x14ac:dyDescent="0.25">
      <c r="A23" s="642" t="s">
        <v>146</v>
      </c>
      <c r="B23" s="670" t="s">
        <v>411</v>
      </c>
      <c r="C23" s="670"/>
      <c r="D23" s="670"/>
      <c r="E23" s="670"/>
      <c r="F23" s="670"/>
      <c r="G23" s="670"/>
      <c r="H23" s="670"/>
      <c r="I23" s="670"/>
      <c r="J23" s="671"/>
      <c r="K23" s="671"/>
      <c r="L23" s="671"/>
      <c r="M23" s="671"/>
      <c r="N23" s="671"/>
      <c r="O23" s="671"/>
    </row>
    <row r="24" spans="1:15" x14ac:dyDescent="0.25">
      <c r="A24" s="642"/>
      <c r="B24" s="671" t="s">
        <v>349</v>
      </c>
      <c r="C24" s="671"/>
      <c r="D24" s="671"/>
      <c r="E24" s="671"/>
      <c r="F24" s="671">
        <f>SUM(F25:F26)</f>
        <v>14572</v>
      </c>
      <c r="G24" s="671"/>
      <c r="H24" s="671"/>
      <c r="I24" s="671"/>
      <c r="J24" s="671">
        <f>SUM(C24+E24+F24+H24)</f>
        <v>14572</v>
      </c>
      <c r="K24" s="671">
        <f>SUM(D24+G24+I24)</f>
        <v>0</v>
      </c>
      <c r="L24" s="671">
        <f>SUM(J24:K24)</f>
        <v>14572</v>
      </c>
      <c r="M24" s="671">
        <f>SUM(M25:M26)</f>
        <v>107316</v>
      </c>
      <c r="N24" s="671"/>
      <c r="O24" s="671">
        <f>SUM(L24:N24)</f>
        <v>121888</v>
      </c>
    </row>
    <row r="25" spans="1:15" s="672" customFormat="1" x14ac:dyDescent="0.25">
      <c r="A25" s="643"/>
      <c r="B25" s="644" t="s">
        <v>383</v>
      </c>
      <c r="C25" s="644"/>
      <c r="D25" s="644"/>
      <c r="E25" s="644"/>
      <c r="F25" s="644">
        <v>5830</v>
      </c>
      <c r="G25" s="644"/>
      <c r="H25" s="644"/>
      <c r="I25" s="644"/>
      <c r="J25" s="645">
        <f>SUM(C25+E25+F25+H25)</f>
        <v>5830</v>
      </c>
      <c r="K25" s="645">
        <f>SUM(D25+G25+I25)</f>
        <v>0</v>
      </c>
      <c r="L25" s="645">
        <f>SUM(J25:K25)</f>
        <v>5830</v>
      </c>
      <c r="M25" s="645">
        <v>42926</v>
      </c>
      <c r="N25" s="645"/>
      <c r="O25" s="645">
        <f>SUM(L25:N25)</f>
        <v>48756</v>
      </c>
    </row>
    <row r="26" spans="1:15" s="672" customFormat="1" x14ac:dyDescent="0.25">
      <c r="A26" s="643"/>
      <c r="B26" s="644" t="s">
        <v>382</v>
      </c>
      <c r="C26" s="644"/>
      <c r="D26" s="644"/>
      <c r="E26" s="644"/>
      <c r="F26" s="644">
        <v>8742</v>
      </c>
      <c r="G26" s="644"/>
      <c r="H26" s="644"/>
      <c r="I26" s="644"/>
      <c r="J26" s="645">
        <f>SUM(C26+E26+F26+H26)</f>
        <v>8742</v>
      </c>
      <c r="K26" s="645">
        <f>SUM(D26+G26+I26)</f>
        <v>0</v>
      </c>
      <c r="L26" s="645">
        <f>SUM(J26:K26)</f>
        <v>8742</v>
      </c>
      <c r="M26" s="645">
        <v>64390</v>
      </c>
      <c r="N26" s="645"/>
      <c r="O26" s="645">
        <f>SUM(L26:N26)</f>
        <v>73132</v>
      </c>
    </row>
    <row r="27" spans="1:15" s="672" customFormat="1" x14ac:dyDescent="0.25">
      <c r="A27" s="643"/>
      <c r="B27" s="644" t="s">
        <v>492</v>
      </c>
      <c r="C27" s="646"/>
      <c r="D27" s="646"/>
      <c r="E27" s="646"/>
      <c r="F27" s="646"/>
      <c r="G27" s="646"/>
      <c r="H27" s="646"/>
      <c r="I27" s="646"/>
      <c r="J27" s="646"/>
      <c r="K27" s="646"/>
      <c r="L27" s="646"/>
      <c r="M27" s="646"/>
      <c r="N27" s="646"/>
      <c r="O27" s="646"/>
    </row>
    <row r="28" spans="1:15" s="672" customFormat="1" ht="35.25" customHeight="1" x14ac:dyDescent="0.25">
      <c r="A28" s="643"/>
      <c r="B28" s="646" t="s">
        <v>1196</v>
      </c>
      <c r="C28" s="646">
        <v>7577</v>
      </c>
      <c r="D28" s="646"/>
      <c r="E28" s="646"/>
      <c r="F28" s="646"/>
      <c r="G28" s="646"/>
      <c r="H28" s="646"/>
      <c r="I28" s="646"/>
      <c r="J28" s="646">
        <f t="shared" ref="J28:J36" si="8">SUM(C28+E28+F28+H28)</f>
        <v>7577</v>
      </c>
      <c r="K28" s="646">
        <f t="shared" ref="K28:K36" si="9">SUM(D28+G28+I28)</f>
        <v>0</v>
      </c>
      <c r="L28" s="646">
        <f t="shared" ref="L28:L36" si="10">SUM(J28:K28)</f>
        <v>7577</v>
      </c>
      <c r="M28" s="646"/>
      <c r="N28" s="646">
        <v>1313</v>
      </c>
      <c r="O28" s="646">
        <f t="shared" ref="O28:O36" si="11">SUM(L28:N28)</f>
        <v>8890</v>
      </c>
    </row>
    <row r="29" spans="1:15" s="672" customFormat="1" ht="31.5" x14ac:dyDescent="0.25">
      <c r="A29" s="643"/>
      <c r="B29" s="646" t="s">
        <v>1197</v>
      </c>
      <c r="C29" s="646"/>
      <c r="D29" s="646"/>
      <c r="E29" s="646"/>
      <c r="F29" s="646"/>
      <c r="G29" s="646"/>
      <c r="H29" s="646"/>
      <c r="I29" s="646"/>
      <c r="J29" s="646">
        <f t="shared" si="8"/>
        <v>0</v>
      </c>
      <c r="K29" s="646">
        <f t="shared" si="9"/>
        <v>0</v>
      </c>
      <c r="L29" s="646">
        <f t="shared" si="10"/>
        <v>0</v>
      </c>
      <c r="M29" s="646">
        <v>155</v>
      </c>
      <c r="N29" s="646"/>
      <c r="O29" s="646">
        <f t="shared" si="11"/>
        <v>155</v>
      </c>
    </row>
    <row r="30" spans="1:15" s="672" customFormat="1" ht="31.5" x14ac:dyDescent="0.25">
      <c r="A30" s="643"/>
      <c r="B30" s="646" t="s">
        <v>1205</v>
      </c>
      <c r="C30" s="646"/>
      <c r="D30" s="646"/>
      <c r="E30" s="646"/>
      <c r="F30" s="646"/>
      <c r="G30" s="646"/>
      <c r="H30" s="646"/>
      <c r="I30" s="646"/>
      <c r="J30" s="646">
        <f t="shared" si="8"/>
        <v>0</v>
      </c>
      <c r="K30" s="646">
        <f t="shared" si="9"/>
        <v>0</v>
      </c>
      <c r="L30" s="646">
        <f t="shared" si="10"/>
        <v>0</v>
      </c>
      <c r="M30" s="646">
        <v>6276</v>
      </c>
      <c r="N30" s="646"/>
      <c r="O30" s="646">
        <f t="shared" si="11"/>
        <v>6276</v>
      </c>
    </row>
    <row r="31" spans="1:15" s="672" customFormat="1" ht="31.5" x14ac:dyDescent="0.25">
      <c r="A31" s="643"/>
      <c r="B31" s="673" t="s">
        <v>1198</v>
      </c>
      <c r="C31" s="646"/>
      <c r="D31" s="646"/>
      <c r="E31" s="646"/>
      <c r="F31" s="646"/>
      <c r="G31" s="646"/>
      <c r="H31" s="646"/>
      <c r="I31" s="646"/>
      <c r="J31" s="646">
        <f t="shared" si="8"/>
        <v>0</v>
      </c>
      <c r="K31" s="646">
        <f t="shared" si="9"/>
        <v>0</v>
      </c>
      <c r="L31" s="646">
        <f t="shared" si="10"/>
        <v>0</v>
      </c>
      <c r="M31" s="646">
        <v>-756</v>
      </c>
      <c r="N31" s="646"/>
      <c r="O31" s="646">
        <f t="shared" si="11"/>
        <v>-756</v>
      </c>
    </row>
    <row r="32" spans="1:15" s="672" customFormat="1" x14ac:dyDescent="0.25">
      <c r="A32" s="643"/>
      <c r="B32" s="646" t="s">
        <v>1199</v>
      </c>
      <c r="C32" s="646"/>
      <c r="D32" s="646"/>
      <c r="E32" s="646"/>
      <c r="F32" s="646"/>
      <c r="G32" s="646"/>
      <c r="H32" s="646"/>
      <c r="I32" s="646"/>
      <c r="J32" s="646">
        <f t="shared" si="8"/>
        <v>0</v>
      </c>
      <c r="K32" s="646">
        <f t="shared" si="9"/>
        <v>0</v>
      </c>
      <c r="L32" s="646">
        <f t="shared" si="10"/>
        <v>0</v>
      </c>
      <c r="M32" s="646">
        <v>-828</v>
      </c>
      <c r="N32" s="646"/>
      <c r="O32" s="646">
        <f t="shared" si="11"/>
        <v>-828</v>
      </c>
    </row>
    <row r="33" spans="1:15" s="672" customFormat="1" x14ac:dyDescent="0.25">
      <c r="A33" s="643"/>
      <c r="B33" s="646" t="s">
        <v>1201</v>
      </c>
      <c r="C33" s="646"/>
      <c r="D33" s="646"/>
      <c r="E33" s="646"/>
      <c r="F33" s="646"/>
      <c r="G33" s="646"/>
      <c r="H33" s="646"/>
      <c r="I33" s="646"/>
      <c r="J33" s="646">
        <f t="shared" si="8"/>
        <v>0</v>
      </c>
      <c r="K33" s="646">
        <f t="shared" si="9"/>
        <v>0</v>
      </c>
      <c r="L33" s="646">
        <f t="shared" si="10"/>
        <v>0</v>
      </c>
      <c r="M33" s="646">
        <v>-1927</v>
      </c>
      <c r="N33" s="646"/>
      <c r="O33" s="646">
        <f t="shared" si="11"/>
        <v>-1927</v>
      </c>
    </row>
    <row r="34" spans="1:15" s="672" customFormat="1" ht="31.5" x14ac:dyDescent="0.25">
      <c r="A34" s="643"/>
      <c r="B34" s="646" t="s">
        <v>1202</v>
      </c>
      <c r="C34" s="646"/>
      <c r="D34" s="646"/>
      <c r="E34" s="646"/>
      <c r="F34" s="646"/>
      <c r="G34" s="646"/>
      <c r="H34" s="646"/>
      <c r="I34" s="646"/>
      <c r="J34" s="646">
        <f t="shared" si="8"/>
        <v>0</v>
      </c>
      <c r="K34" s="646">
        <f t="shared" si="9"/>
        <v>0</v>
      </c>
      <c r="L34" s="646">
        <f t="shared" si="10"/>
        <v>0</v>
      </c>
      <c r="M34" s="646">
        <v>411</v>
      </c>
      <c r="N34" s="646"/>
      <c r="O34" s="646">
        <f t="shared" si="11"/>
        <v>411</v>
      </c>
    </row>
    <row r="35" spans="1:15" s="672" customFormat="1" x14ac:dyDescent="0.25">
      <c r="A35" s="643"/>
      <c r="B35" s="644" t="s">
        <v>133</v>
      </c>
      <c r="C35" s="646"/>
      <c r="D35" s="646"/>
      <c r="E35" s="646"/>
      <c r="F35" s="646"/>
      <c r="G35" s="646"/>
      <c r="H35" s="646"/>
      <c r="I35" s="646"/>
      <c r="J35" s="646"/>
      <c r="K35" s="646"/>
      <c r="L35" s="646"/>
      <c r="M35" s="646"/>
      <c r="N35" s="646"/>
      <c r="O35" s="646"/>
    </row>
    <row r="36" spans="1:15" s="672" customFormat="1" ht="16.5" thickBot="1" x14ac:dyDescent="0.3">
      <c r="A36" s="643"/>
      <c r="B36" s="646" t="s">
        <v>1204</v>
      </c>
      <c r="C36" s="646"/>
      <c r="D36" s="646"/>
      <c r="E36" s="646"/>
      <c r="F36" s="646"/>
      <c r="G36" s="646"/>
      <c r="H36" s="646"/>
      <c r="I36" s="646"/>
      <c r="J36" s="646">
        <f t="shared" si="8"/>
        <v>0</v>
      </c>
      <c r="K36" s="646">
        <f t="shared" si="9"/>
        <v>0</v>
      </c>
      <c r="L36" s="646">
        <f t="shared" si="10"/>
        <v>0</v>
      </c>
      <c r="M36" s="646">
        <v>1178</v>
      </c>
      <c r="N36" s="646"/>
      <c r="O36" s="646">
        <f t="shared" si="11"/>
        <v>1178</v>
      </c>
    </row>
    <row r="37" spans="1:15" ht="17.25" thickTop="1" thickBot="1" x14ac:dyDescent="0.3">
      <c r="A37" s="638"/>
      <c r="B37" s="647" t="s">
        <v>381</v>
      </c>
      <c r="C37" s="647">
        <f>+C24+C28+C36+C29+C30+C31+C32+C33+C34</f>
        <v>7577</v>
      </c>
      <c r="D37" s="647">
        <f t="shared" ref="D37:O37" si="12">+D24+D28+D36+D29+D30+D31+D32+D33+D34</f>
        <v>0</v>
      </c>
      <c r="E37" s="647">
        <f t="shared" si="12"/>
        <v>0</v>
      </c>
      <c r="F37" s="647">
        <f t="shared" si="12"/>
        <v>14572</v>
      </c>
      <c r="G37" s="647">
        <f t="shared" si="12"/>
        <v>0</v>
      </c>
      <c r="H37" s="647">
        <f t="shared" si="12"/>
        <v>0</v>
      </c>
      <c r="I37" s="647">
        <f t="shared" si="12"/>
        <v>0</v>
      </c>
      <c r="J37" s="647">
        <f t="shared" si="12"/>
        <v>22149</v>
      </c>
      <c r="K37" s="647">
        <f t="shared" si="12"/>
        <v>0</v>
      </c>
      <c r="L37" s="647">
        <f t="shared" si="12"/>
        <v>22149</v>
      </c>
      <c r="M37" s="647">
        <f t="shared" si="12"/>
        <v>111825</v>
      </c>
      <c r="N37" s="647">
        <f t="shared" si="12"/>
        <v>1313</v>
      </c>
      <c r="O37" s="647">
        <f t="shared" si="12"/>
        <v>135287</v>
      </c>
    </row>
    <row r="38" spans="1:15" ht="17.25" thickTop="1" thickBot="1" x14ac:dyDescent="0.3">
      <c r="A38" s="638"/>
      <c r="B38" s="647" t="s">
        <v>380</v>
      </c>
      <c r="C38" s="647">
        <f t="shared" ref="C38:O38" si="13">+C25+C28+C29+C30+C31+C32+C33+C34</f>
        <v>7577</v>
      </c>
      <c r="D38" s="647">
        <f t="shared" si="13"/>
        <v>0</v>
      </c>
      <c r="E38" s="647">
        <f t="shared" si="13"/>
        <v>0</v>
      </c>
      <c r="F38" s="647">
        <f t="shared" si="13"/>
        <v>5830</v>
      </c>
      <c r="G38" s="647">
        <f t="shared" si="13"/>
        <v>0</v>
      </c>
      <c r="H38" s="647">
        <f t="shared" si="13"/>
        <v>0</v>
      </c>
      <c r="I38" s="647">
        <f t="shared" si="13"/>
        <v>0</v>
      </c>
      <c r="J38" s="647">
        <f t="shared" si="13"/>
        <v>13407</v>
      </c>
      <c r="K38" s="647">
        <f t="shared" si="13"/>
        <v>0</v>
      </c>
      <c r="L38" s="647">
        <f t="shared" si="13"/>
        <v>13407</v>
      </c>
      <c r="M38" s="647">
        <f t="shared" si="13"/>
        <v>46257</v>
      </c>
      <c r="N38" s="647">
        <f t="shared" si="13"/>
        <v>1313</v>
      </c>
      <c r="O38" s="647">
        <f t="shared" si="13"/>
        <v>60977</v>
      </c>
    </row>
    <row r="39" spans="1:15" ht="17.25" thickTop="1" thickBot="1" x14ac:dyDescent="0.3">
      <c r="A39" s="638"/>
      <c r="B39" s="647" t="s">
        <v>379</v>
      </c>
      <c r="C39" s="647">
        <f>+C26+C36</f>
        <v>0</v>
      </c>
      <c r="D39" s="647">
        <f t="shared" ref="D39:O39" si="14">+D26+D36</f>
        <v>0</v>
      </c>
      <c r="E39" s="647">
        <f t="shared" si="14"/>
        <v>0</v>
      </c>
      <c r="F39" s="647">
        <f t="shared" si="14"/>
        <v>8742</v>
      </c>
      <c r="G39" s="647">
        <f t="shared" si="14"/>
        <v>0</v>
      </c>
      <c r="H39" s="647">
        <f t="shared" si="14"/>
        <v>0</v>
      </c>
      <c r="I39" s="647">
        <f t="shared" si="14"/>
        <v>0</v>
      </c>
      <c r="J39" s="647">
        <f t="shared" si="14"/>
        <v>8742</v>
      </c>
      <c r="K39" s="647">
        <f t="shared" si="14"/>
        <v>0</v>
      </c>
      <c r="L39" s="647">
        <f t="shared" si="14"/>
        <v>8742</v>
      </c>
      <c r="M39" s="647">
        <f t="shared" si="14"/>
        <v>65568</v>
      </c>
      <c r="N39" s="647">
        <f t="shared" si="14"/>
        <v>0</v>
      </c>
      <c r="O39" s="647">
        <f t="shared" si="14"/>
        <v>74310</v>
      </c>
    </row>
    <row r="40" spans="1:15" ht="17.25" thickTop="1" thickBot="1" x14ac:dyDescent="0.3">
      <c r="A40" s="638"/>
      <c r="B40" s="647" t="s">
        <v>410</v>
      </c>
      <c r="C40" s="647">
        <f t="shared" ref="C40:O40" si="15">SUM(C20+C37)</f>
        <v>581117</v>
      </c>
      <c r="D40" s="647">
        <f t="shared" si="15"/>
        <v>0</v>
      </c>
      <c r="E40" s="647">
        <f t="shared" si="15"/>
        <v>0</v>
      </c>
      <c r="F40" s="647">
        <f t="shared" si="15"/>
        <v>16472</v>
      </c>
      <c r="G40" s="647">
        <f t="shared" si="15"/>
        <v>0</v>
      </c>
      <c r="H40" s="647">
        <f t="shared" si="15"/>
        <v>0</v>
      </c>
      <c r="I40" s="647">
        <f t="shared" si="15"/>
        <v>0</v>
      </c>
      <c r="J40" s="647">
        <f t="shared" si="15"/>
        <v>597589</v>
      </c>
      <c r="K40" s="647">
        <f t="shared" si="15"/>
        <v>0</v>
      </c>
      <c r="L40" s="647">
        <f t="shared" si="15"/>
        <v>597589</v>
      </c>
      <c r="M40" s="647">
        <f t="shared" si="15"/>
        <v>623599</v>
      </c>
      <c r="N40" s="647">
        <f t="shared" si="15"/>
        <v>106465</v>
      </c>
      <c r="O40" s="647">
        <f t="shared" si="15"/>
        <v>1327653</v>
      </c>
    </row>
    <row r="41" spans="1:15" ht="16.5" thickTop="1" x14ac:dyDescent="0.25">
      <c r="A41" s="642" t="s">
        <v>147</v>
      </c>
      <c r="B41" s="674" t="s">
        <v>409</v>
      </c>
      <c r="C41" s="674"/>
      <c r="D41" s="674"/>
      <c r="E41" s="674"/>
      <c r="F41" s="674"/>
      <c r="G41" s="674"/>
      <c r="H41" s="674"/>
      <c r="I41" s="674"/>
      <c r="J41" s="674"/>
      <c r="K41" s="674"/>
      <c r="L41" s="674"/>
      <c r="M41" s="674"/>
      <c r="N41" s="674"/>
      <c r="O41" s="674"/>
    </row>
    <row r="42" spans="1:15" x14ac:dyDescent="0.25">
      <c r="A42" s="648"/>
      <c r="B42" s="670" t="s">
        <v>1206</v>
      </c>
      <c r="C42" s="670"/>
      <c r="D42" s="670"/>
      <c r="E42" s="670"/>
      <c r="F42" s="670">
        <f>SUM(F43:F44)</f>
        <v>1702</v>
      </c>
      <c r="G42" s="670"/>
      <c r="H42" s="670"/>
      <c r="I42" s="670"/>
      <c r="J42" s="670">
        <f>SUM(C42+E42+F42+H42)</f>
        <v>1702</v>
      </c>
      <c r="K42" s="670">
        <f>SUM(D42+G42+I42)</f>
        <v>0</v>
      </c>
      <c r="L42" s="670">
        <f>SUM(J42:K42)</f>
        <v>1702</v>
      </c>
      <c r="M42" s="670">
        <f>SUM(M43:M44)</f>
        <v>101537</v>
      </c>
      <c r="N42" s="670"/>
      <c r="O42" s="670">
        <f>SUM(L42:N42)</f>
        <v>103239</v>
      </c>
    </row>
    <row r="43" spans="1:15" s="672" customFormat="1" x14ac:dyDescent="0.25">
      <c r="A43" s="649"/>
      <c r="B43" s="650" t="s">
        <v>383</v>
      </c>
      <c r="C43" s="650"/>
      <c r="D43" s="650"/>
      <c r="E43" s="650"/>
      <c r="F43" s="650">
        <v>1702</v>
      </c>
      <c r="G43" s="650"/>
      <c r="H43" s="650"/>
      <c r="I43" s="650"/>
      <c r="J43" s="651">
        <f>SUM(C43+E43+F43+H43)</f>
        <v>1702</v>
      </c>
      <c r="K43" s="651">
        <f>SUM(D43+G43+I43)</f>
        <v>0</v>
      </c>
      <c r="L43" s="651">
        <f>SUM(J43:K43)</f>
        <v>1702</v>
      </c>
      <c r="M43" s="651">
        <v>101537</v>
      </c>
      <c r="N43" s="651"/>
      <c r="O43" s="651">
        <f>SUM(L43:N43)</f>
        <v>103239</v>
      </c>
    </row>
    <row r="44" spans="1:15" s="672" customFormat="1" x14ac:dyDescent="0.25">
      <c r="A44" s="649"/>
      <c r="B44" s="650" t="s">
        <v>382</v>
      </c>
      <c r="C44" s="650"/>
      <c r="D44" s="650"/>
      <c r="E44" s="650"/>
      <c r="F44" s="650"/>
      <c r="G44" s="650"/>
      <c r="H44" s="650"/>
      <c r="I44" s="650"/>
      <c r="J44" s="651">
        <f>SUM(C44+E44+F44+H44)</f>
        <v>0</v>
      </c>
      <c r="K44" s="651">
        <f>SUM(D44+G44+I44)</f>
        <v>0</v>
      </c>
      <c r="L44" s="651">
        <f>SUM(J44:K44)</f>
        <v>0</v>
      </c>
      <c r="M44" s="651"/>
      <c r="N44" s="651"/>
      <c r="O44" s="651">
        <f>SUM(L44:N44)</f>
        <v>0</v>
      </c>
    </row>
    <row r="45" spans="1:15" s="672" customFormat="1" x14ac:dyDescent="0.25">
      <c r="A45" s="649"/>
      <c r="B45" s="650" t="s">
        <v>132</v>
      </c>
      <c r="C45" s="652"/>
      <c r="D45" s="652"/>
      <c r="E45" s="652"/>
      <c r="F45" s="652"/>
      <c r="G45" s="652"/>
      <c r="H45" s="652"/>
      <c r="I45" s="652"/>
      <c r="J45" s="652"/>
      <c r="K45" s="652"/>
      <c r="L45" s="652"/>
      <c r="M45" s="652"/>
      <c r="N45" s="652"/>
      <c r="O45" s="652"/>
    </row>
    <row r="46" spans="1:15" s="672" customFormat="1" ht="35.25" customHeight="1" x14ac:dyDescent="0.25">
      <c r="A46" s="649"/>
      <c r="B46" s="646" t="s">
        <v>1196</v>
      </c>
      <c r="C46" s="652">
        <v>7274</v>
      </c>
      <c r="D46" s="652"/>
      <c r="E46" s="652"/>
      <c r="F46" s="652"/>
      <c r="G46" s="652"/>
      <c r="H46" s="652"/>
      <c r="I46" s="652"/>
      <c r="J46" s="652">
        <f t="shared" ref="J46:J55" si="16">SUM(C46+E46+F46+H46)</f>
        <v>7274</v>
      </c>
      <c r="K46" s="652">
        <f t="shared" ref="K46:K55" si="17">SUM(D46+G46+I46)</f>
        <v>0</v>
      </c>
      <c r="L46" s="652">
        <f t="shared" ref="L46:L55" si="18">SUM(J46:K46)</f>
        <v>7274</v>
      </c>
      <c r="M46" s="652"/>
      <c r="N46" s="652">
        <v>486</v>
      </c>
      <c r="O46" s="652">
        <f t="shared" ref="O46:O55" si="19">SUM(L46:N46)</f>
        <v>7760</v>
      </c>
    </row>
    <row r="47" spans="1:15" s="672" customFormat="1" ht="31.5" x14ac:dyDescent="0.25">
      <c r="A47" s="649"/>
      <c r="B47" s="646" t="s">
        <v>1197</v>
      </c>
      <c r="C47" s="652"/>
      <c r="D47" s="652"/>
      <c r="E47" s="652"/>
      <c r="F47" s="652"/>
      <c r="G47" s="652"/>
      <c r="H47" s="652"/>
      <c r="I47" s="652"/>
      <c r="J47" s="652">
        <f t="shared" si="16"/>
        <v>0</v>
      </c>
      <c r="K47" s="652">
        <f t="shared" si="17"/>
        <v>0</v>
      </c>
      <c r="L47" s="652">
        <f t="shared" si="18"/>
        <v>0</v>
      </c>
      <c r="M47" s="652">
        <v>38</v>
      </c>
      <c r="N47" s="652"/>
      <c r="O47" s="652">
        <f t="shared" si="19"/>
        <v>38</v>
      </c>
    </row>
    <row r="48" spans="1:15" s="672" customFormat="1" ht="31.5" x14ac:dyDescent="0.25">
      <c r="A48" s="649"/>
      <c r="B48" s="646" t="s">
        <v>1205</v>
      </c>
      <c r="C48" s="652"/>
      <c r="D48" s="652"/>
      <c r="E48" s="652"/>
      <c r="F48" s="652"/>
      <c r="G48" s="652"/>
      <c r="H48" s="652"/>
      <c r="I48" s="652"/>
      <c r="J48" s="652">
        <f t="shared" si="16"/>
        <v>0</v>
      </c>
      <c r="K48" s="652">
        <f t="shared" si="17"/>
        <v>0</v>
      </c>
      <c r="L48" s="652">
        <f t="shared" si="18"/>
        <v>0</v>
      </c>
      <c r="M48" s="652">
        <v>532</v>
      </c>
      <c r="N48" s="652"/>
      <c r="O48" s="652">
        <f t="shared" si="19"/>
        <v>532</v>
      </c>
    </row>
    <row r="49" spans="1:15" s="672" customFormat="1" ht="31.5" x14ac:dyDescent="0.25">
      <c r="A49" s="649"/>
      <c r="B49" s="673" t="s">
        <v>1198</v>
      </c>
      <c r="C49" s="652"/>
      <c r="D49" s="652"/>
      <c r="E49" s="652"/>
      <c r="F49" s="652"/>
      <c r="G49" s="652"/>
      <c r="H49" s="652"/>
      <c r="I49" s="652"/>
      <c r="J49" s="652">
        <f t="shared" si="16"/>
        <v>0</v>
      </c>
      <c r="K49" s="652">
        <f t="shared" si="17"/>
        <v>0</v>
      </c>
      <c r="L49" s="652">
        <f t="shared" si="18"/>
        <v>0</v>
      </c>
      <c r="M49" s="652">
        <v>-705</v>
      </c>
      <c r="N49" s="652"/>
      <c r="O49" s="652">
        <f t="shared" si="19"/>
        <v>-705</v>
      </c>
    </row>
    <row r="50" spans="1:15" s="672" customFormat="1" x14ac:dyDescent="0.25">
      <c r="A50" s="649"/>
      <c r="B50" s="646" t="s">
        <v>1199</v>
      </c>
      <c r="C50" s="652"/>
      <c r="D50" s="652"/>
      <c r="E50" s="652"/>
      <c r="F50" s="652"/>
      <c r="G50" s="652"/>
      <c r="H50" s="652"/>
      <c r="I50" s="652"/>
      <c r="J50" s="652">
        <f t="shared" si="16"/>
        <v>0</v>
      </c>
      <c r="K50" s="652">
        <f t="shared" si="17"/>
        <v>0</v>
      </c>
      <c r="L50" s="652">
        <f t="shared" si="18"/>
        <v>0</v>
      </c>
      <c r="M50" s="652">
        <v>-603</v>
      </c>
      <c r="N50" s="652"/>
      <c r="O50" s="652">
        <f t="shared" si="19"/>
        <v>-603</v>
      </c>
    </row>
    <row r="51" spans="1:15" s="672" customFormat="1" ht="31.5" x14ac:dyDescent="0.25">
      <c r="A51" s="649"/>
      <c r="B51" s="646" t="s">
        <v>1207</v>
      </c>
      <c r="C51" s="652"/>
      <c r="D51" s="652"/>
      <c r="E51" s="652"/>
      <c r="F51" s="652"/>
      <c r="G51" s="652"/>
      <c r="H51" s="652"/>
      <c r="I51" s="652"/>
      <c r="J51" s="652">
        <f t="shared" si="16"/>
        <v>0</v>
      </c>
      <c r="K51" s="652">
        <f t="shared" si="17"/>
        <v>0</v>
      </c>
      <c r="L51" s="652">
        <f t="shared" si="18"/>
        <v>0</v>
      </c>
      <c r="M51" s="652">
        <v>85</v>
      </c>
      <c r="N51" s="652"/>
      <c r="O51" s="652">
        <f t="shared" si="19"/>
        <v>85</v>
      </c>
    </row>
    <row r="52" spans="1:15" s="672" customFormat="1" x14ac:dyDescent="0.25">
      <c r="A52" s="649"/>
      <c r="B52" s="646" t="s">
        <v>1201</v>
      </c>
      <c r="C52" s="652"/>
      <c r="D52" s="652"/>
      <c r="E52" s="652"/>
      <c r="F52" s="652"/>
      <c r="G52" s="652"/>
      <c r="H52" s="652"/>
      <c r="I52" s="652"/>
      <c r="J52" s="652">
        <f t="shared" si="16"/>
        <v>0</v>
      </c>
      <c r="K52" s="652">
        <f t="shared" si="17"/>
        <v>0</v>
      </c>
      <c r="L52" s="652">
        <f t="shared" si="18"/>
        <v>0</v>
      </c>
      <c r="M52" s="652">
        <v>-1833</v>
      </c>
      <c r="N52" s="652"/>
      <c r="O52" s="652">
        <f t="shared" si="19"/>
        <v>-1833</v>
      </c>
    </row>
    <row r="53" spans="1:15" s="672" customFormat="1" ht="31.5" x14ac:dyDescent="0.25">
      <c r="A53" s="649"/>
      <c r="B53" s="646" t="s">
        <v>1202</v>
      </c>
      <c r="C53" s="652"/>
      <c r="D53" s="652"/>
      <c r="E53" s="652"/>
      <c r="F53" s="652"/>
      <c r="G53" s="652"/>
      <c r="H53" s="652"/>
      <c r="I53" s="652"/>
      <c r="J53" s="652">
        <f t="shared" si="16"/>
        <v>0</v>
      </c>
      <c r="K53" s="652">
        <f t="shared" si="17"/>
        <v>0</v>
      </c>
      <c r="L53" s="652">
        <f t="shared" si="18"/>
        <v>0</v>
      </c>
      <c r="M53" s="652">
        <v>59</v>
      </c>
      <c r="N53" s="652"/>
      <c r="O53" s="652">
        <f t="shared" si="19"/>
        <v>59</v>
      </c>
    </row>
    <row r="54" spans="1:15" s="672" customFormat="1" x14ac:dyDescent="0.25">
      <c r="A54" s="649"/>
      <c r="B54" s="650" t="s">
        <v>493</v>
      </c>
      <c r="C54" s="652"/>
      <c r="D54" s="652"/>
      <c r="E54" s="652"/>
      <c r="F54" s="652"/>
      <c r="G54" s="652"/>
      <c r="H54" s="652"/>
      <c r="I54" s="652"/>
      <c r="J54" s="652"/>
      <c r="K54" s="652"/>
      <c r="L54" s="652"/>
      <c r="M54" s="652"/>
      <c r="N54" s="652"/>
      <c r="O54" s="652"/>
    </row>
    <row r="55" spans="1:15" s="672" customFormat="1" ht="16.5" thickBot="1" x14ac:dyDescent="0.3">
      <c r="A55" s="649"/>
      <c r="B55" s="646" t="s">
        <v>1204</v>
      </c>
      <c r="C55" s="652"/>
      <c r="D55" s="652"/>
      <c r="E55" s="652"/>
      <c r="F55" s="652"/>
      <c r="G55" s="652"/>
      <c r="H55" s="652"/>
      <c r="I55" s="652"/>
      <c r="J55" s="652">
        <f t="shared" si="16"/>
        <v>0</v>
      </c>
      <c r="K55" s="652">
        <f t="shared" si="17"/>
        <v>0</v>
      </c>
      <c r="L55" s="652">
        <f t="shared" si="18"/>
        <v>0</v>
      </c>
      <c r="M55" s="652">
        <v>1077</v>
      </c>
      <c r="N55" s="652"/>
      <c r="O55" s="652">
        <f t="shared" si="19"/>
        <v>1077</v>
      </c>
    </row>
    <row r="56" spans="1:15" ht="17.25" thickTop="1" thickBot="1" x14ac:dyDescent="0.3">
      <c r="A56" s="638"/>
      <c r="B56" s="647" t="s">
        <v>381</v>
      </c>
      <c r="C56" s="647">
        <f>+C42+C46+C55+C47+C48+C49+C50+C51+C52+C53</f>
        <v>7274</v>
      </c>
      <c r="D56" s="647">
        <f t="shared" ref="D56:O56" si="20">+D42+D46+D55+D47+D48+D49+D50+D51+D52+D53</f>
        <v>0</v>
      </c>
      <c r="E56" s="647">
        <f t="shared" si="20"/>
        <v>0</v>
      </c>
      <c r="F56" s="647">
        <f t="shared" si="20"/>
        <v>1702</v>
      </c>
      <c r="G56" s="647">
        <f t="shared" si="20"/>
        <v>0</v>
      </c>
      <c r="H56" s="647">
        <f t="shared" si="20"/>
        <v>0</v>
      </c>
      <c r="I56" s="647">
        <f t="shared" si="20"/>
        <v>0</v>
      </c>
      <c r="J56" s="647">
        <f t="shared" si="20"/>
        <v>8976</v>
      </c>
      <c r="K56" s="647">
        <f t="shared" si="20"/>
        <v>0</v>
      </c>
      <c r="L56" s="647">
        <f t="shared" si="20"/>
        <v>8976</v>
      </c>
      <c r="M56" s="647">
        <f t="shared" si="20"/>
        <v>100187</v>
      </c>
      <c r="N56" s="647">
        <f t="shared" si="20"/>
        <v>486</v>
      </c>
      <c r="O56" s="647">
        <f t="shared" si="20"/>
        <v>109649</v>
      </c>
    </row>
    <row r="57" spans="1:15" ht="17.25" thickTop="1" thickBot="1" x14ac:dyDescent="0.3">
      <c r="A57" s="638"/>
      <c r="B57" s="647" t="s">
        <v>380</v>
      </c>
      <c r="C57" s="647">
        <f t="shared" ref="C57:O57" si="21">+C43+C46+C47+C48+C49+C50+C51+C52+C53</f>
        <v>7274</v>
      </c>
      <c r="D57" s="647">
        <f t="shared" si="21"/>
        <v>0</v>
      </c>
      <c r="E57" s="647">
        <f t="shared" si="21"/>
        <v>0</v>
      </c>
      <c r="F57" s="647">
        <f t="shared" si="21"/>
        <v>1702</v>
      </c>
      <c r="G57" s="647">
        <f t="shared" si="21"/>
        <v>0</v>
      </c>
      <c r="H57" s="647">
        <f t="shared" si="21"/>
        <v>0</v>
      </c>
      <c r="I57" s="647">
        <f t="shared" si="21"/>
        <v>0</v>
      </c>
      <c r="J57" s="647">
        <f t="shared" si="21"/>
        <v>8976</v>
      </c>
      <c r="K57" s="647">
        <f t="shared" si="21"/>
        <v>0</v>
      </c>
      <c r="L57" s="647">
        <f t="shared" si="21"/>
        <v>8976</v>
      </c>
      <c r="M57" s="647">
        <f t="shared" si="21"/>
        <v>99110</v>
      </c>
      <c r="N57" s="647">
        <f t="shared" si="21"/>
        <v>486</v>
      </c>
      <c r="O57" s="647">
        <f t="shared" si="21"/>
        <v>108572</v>
      </c>
    </row>
    <row r="58" spans="1:15" ht="17.25" thickTop="1" thickBot="1" x14ac:dyDescent="0.3">
      <c r="A58" s="638"/>
      <c r="B58" s="647" t="s">
        <v>379</v>
      </c>
      <c r="C58" s="647">
        <f>+C44+C55</f>
        <v>0</v>
      </c>
      <c r="D58" s="647">
        <f t="shared" ref="D58:O58" si="22">+D44+D55</f>
        <v>0</v>
      </c>
      <c r="E58" s="647">
        <f t="shared" si="22"/>
        <v>0</v>
      </c>
      <c r="F58" s="647">
        <f t="shared" si="22"/>
        <v>0</v>
      </c>
      <c r="G58" s="647">
        <f t="shared" si="22"/>
        <v>0</v>
      </c>
      <c r="H58" s="647">
        <f t="shared" si="22"/>
        <v>0</v>
      </c>
      <c r="I58" s="647">
        <f t="shared" si="22"/>
        <v>0</v>
      </c>
      <c r="J58" s="647">
        <f t="shared" si="22"/>
        <v>0</v>
      </c>
      <c r="K58" s="647">
        <f t="shared" si="22"/>
        <v>0</v>
      </c>
      <c r="L58" s="647">
        <f t="shared" si="22"/>
        <v>0</v>
      </c>
      <c r="M58" s="647">
        <f t="shared" si="22"/>
        <v>1077</v>
      </c>
      <c r="N58" s="647">
        <f t="shared" si="22"/>
        <v>0</v>
      </c>
      <c r="O58" s="647">
        <f t="shared" si="22"/>
        <v>1077</v>
      </c>
    </row>
    <row r="59" spans="1:15" ht="16.5" thickTop="1" x14ac:dyDescent="0.25">
      <c r="A59" s="642" t="s">
        <v>148</v>
      </c>
      <c r="B59" s="670" t="s">
        <v>821</v>
      </c>
      <c r="C59" s="670"/>
      <c r="D59" s="670"/>
      <c r="E59" s="670"/>
      <c r="F59" s="670"/>
      <c r="G59" s="670"/>
      <c r="H59" s="670"/>
      <c r="I59" s="670"/>
      <c r="J59" s="670"/>
      <c r="K59" s="670"/>
      <c r="L59" s="670"/>
      <c r="M59" s="670"/>
      <c r="N59" s="670"/>
      <c r="O59" s="670"/>
    </row>
    <row r="60" spans="1:15" x14ac:dyDescent="0.25">
      <c r="A60" s="642"/>
      <c r="B60" s="671" t="s">
        <v>349</v>
      </c>
      <c r="C60" s="671"/>
      <c r="D60" s="671"/>
      <c r="E60" s="671"/>
      <c r="F60" s="671">
        <f>SUM(F61:F62)</f>
        <v>1882</v>
      </c>
      <c r="G60" s="671"/>
      <c r="H60" s="671"/>
      <c r="I60" s="671"/>
      <c r="J60" s="671">
        <f>SUM(C60+E60+F60+H60)</f>
        <v>1882</v>
      </c>
      <c r="K60" s="671">
        <f>SUM(D60+G60+I60)</f>
        <v>0</v>
      </c>
      <c r="L60" s="671">
        <f>SUM(J60:K60)</f>
        <v>1882</v>
      </c>
      <c r="M60" s="671">
        <f>SUM(M61:M62)</f>
        <v>105481</v>
      </c>
      <c r="N60" s="671"/>
      <c r="O60" s="671">
        <f>SUM(L60:N60)</f>
        <v>107363</v>
      </c>
    </row>
    <row r="61" spans="1:15" s="672" customFormat="1" x14ac:dyDescent="0.25">
      <c r="A61" s="643"/>
      <c r="B61" s="644" t="s">
        <v>383</v>
      </c>
      <c r="C61" s="644"/>
      <c r="D61" s="644"/>
      <c r="E61" s="644"/>
      <c r="F61" s="644">
        <v>1882</v>
      </c>
      <c r="G61" s="644"/>
      <c r="H61" s="644"/>
      <c r="I61" s="644"/>
      <c r="J61" s="645">
        <f>SUM(C61+E61+F61+H61)</f>
        <v>1882</v>
      </c>
      <c r="K61" s="645">
        <f>SUM(D61+G61+I61)</f>
        <v>0</v>
      </c>
      <c r="L61" s="645">
        <f>SUM(J61:K61)</f>
        <v>1882</v>
      </c>
      <c r="M61" s="645">
        <v>105481</v>
      </c>
      <c r="N61" s="645"/>
      <c r="O61" s="645">
        <f>SUM(L61:N61)</f>
        <v>107363</v>
      </c>
    </row>
    <row r="62" spans="1:15" s="672" customFormat="1" x14ac:dyDescent="0.25">
      <c r="A62" s="643"/>
      <c r="B62" s="644" t="s">
        <v>382</v>
      </c>
      <c r="C62" s="644"/>
      <c r="D62" s="644"/>
      <c r="E62" s="644"/>
      <c r="F62" s="644"/>
      <c r="G62" s="644"/>
      <c r="H62" s="644"/>
      <c r="I62" s="644"/>
      <c r="J62" s="645">
        <f>SUM(C62+E62+F62+H62)</f>
        <v>0</v>
      </c>
      <c r="K62" s="645">
        <f>SUM(D62+G62+I62)</f>
        <v>0</v>
      </c>
      <c r="L62" s="645">
        <f>SUM(J62:K62)</f>
        <v>0</v>
      </c>
      <c r="M62" s="645"/>
      <c r="N62" s="645"/>
      <c r="O62" s="645">
        <f>SUM(L62:N62)</f>
        <v>0</v>
      </c>
    </row>
    <row r="63" spans="1:15" s="672" customFormat="1" x14ac:dyDescent="0.25">
      <c r="A63" s="643"/>
      <c r="B63" s="644" t="s">
        <v>132</v>
      </c>
      <c r="C63" s="646"/>
      <c r="D63" s="646"/>
      <c r="E63" s="646"/>
      <c r="F63" s="646"/>
      <c r="G63" s="646"/>
      <c r="H63" s="646"/>
      <c r="I63" s="646"/>
      <c r="J63" s="646"/>
      <c r="K63" s="646"/>
      <c r="L63" s="646"/>
      <c r="M63" s="646"/>
      <c r="N63" s="646"/>
      <c r="O63" s="646"/>
    </row>
    <row r="64" spans="1:15" s="672" customFormat="1" ht="31.5" customHeight="1" x14ac:dyDescent="0.25">
      <c r="A64" s="643"/>
      <c r="B64" s="646" t="s">
        <v>1196</v>
      </c>
      <c r="C64" s="646">
        <v>7363</v>
      </c>
      <c r="D64" s="646"/>
      <c r="E64" s="646"/>
      <c r="F64" s="646"/>
      <c r="G64" s="646"/>
      <c r="H64" s="646"/>
      <c r="I64" s="646"/>
      <c r="J64" s="646">
        <f t="shared" ref="J64:J73" si="23">SUM(C64+E64+F64+H64)</f>
        <v>7363</v>
      </c>
      <c r="K64" s="646">
        <f t="shared" ref="K64:K73" si="24">SUM(D64+G64+I64)</f>
        <v>0</v>
      </c>
      <c r="L64" s="646">
        <f t="shared" ref="L64:L73" si="25">SUM(J64:K64)</f>
        <v>7363</v>
      </c>
      <c r="M64" s="646"/>
      <c r="N64" s="646">
        <v>244</v>
      </c>
      <c r="O64" s="646">
        <f t="shared" ref="O64:O73" si="26">SUM(L64:N64)</f>
        <v>7607</v>
      </c>
    </row>
    <row r="65" spans="1:15" s="672" customFormat="1" ht="31.5" x14ac:dyDescent="0.25">
      <c r="A65" s="643"/>
      <c r="B65" s="646" t="s">
        <v>1197</v>
      </c>
      <c r="C65" s="646"/>
      <c r="D65" s="646"/>
      <c r="E65" s="646"/>
      <c r="F65" s="646"/>
      <c r="G65" s="646"/>
      <c r="H65" s="646"/>
      <c r="I65" s="646"/>
      <c r="J65" s="646">
        <f t="shared" si="23"/>
        <v>0</v>
      </c>
      <c r="K65" s="646">
        <f t="shared" si="24"/>
        <v>0</v>
      </c>
      <c r="L65" s="646">
        <f t="shared" si="25"/>
        <v>0</v>
      </c>
      <c r="M65" s="646">
        <v>118</v>
      </c>
      <c r="N65" s="646"/>
      <c r="O65" s="646">
        <f t="shared" si="26"/>
        <v>118</v>
      </c>
    </row>
    <row r="66" spans="1:15" s="672" customFormat="1" ht="31.5" x14ac:dyDescent="0.25">
      <c r="A66" s="643"/>
      <c r="B66" s="646" t="s">
        <v>1205</v>
      </c>
      <c r="C66" s="646"/>
      <c r="D66" s="646"/>
      <c r="E66" s="646"/>
      <c r="F66" s="646"/>
      <c r="G66" s="646"/>
      <c r="H66" s="646"/>
      <c r="I66" s="646"/>
      <c r="J66" s="646">
        <f t="shared" si="23"/>
        <v>0</v>
      </c>
      <c r="K66" s="646">
        <f t="shared" si="24"/>
        <v>0</v>
      </c>
      <c r="L66" s="646">
        <f t="shared" si="25"/>
        <v>0</v>
      </c>
      <c r="M66" s="646">
        <v>594</v>
      </c>
      <c r="N66" s="646"/>
      <c r="O66" s="646">
        <f t="shared" si="26"/>
        <v>594</v>
      </c>
    </row>
    <row r="67" spans="1:15" s="672" customFormat="1" ht="31.5" x14ac:dyDescent="0.25">
      <c r="A67" s="643"/>
      <c r="B67" s="673" t="s">
        <v>1198</v>
      </c>
      <c r="C67" s="646"/>
      <c r="D67" s="646"/>
      <c r="E67" s="646"/>
      <c r="F67" s="646"/>
      <c r="G67" s="646"/>
      <c r="H67" s="646"/>
      <c r="I67" s="646"/>
      <c r="J67" s="646">
        <f t="shared" si="23"/>
        <v>0</v>
      </c>
      <c r="K67" s="646">
        <f t="shared" si="24"/>
        <v>0</v>
      </c>
      <c r="L67" s="646">
        <f t="shared" si="25"/>
        <v>0</v>
      </c>
      <c r="M67" s="646">
        <v>-767</v>
      </c>
      <c r="N67" s="646"/>
      <c r="O67" s="646">
        <f t="shared" si="26"/>
        <v>-767</v>
      </c>
    </row>
    <row r="68" spans="1:15" s="672" customFormat="1" x14ac:dyDescent="0.25">
      <c r="A68" s="643"/>
      <c r="B68" s="646" t="s">
        <v>1199</v>
      </c>
      <c r="C68" s="646"/>
      <c r="D68" s="646"/>
      <c r="E68" s="646"/>
      <c r="F68" s="646"/>
      <c r="G68" s="646"/>
      <c r="H68" s="646"/>
      <c r="I68" s="646"/>
      <c r="J68" s="646">
        <f t="shared" si="23"/>
        <v>0</v>
      </c>
      <c r="K68" s="646">
        <f t="shared" si="24"/>
        <v>0</v>
      </c>
      <c r="L68" s="646">
        <f t="shared" si="25"/>
        <v>0</v>
      </c>
      <c r="M68" s="646">
        <v>-604</v>
      </c>
      <c r="N68" s="646"/>
      <c r="O68" s="646">
        <f t="shared" si="26"/>
        <v>-604</v>
      </c>
    </row>
    <row r="69" spans="1:15" s="672" customFormat="1" ht="47.25" x14ac:dyDescent="0.25">
      <c r="A69" s="643"/>
      <c r="B69" s="646" t="s">
        <v>1200</v>
      </c>
      <c r="C69" s="646"/>
      <c r="D69" s="646"/>
      <c r="E69" s="646"/>
      <c r="F69" s="646"/>
      <c r="G69" s="646"/>
      <c r="H69" s="646"/>
      <c r="I69" s="646"/>
      <c r="J69" s="646">
        <f t="shared" si="23"/>
        <v>0</v>
      </c>
      <c r="K69" s="646">
        <f t="shared" si="24"/>
        <v>0</v>
      </c>
      <c r="L69" s="646">
        <f t="shared" si="25"/>
        <v>0</v>
      </c>
      <c r="M69" s="646">
        <v>1058</v>
      </c>
      <c r="N69" s="646"/>
      <c r="O69" s="646">
        <f t="shared" si="26"/>
        <v>1058</v>
      </c>
    </row>
    <row r="70" spans="1:15" s="672" customFormat="1" x14ac:dyDescent="0.25">
      <c r="A70" s="643"/>
      <c r="B70" s="646" t="s">
        <v>1201</v>
      </c>
      <c r="C70" s="646"/>
      <c r="D70" s="646"/>
      <c r="E70" s="646"/>
      <c r="F70" s="646"/>
      <c r="G70" s="646"/>
      <c r="H70" s="646"/>
      <c r="I70" s="646"/>
      <c r="J70" s="646">
        <f t="shared" si="23"/>
        <v>0</v>
      </c>
      <c r="K70" s="646">
        <f t="shared" si="24"/>
        <v>0</v>
      </c>
      <c r="L70" s="646">
        <f t="shared" si="25"/>
        <v>0</v>
      </c>
      <c r="M70" s="646">
        <v>-1870</v>
      </c>
      <c r="N70" s="646"/>
      <c r="O70" s="646">
        <f t="shared" si="26"/>
        <v>-1870</v>
      </c>
    </row>
    <row r="71" spans="1:15" s="672" customFormat="1" ht="31.5" x14ac:dyDescent="0.25">
      <c r="A71" s="643"/>
      <c r="B71" s="646" t="s">
        <v>1208</v>
      </c>
      <c r="C71" s="646"/>
      <c r="D71" s="646"/>
      <c r="E71" s="646"/>
      <c r="F71" s="646"/>
      <c r="G71" s="646"/>
      <c r="H71" s="646"/>
      <c r="I71" s="646"/>
      <c r="J71" s="646">
        <f t="shared" si="23"/>
        <v>0</v>
      </c>
      <c r="K71" s="646">
        <f t="shared" si="24"/>
        <v>0</v>
      </c>
      <c r="L71" s="646">
        <f t="shared" si="25"/>
        <v>0</v>
      </c>
      <c r="M71" s="646">
        <v>380</v>
      </c>
      <c r="N71" s="646"/>
      <c r="O71" s="646">
        <f t="shared" si="26"/>
        <v>380</v>
      </c>
    </row>
    <row r="72" spans="1:15" s="672" customFormat="1" x14ac:dyDescent="0.25">
      <c r="A72" s="643"/>
      <c r="B72" s="644" t="s">
        <v>133</v>
      </c>
      <c r="C72" s="646"/>
      <c r="D72" s="646"/>
      <c r="E72" s="646"/>
      <c r="F72" s="646"/>
      <c r="G72" s="646"/>
      <c r="H72" s="646"/>
      <c r="I72" s="646"/>
      <c r="J72" s="646"/>
      <c r="K72" s="646"/>
      <c r="L72" s="646"/>
      <c r="M72" s="646"/>
      <c r="N72" s="646"/>
      <c r="O72" s="646"/>
    </row>
    <row r="73" spans="1:15" s="672" customFormat="1" ht="16.5" thickBot="1" x14ac:dyDescent="0.3">
      <c r="A73" s="643"/>
      <c r="B73" s="646" t="s">
        <v>1204</v>
      </c>
      <c r="C73" s="646"/>
      <c r="D73" s="646"/>
      <c r="E73" s="646"/>
      <c r="F73" s="646"/>
      <c r="G73" s="646"/>
      <c r="H73" s="646"/>
      <c r="I73" s="646"/>
      <c r="J73" s="646">
        <f t="shared" si="23"/>
        <v>0</v>
      </c>
      <c r="K73" s="646">
        <f t="shared" si="24"/>
        <v>0</v>
      </c>
      <c r="L73" s="646">
        <f t="shared" si="25"/>
        <v>0</v>
      </c>
      <c r="M73" s="646">
        <v>1134</v>
      </c>
      <c r="N73" s="646"/>
      <c r="O73" s="646">
        <f t="shared" si="26"/>
        <v>1134</v>
      </c>
    </row>
    <row r="74" spans="1:15" ht="17.25" thickTop="1" thickBot="1" x14ac:dyDescent="0.3">
      <c r="A74" s="638"/>
      <c r="B74" s="647" t="s">
        <v>381</v>
      </c>
      <c r="C74" s="647">
        <f>+C60+C64+C73+C65+C66+C67+C68+C69+C70+C71</f>
        <v>7363</v>
      </c>
      <c r="D74" s="647">
        <f t="shared" ref="D74:O74" si="27">+D60+D64+D73+D65+D66+D67+D68+D69+D70+D71</f>
        <v>0</v>
      </c>
      <c r="E74" s="647">
        <f t="shared" si="27"/>
        <v>0</v>
      </c>
      <c r="F74" s="647">
        <f t="shared" si="27"/>
        <v>1882</v>
      </c>
      <c r="G74" s="647">
        <f t="shared" si="27"/>
        <v>0</v>
      </c>
      <c r="H74" s="647">
        <f t="shared" si="27"/>
        <v>0</v>
      </c>
      <c r="I74" s="647">
        <f t="shared" si="27"/>
        <v>0</v>
      </c>
      <c r="J74" s="647">
        <f t="shared" si="27"/>
        <v>9245</v>
      </c>
      <c r="K74" s="647">
        <f t="shared" si="27"/>
        <v>0</v>
      </c>
      <c r="L74" s="647">
        <f t="shared" si="27"/>
        <v>9245</v>
      </c>
      <c r="M74" s="647">
        <f t="shared" si="27"/>
        <v>105524</v>
      </c>
      <c r="N74" s="647">
        <f t="shared" si="27"/>
        <v>244</v>
      </c>
      <c r="O74" s="647">
        <f t="shared" si="27"/>
        <v>115013</v>
      </c>
    </row>
    <row r="75" spans="1:15" ht="17.25" thickTop="1" thickBot="1" x14ac:dyDescent="0.3">
      <c r="A75" s="638"/>
      <c r="B75" s="647" t="s">
        <v>380</v>
      </c>
      <c r="C75" s="647">
        <f t="shared" ref="C75:O75" si="28">+C61+C64+C65+C66+C67+C68+C69+C70+C71</f>
        <v>7363</v>
      </c>
      <c r="D75" s="647">
        <f t="shared" si="28"/>
        <v>0</v>
      </c>
      <c r="E75" s="647">
        <f t="shared" si="28"/>
        <v>0</v>
      </c>
      <c r="F75" s="647">
        <f t="shared" si="28"/>
        <v>1882</v>
      </c>
      <c r="G75" s="647">
        <f t="shared" si="28"/>
        <v>0</v>
      </c>
      <c r="H75" s="647">
        <f t="shared" si="28"/>
        <v>0</v>
      </c>
      <c r="I75" s="647">
        <f t="shared" si="28"/>
        <v>0</v>
      </c>
      <c r="J75" s="647">
        <f t="shared" si="28"/>
        <v>9245</v>
      </c>
      <c r="K75" s="647">
        <f t="shared" si="28"/>
        <v>0</v>
      </c>
      <c r="L75" s="647">
        <f t="shared" si="28"/>
        <v>9245</v>
      </c>
      <c r="M75" s="647">
        <f t="shared" si="28"/>
        <v>104390</v>
      </c>
      <c r="N75" s="647">
        <f t="shared" si="28"/>
        <v>244</v>
      </c>
      <c r="O75" s="647">
        <f t="shared" si="28"/>
        <v>113879</v>
      </c>
    </row>
    <row r="76" spans="1:15" ht="17.25" thickTop="1" thickBot="1" x14ac:dyDescent="0.3">
      <c r="A76" s="638"/>
      <c r="B76" s="647" t="s">
        <v>379</v>
      </c>
      <c r="C76" s="647">
        <f>+C62+C73</f>
        <v>0</v>
      </c>
      <c r="D76" s="647">
        <f t="shared" ref="D76:O76" si="29">+D62+D73</f>
        <v>0</v>
      </c>
      <c r="E76" s="647">
        <f t="shared" si="29"/>
        <v>0</v>
      </c>
      <c r="F76" s="647">
        <f t="shared" si="29"/>
        <v>0</v>
      </c>
      <c r="G76" s="647">
        <f t="shared" si="29"/>
        <v>0</v>
      </c>
      <c r="H76" s="647">
        <f t="shared" si="29"/>
        <v>0</v>
      </c>
      <c r="I76" s="647">
        <f t="shared" si="29"/>
        <v>0</v>
      </c>
      <c r="J76" s="647">
        <f t="shared" si="29"/>
        <v>0</v>
      </c>
      <c r="K76" s="647">
        <f t="shared" si="29"/>
        <v>0</v>
      </c>
      <c r="L76" s="647">
        <f t="shared" si="29"/>
        <v>0</v>
      </c>
      <c r="M76" s="647">
        <f t="shared" si="29"/>
        <v>1134</v>
      </c>
      <c r="N76" s="647">
        <f t="shared" si="29"/>
        <v>0</v>
      </c>
      <c r="O76" s="647">
        <f t="shared" si="29"/>
        <v>1134</v>
      </c>
    </row>
    <row r="77" spans="1:15" ht="16.5" thickTop="1" x14ac:dyDescent="0.25">
      <c r="A77" s="642" t="s">
        <v>149</v>
      </c>
      <c r="B77" s="670" t="s">
        <v>408</v>
      </c>
      <c r="C77" s="670"/>
      <c r="D77" s="670"/>
      <c r="E77" s="670"/>
      <c r="F77" s="670"/>
      <c r="G77" s="670"/>
      <c r="H77" s="670"/>
      <c r="I77" s="670"/>
      <c r="J77" s="670"/>
      <c r="K77" s="670"/>
      <c r="L77" s="670"/>
      <c r="M77" s="670"/>
      <c r="N77" s="670"/>
      <c r="O77" s="670"/>
    </row>
    <row r="78" spans="1:15" x14ac:dyDescent="0.25">
      <c r="A78" s="642"/>
      <c r="B78" s="671" t="s">
        <v>349</v>
      </c>
      <c r="C78" s="671"/>
      <c r="D78" s="671"/>
      <c r="E78" s="671"/>
      <c r="F78" s="671">
        <f>SUM(F79:F80)</f>
        <v>2256</v>
      </c>
      <c r="G78" s="671"/>
      <c r="H78" s="671"/>
      <c r="I78" s="671"/>
      <c r="J78" s="671">
        <f>SUM(C78+E78+F78+H78)</f>
        <v>2256</v>
      </c>
      <c r="K78" s="671">
        <f>SUM(D78+G78+I78)</f>
        <v>0</v>
      </c>
      <c r="L78" s="671">
        <f>SUM(J78:K78)</f>
        <v>2256</v>
      </c>
      <c r="M78" s="671">
        <f>SUM(M79:M80)</f>
        <v>100367</v>
      </c>
      <c r="N78" s="671"/>
      <c r="O78" s="671">
        <f>SUM(L78:N78)</f>
        <v>102623</v>
      </c>
    </row>
    <row r="79" spans="1:15" s="672" customFormat="1" x14ac:dyDescent="0.25">
      <c r="A79" s="643"/>
      <c r="B79" s="644" t="s">
        <v>383</v>
      </c>
      <c r="C79" s="644"/>
      <c r="D79" s="644"/>
      <c r="E79" s="644"/>
      <c r="F79" s="644">
        <v>2256</v>
      </c>
      <c r="G79" s="644"/>
      <c r="H79" s="644"/>
      <c r="I79" s="644"/>
      <c r="J79" s="645">
        <f>SUM(C79+E79+F79+H79)</f>
        <v>2256</v>
      </c>
      <c r="K79" s="645">
        <f>SUM(D79+G79+I79)</f>
        <v>0</v>
      </c>
      <c r="L79" s="645">
        <f>SUM(J79:K79)</f>
        <v>2256</v>
      </c>
      <c r="M79" s="645">
        <v>100367</v>
      </c>
      <c r="N79" s="645"/>
      <c r="O79" s="645">
        <f>SUM(L79:N79)</f>
        <v>102623</v>
      </c>
    </row>
    <row r="80" spans="1:15" s="672" customFormat="1" x14ac:dyDescent="0.25">
      <c r="A80" s="643"/>
      <c r="B80" s="644" t="s">
        <v>382</v>
      </c>
      <c r="C80" s="644"/>
      <c r="D80" s="644"/>
      <c r="E80" s="644"/>
      <c r="F80" s="644"/>
      <c r="G80" s="644"/>
      <c r="H80" s="644"/>
      <c r="I80" s="644"/>
      <c r="J80" s="645">
        <f>SUM(C80+E80+F80+H80)</f>
        <v>0</v>
      </c>
      <c r="K80" s="645">
        <f>SUM(D80+G80+I80)</f>
        <v>0</v>
      </c>
      <c r="L80" s="645">
        <f>SUM(J80:K80)</f>
        <v>0</v>
      </c>
      <c r="M80" s="645"/>
      <c r="N80" s="645"/>
      <c r="O80" s="645">
        <f>SUM(L80:N80)</f>
        <v>0</v>
      </c>
    </row>
    <row r="81" spans="1:15" s="672" customFormat="1" x14ac:dyDescent="0.25">
      <c r="A81" s="643"/>
      <c r="B81" s="644" t="s">
        <v>132</v>
      </c>
      <c r="C81" s="646"/>
      <c r="D81" s="646"/>
      <c r="E81" s="646"/>
      <c r="F81" s="646"/>
      <c r="G81" s="646"/>
      <c r="H81" s="646"/>
      <c r="I81" s="646"/>
      <c r="J81" s="646"/>
      <c r="K81" s="646"/>
      <c r="L81" s="646"/>
      <c r="M81" s="646"/>
      <c r="N81" s="646"/>
      <c r="O81" s="646"/>
    </row>
    <row r="82" spans="1:15" s="672" customFormat="1" ht="30.75" customHeight="1" x14ac:dyDescent="0.25">
      <c r="A82" s="643"/>
      <c r="B82" s="646" t="s">
        <v>1196</v>
      </c>
      <c r="C82" s="646">
        <v>6608</v>
      </c>
      <c r="D82" s="646"/>
      <c r="E82" s="646"/>
      <c r="F82" s="646"/>
      <c r="G82" s="646"/>
      <c r="H82" s="646"/>
      <c r="I82" s="646"/>
      <c r="J82" s="646">
        <f t="shared" ref="J82:J90" si="30">SUM(C82+E82+F82+H82)</f>
        <v>6608</v>
      </c>
      <c r="K82" s="646">
        <f t="shared" ref="K82:K90" si="31">SUM(D82+G82+I82)</f>
        <v>0</v>
      </c>
      <c r="L82" s="646">
        <f t="shared" ref="L82:L90" si="32">SUM(J82:K82)</f>
        <v>6608</v>
      </c>
      <c r="M82" s="646"/>
      <c r="N82" s="646">
        <v>239</v>
      </c>
      <c r="O82" s="646">
        <f t="shared" ref="O82:O90" si="33">SUM(L82:N82)</f>
        <v>6847</v>
      </c>
    </row>
    <row r="83" spans="1:15" s="672" customFormat="1" ht="31.5" x14ac:dyDescent="0.25">
      <c r="A83" s="662"/>
      <c r="B83" s="646" t="s">
        <v>1197</v>
      </c>
      <c r="C83" s="646"/>
      <c r="D83" s="646"/>
      <c r="E83" s="646"/>
      <c r="F83" s="646"/>
      <c r="G83" s="646"/>
      <c r="H83" s="646"/>
      <c r="I83" s="646"/>
      <c r="J83" s="646">
        <f t="shared" si="30"/>
        <v>0</v>
      </c>
      <c r="K83" s="646">
        <f t="shared" si="31"/>
        <v>0</v>
      </c>
      <c r="L83" s="646">
        <f t="shared" si="32"/>
        <v>0</v>
      </c>
      <c r="M83" s="646">
        <v>48</v>
      </c>
      <c r="N83" s="646"/>
      <c r="O83" s="646">
        <f t="shared" si="33"/>
        <v>48</v>
      </c>
    </row>
    <row r="84" spans="1:15" s="672" customFormat="1" ht="31.5" x14ac:dyDescent="0.25">
      <c r="A84" s="662"/>
      <c r="B84" s="658" t="s">
        <v>1205</v>
      </c>
      <c r="C84" s="658"/>
      <c r="D84" s="658"/>
      <c r="E84" s="658"/>
      <c r="F84" s="658"/>
      <c r="G84" s="658"/>
      <c r="H84" s="658"/>
      <c r="I84" s="658"/>
      <c r="J84" s="658">
        <f t="shared" si="30"/>
        <v>0</v>
      </c>
      <c r="K84" s="658">
        <f t="shared" si="31"/>
        <v>0</v>
      </c>
      <c r="L84" s="658">
        <f t="shared" si="32"/>
        <v>0</v>
      </c>
      <c r="M84" s="658">
        <v>637</v>
      </c>
      <c r="N84" s="658"/>
      <c r="O84" s="658">
        <f t="shared" si="33"/>
        <v>637</v>
      </c>
    </row>
    <row r="85" spans="1:15" s="672" customFormat="1" ht="31.5" x14ac:dyDescent="0.25">
      <c r="A85" s="662"/>
      <c r="B85" s="658" t="s">
        <v>1198</v>
      </c>
      <c r="C85" s="658"/>
      <c r="D85" s="658"/>
      <c r="E85" s="658"/>
      <c r="F85" s="658"/>
      <c r="G85" s="658"/>
      <c r="H85" s="658"/>
      <c r="I85" s="658"/>
      <c r="J85" s="658">
        <f t="shared" si="30"/>
        <v>0</v>
      </c>
      <c r="K85" s="658">
        <f t="shared" si="31"/>
        <v>0</v>
      </c>
      <c r="L85" s="658">
        <f t="shared" si="32"/>
        <v>0</v>
      </c>
      <c r="M85" s="658">
        <v>-738</v>
      </c>
      <c r="N85" s="658"/>
      <c r="O85" s="658">
        <f t="shared" si="33"/>
        <v>-738</v>
      </c>
    </row>
    <row r="86" spans="1:15" s="672" customFormat="1" x14ac:dyDescent="0.25">
      <c r="A86" s="643"/>
      <c r="B86" s="948" t="s">
        <v>1199</v>
      </c>
      <c r="C86" s="948"/>
      <c r="D86" s="948"/>
      <c r="E86" s="948"/>
      <c r="F86" s="948"/>
      <c r="G86" s="948"/>
      <c r="H86" s="948"/>
      <c r="I86" s="948"/>
      <c r="J86" s="948">
        <f t="shared" si="30"/>
        <v>0</v>
      </c>
      <c r="K86" s="948">
        <f t="shared" si="31"/>
        <v>0</v>
      </c>
      <c r="L86" s="948">
        <f t="shared" si="32"/>
        <v>0</v>
      </c>
      <c r="M86" s="948">
        <v>-591</v>
      </c>
      <c r="N86" s="948"/>
      <c r="O86" s="948">
        <f t="shared" si="33"/>
        <v>-591</v>
      </c>
    </row>
    <row r="87" spans="1:15" s="672" customFormat="1" x14ac:dyDescent="0.25">
      <c r="A87" s="643"/>
      <c r="B87" s="646" t="s">
        <v>1201</v>
      </c>
      <c r="C87" s="646"/>
      <c r="D87" s="646"/>
      <c r="E87" s="646"/>
      <c r="F87" s="646"/>
      <c r="G87" s="646"/>
      <c r="H87" s="646"/>
      <c r="I87" s="646"/>
      <c r="J87" s="646">
        <f t="shared" si="30"/>
        <v>0</v>
      </c>
      <c r="K87" s="646">
        <f t="shared" si="31"/>
        <v>0</v>
      </c>
      <c r="L87" s="646">
        <f t="shared" si="32"/>
        <v>0</v>
      </c>
      <c r="M87" s="646">
        <v>-1771</v>
      </c>
      <c r="N87" s="646"/>
      <c r="O87" s="646">
        <f t="shared" si="33"/>
        <v>-1771</v>
      </c>
    </row>
    <row r="88" spans="1:15" s="672" customFormat="1" ht="31.5" x14ac:dyDescent="0.25">
      <c r="A88" s="643"/>
      <c r="B88" s="646" t="s">
        <v>1202</v>
      </c>
      <c r="C88" s="646"/>
      <c r="D88" s="646"/>
      <c r="E88" s="646"/>
      <c r="F88" s="646"/>
      <c r="G88" s="646"/>
      <c r="H88" s="646"/>
      <c r="I88" s="646"/>
      <c r="J88" s="646">
        <f t="shared" si="30"/>
        <v>0</v>
      </c>
      <c r="K88" s="646">
        <f t="shared" si="31"/>
        <v>0</v>
      </c>
      <c r="L88" s="646">
        <f t="shared" si="32"/>
        <v>0</v>
      </c>
      <c r="M88" s="646">
        <v>59</v>
      </c>
      <c r="N88" s="646"/>
      <c r="O88" s="646">
        <f t="shared" si="33"/>
        <v>59</v>
      </c>
    </row>
    <row r="89" spans="1:15" s="672" customFormat="1" x14ac:dyDescent="0.25">
      <c r="A89" s="643"/>
      <c r="B89" s="644" t="s">
        <v>133</v>
      </c>
      <c r="C89" s="646"/>
      <c r="D89" s="646"/>
      <c r="E89" s="646"/>
      <c r="F89" s="646"/>
      <c r="G89" s="646"/>
      <c r="H89" s="646"/>
      <c r="I89" s="646"/>
      <c r="J89" s="646"/>
      <c r="K89" s="646"/>
      <c r="L89" s="646"/>
      <c r="M89" s="646"/>
      <c r="N89" s="646"/>
      <c r="O89" s="646"/>
    </row>
    <row r="90" spans="1:15" s="672" customFormat="1" ht="16.5" thickBot="1" x14ac:dyDescent="0.3">
      <c r="A90" s="643"/>
      <c r="B90" s="646" t="s">
        <v>1204</v>
      </c>
      <c r="C90" s="646"/>
      <c r="D90" s="646"/>
      <c r="E90" s="646"/>
      <c r="F90" s="646"/>
      <c r="G90" s="646"/>
      <c r="H90" s="646"/>
      <c r="I90" s="646"/>
      <c r="J90" s="646">
        <f t="shared" si="30"/>
        <v>0</v>
      </c>
      <c r="K90" s="646">
        <f t="shared" si="31"/>
        <v>0</v>
      </c>
      <c r="L90" s="646">
        <f t="shared" si="32"/>
        <v>0</v>
      </c>
      <c r="M90" s="646">
        <v>1178</v>
      </c>
      <c r="N90" s="646"/>
      <c r="O90" s="646">
        <f t="shared" si="33"/>
        <v>1178</v>
      </c>
    </row>
    <row r="91" spans="1:15" ht="17.25" thickTop="1" thickBot="1" x14ac:dyDescent="0.3">
      <c r="A91" s="638"/>
      <c r="B91" s="647" t="s">
        <v>381</v>
      </c>
      <c r="C91" s="647">
        <f>+C78+C82+C90+C83+C84+C85+C86+C87+C88</f>
        <v>6608</v>
      </c>
      <c r="D91" s="647">
        <f t="shared" ref="D91:O91" si="34">+D78+D82+D90+D83+D84+D85+D86+D87+D88</f>
        <v>0</v>
      </c>
      <c r="E91" s="647">
        <f t="shared" si="34"/>
        <v>0</v>
      </c>
      <c r="F91" s="647">
        <f t="shared" si="34"/>
        <v>2256</v>
      </c>
      <c r="G91" s="647">
        <f t="shared" si="34"/>
        <v>0</v>
      </c>
      <c r="H91" s="647">
        <f t="shared" si="34"/>
        <v>0</v>
      </c>
      <c r="I91" s="647">
        <f t="shared" si="34"/>
        <v>0</v>
      </c>
      <c r="J91" s="647">
        <f t="shared" si="34"/>
        <v>8864</v>
      </c>
      <c r="K91" s="647">
        <f t="shared" si="34"/>
        <v>0</v>
      </c>
      <c r="L91" s="647">
        <f t="shared" si="34"/>
        <v>8864</v>
      </c>
      <c r="M91" s="647">
        <f t="shared" si="34"/>
        <v>99189</v>
      </c>
      <c r="N91" s="647">
        <f t="shared" si="34"/>
        <v>239</v>
      </c>
      <c r="O91" s="647">
        <f t="shared" si="34"/>
        <v>108292</v>
      </c>
    </row>
    <row r="92" spans="1:15" ht="17.25" thickTop="1" thickBot="1" x14ac:dyDescent="0.3">
      <c r="A92" s="638"/>
      <c r="B92" s="647" t="s">
        <v>380</v>
      </c>
      <c r="C92" s="647">
        <f t="shared" ref="C92:O92" si="35">+C79+C82+C83+C84+C85+C86+C87+C88</f>
        <v>6608</v>
      </c>
      <c r="D92" s="647">
        <f t="shared" si="35"/>
        <v>0</v>
      </c>
      <c r="E92" s="647">
        <f t="shared" si="35"/>
        <v>0</v>
      </c>
      <c r="F92" s="647">
        <f t="shared" si="35"/>
        <v>2256</v>
      </c>
      <c r="G92" s="647">
        <f t="shared" si="35"/>
        <v>0</v>
      </c>
      <c r="H92" s="647">
        <f t="shared" si="35"/>
        <v>0</v>
      </c>
      <c r="I92" s="647">
        <f t="shared" si="35"/>
        <v>0</v>
      </c>
      <c r="J92" s="647">
        <f t="shared" si="35"/>
        <v>8864</v>
      </c>
      <c r="K92" s="647">
        <f t="shared" si="35"/>
        <v>0</v>
      </c>
      <c r="L92" s="647">
        <f t="shared" si="35"/>
        <v>8864</v>
      </c>
      <c r="M92" s="647">
        <f t="shared" si="35"/>
        <v>98011</v>
      </c>
      <c r="N92" s="647">
        <f t="shared" si="35"/>
        <v>239</v>
      </c>
      <c r="O92" s="647">
        <f t="shared" si="35"/>
        <v>107114</v>
      </c>
    </row>
    <row r="93" spans="1:15" ht="17.25" thickTop="1" thickBot="1" x14ac:dyDescent="0.3">
      <c r="A93" s="638"/>
      <c r="B93" s="647" t="s">
        <v>379</v>
      </c>
      <c r="C93" s="647">
        <f>+C80+C90</f>
        <v>0</v>
      </c>
      <c r="D93" s="647">
        <f t="shared" ref="D93:O93" si="36">+D80+D90</f>
        <v>0</v>
      </c>
      <c r="E93" s="647">
        <f t="shared" si="36"/>
        <v>0</v>
      </c>
      <c r="F93" s="647">
        <f t="shared" si="36"/>
        <v>0</v>
      </c>
      <c r="G93" s="647">
        <f t="shared" si="36"/>
        <v>0</v>
      </c>
      <c r="H93" s="647">
        <f t="shared" si="36"/>
        <v>0</v>
      </c>
      <c r="I93" s="647">
        <f t="shared" si="36"/>
        <v>0</v>
      </c>
      <c r="J93" s="647">
        <f t="shared" si="36"/>
        <v>0</v>
      </c>
      <c r="K93" s="647">
        <f t="shared" si="36"/>
        <v>0</v>
      </c>
      <c r="L93" s="647">
        <f t="shared" si="36"/>
        <v>0</v>
      </c>
      <c r="M93" s="647">
        <f t="shared" si="36"/>
        <v>1178</v>
      </c>
      <c r="N93" s="647">
        <f t="shared" si="36"/>
        <v>0</v>
      </c>
      <c r="O93" s="647">
        <f t="shared" si="36"/>
        <v>1178</v>
      </c>
    </row>
    <row r="94" spans="1:15" ht="16.5" thickTop="1" x14ac:dyDescent="0.25">
      <c r="A94" s="642" t="s">
        <v>150</v>
      </c>
      <c r="B94" s="670" t="s">
        <v>407</v>
      </c>
      <c r="C94" s="670"/>
      <c r="D94" s="670"/>
      <c r="E94" s="670"/>
      <c r="F94" s="670"/>
      <c r="G94" s="670"/>
      <c r="H94" s="670"/>
      <c r="I94" s="670"/>
      <c r="J94" s="670"/>
      <c r="K94" s="670"/>
      <c r="L94" s="670"/>
      <c r="M94" s="670"/>
      <c r="N94" s="670"/>
      <c r="O94" s="670"/>
    </row>
    <row r="95" spans="1:15" x14ac:dyDescent="0.25">
      <c r="A95" s="642"/>
      <c r="B95" s="671" t="s">
        <v>349</v>
      </c>
      <c r="C95" s="671"/>
      <c r="D95" s="671"/>
      <c r="E95" s="671"/>
      <c r="F95" s="671">
        <f>SUM(F96:F97)</f>
        <v>470</v>
      </c>
      <c r="G95" s="671"/>
      <c r="H95" s="671"/>
      <c r="I95" s="671"/>
      <c r="J95" s="671">
        <f>SUM(C95+E95+F95+H95)</f>
        <v>470</v>
      </c>
      <c r="K95" s="671">
        <f>SUM(D95+G95+I95)</f>
        <v>0</v>
      </c>
      <c r="L95" s="671">
        <f>SUM(J95:K95)</f>
        <v>470</v>
      </c>
      <c r="M95" s="671">
        <f>SUM(M96:M97)</f>
        <v>59875</v>
      </c>
      <c r="N95" s="671"/>
      <c r="O95" s="671">
        <f>SUM(L95:N95)</f>
        <v>60345</v>
      </c>
    </row>
    <row r="96" spans="1:15" s="672" customFormat="1" x14ac:dyDescent="0.25">
      <c r="A96" s="643"/>
      <c r="B96" s="644" t="s">
        <v>383</v>
      </c>
      <c r="C96" s="644"/>
      <c r="D96" s="644"/>
      <c r="E96" s="644"/>
      <c r="F96" s="644">
        <v>470</v>
      </c>
      <c r="G96" s="644"/>
      <c r="H96" s="644"/>
      <c r="I96" s="644"/>
      <c r="J96" s="645">
        <f>SUM(C96+E96+F96+H96)</f>
        <v>470</v>
      </c>
      <c r="K96" s="645">
        <f>SUM(D96+G96+I96)</f>
        <v>0</v>
      </c>
      <c r="L96" s="645">
        <f>SUM(J96:K96)</f>
        <v>470</v>
      </c>
      <c r="M96" s="645">
        <v>59875</v>
      </c>
      <c r="N96" s="645"/>
      <c r="O96" s="645">
        <f>SUM(L96:N96)</f>
        <v>60345</v>
      </c>
    </row>
    <row r="97" spans="1:15" s="672" customFormat="1" x14ac:dyDescent="0.25">
      <c r="A97" s="643"/>
      <c r="B97" s="644" t="s">
        <v>382</v>
      </c>
      <c r="C97" s="644"/>
      <c r="D97" s="644"/>
      <c r="E97" s="644"/>
      <c r="F97" s="644"/>
      <c r="G97" s="644"/>
      <c r="H97" s="644"/>
      <c r="I97" s="644"/>
      <c r="J97" s="645">
        <f>SUM(C97+E97+F97+H97)</f>
        <v>0</v>
      </c>
      <c r="K97" s="645">
        <f>SUM(D97+G97+I97)</f>
        <v>0</v>
      </c>
      <c r="L97" s="645">
        <f>SUM(J97:K97)</f>
        <v>0</v>
      </c>
      <c r="M97" s="645"/>
      <c r="N97" s="645"/>
      <c r="O97" s="645">
        <f>SUM(L97:N97)</f>
        <v>0</v>
      </c>
    </row>
    <row r="98" spans="1:15" s="672" customFormat="1" x14ac:dyDescent="0.25">
      <c r="A98" s="643"/>
      <c r="B98" s="644" t="s">
        <v>132</v>
      </c>
      <c r="C98" s="646"/>
      <c r="D98" s="646"/>
      <c r="E98" s="646"/>
      <c r="F98" s="646"/>
      <c r="G98" s="646"/>
      <c r="H98" s="646"/>
      <c r="I98" s="646"/>
      <c r="J98" s="646"/>
      <c r="K98" s="646"/>
      <c r="L98" s="646"/>
      <c r="M98" s="646"/>
      <c r="N98" s="646"/>
      <c r="O98" s="646"/>
    </row>
    <row r="99" spans="1:15" s="672" customFormat="1" ht="36.75" customHeight="1" x14ac:dyDescent="0.25">
      <c r="A99" s="643"/>
      <c r="B99" s="646" t="s">
        <v>1196</v>
      </c>
      <c r="C99" s="646">
        <v>3719</v>
      </c>
      <c r="D99" s="646"/>
      <c r="E99" s="646"/>
      <c r="F99" s="646"/>
      <c r="G99" s="646"/>
      <c r="H99" s="646"/>
      <c r="I99" s="646"/>
      <c r="J99" s="646">
        <f t="shared" ref="J99:J106" si="37">SUM(C99+E99+F99+H99)</f>
        <v>3719</v>
      </c>
      <c r="K99" s="646">
        <f t="shared" ref="K99:K106" si="38">SUM(D99+G99+I99)</f>
        <v>0</v>
      </c>
      <c r="L99" s="646">
        <f t="shared" ref="L99:L106" si="39">SUM(J99:K99)</f>
        <v>3719</v>
      </c>
      <c r="M99" s="646"/>
      <c r="N99" s="646">
        <v>327</v>
      </c>
      <c r="O99" s="646">
        <f t="shared" ref="O99:O106" si="40">SUM(L99:N99)</f>
        <v>4046</v>
      </c>
    </row>
    <row r="100" spans="1:15" s="672" customFormat="1" ht="31.5" x14ac:dyDescent="0.25">
      <c r="A100" s="643"/>
      <c r="B100" s="646" t="s">
        <v>1197</v>
      </c>
      <c r="C100" s="646"/>
      <c r="D100" s="646"/>
      <c r="E100" s="646"/>
      <c r="F100" s="646"/>
      <c r="G100" s="646"/>
      <c r="H100" s="646"/>
      <c r="I100" s="646"/>
      <c r="J100" s="646">
        <f t="shared" si="37"/>
        <v>0</v>
      </c>
      <c r="K100" s="646">
        <f t="shared" si="38"/>
        <v>0</v>
      </c>
      <c r="L100" s="646">
        <f t="shared" si="39"/>
        <v>0</v>
      </c>
      <c r="M100" s="646">
        <v>25</v>
      </c>
      <c r="N100" s="646"/>
      <c r="O100" s="646">
        <f t="shared" si="40"/>
        <v>25</v>
      </c>
    </row>
    <row r="101" spans="1:15" s="672" customFormat="1" ht="31.5" x14ac:dyDescent="0.25">
      <c r="A101" s="643"/>
      <c r="B101" s="646" t="s">
        <v>1205</v>
      </c>
      <c r="C101" s="646"/>
      <c r="D101" s="646"/>
      <c r="E101" s="646"/>
      <c r="F101" s="646"/>
      <c r="G101" s="646"/>
      <c r="H101" s="646"/>
      <c r="I101" s="646"/>
      <c r="J101" s="646">
        <f t="shared" si="37"/>
        <v>0</v>
      </c>
      <c r="K101" s="646">
        <f t="shared" si="38"/>
        <v>0</v>
      </c>
      <c r="L101" s="646">
        <f t="shared" si="39"/>
        <v>0</v>
      </c>
      <c r="M101" s="646">
        <v>327</v>
      </c>
      <c r="N101" s="646"/>
      <c r="O101" s="646">
        <f t="shared" si="40"/>
        <v>327</v>
      </c>
    </row>
    <row r="102" spans="1:15" s="672" customFormat="1" ht="31.5" x14ac:dyDescent="0.25">
      <c r="A102" s="643"/>
      <c r="B102" s="673" t="s">
        <v>1198</v>
      </c>
      <c r="C102" s="646"/>
      <c r="D102" s="646"/>
      <c r="E102" s="646"/>
      <c r="F102" s="646"/>
      <c r="G102" s="646"/>
      <c r="H102" s="646"/>
      <c r="I102" s="646"/>
      <c r="J102" s="646">
        <f t="shared" si="37"/>
        <v>0</v>
      </c>
      <c r="K102" s="646">
        <f t="shared" si="38"/>
        <v>0</v>
      </c>
      <c r="L102" s="646">
        <f t="shared" si="39"/>
        <v>0</v>
      </c>
      <c r="M102" s="646">
        <v>-441</v>
      </c>
      <c r="N102" s="646"/>
      <c r="O102" s="646">
        <f t="shared" si="40"/>
        <v>-441</v>
      </c>
    </row>
    <row r="103" spans="1:15" s="672" customFormat="1" x14ac:dyDescent="0.25">
      <c r="A103" s="643"/>
      <c r="B103" s="646" t="s">
        <v>1199</v>
      </c>
      <c r="C103" s="646"/>
      <c r="D103" s="646"/>
      <c r="E103" s="646"/>
      <c r="F103" s="646"/>
      <c r="G103" s="646"/>
      <c r="H103" s="646"/>
      <c r="I103" s="646"/>
      <c r="J103" s="646">
        <f t="shared" si="37"/>
        <v>0</v>
      </c>
      <c r="K103" s="646">
        <f t="shared" si="38"/>
        <v>0</v>
      </c>
      <c r="L103" s="646">
        <f t="shared" si="39"/>
        <v>0</v>
      </c>
      <c r="M103" s="646">
        <v>-367</v>
      </c>
      <c r="N103" s="646"/>
      <c r="O103" s="646">
        <f t="shared" si="40"/>
        <v>-367</v>
      </c>
    </row>
    <row r="104" spans="1:15" s="672" customFormat="1" x14ac:dyDescent="0.25">
      <c r="A104" s="643"/>
      <c r="B104" s="646" t="s">
        <v>1201</v>
      </c>
      <c r="C104" s="646"/>
      <c r="D104" s="646"/>
      <c r="E104" s="646"/>
      <c r="F104" s="646"/>
      <c r="G104" s="646"/>
      <c r="H104" s="646"/>
      <c r="I104" s="646"/>
      <c r="J104" s="646">
        <f t="shared" si="37"/>
        <v>0</v>
      </c>
      <c r="K104" s="646">
        <f t="shared" si="38"/>
        <v>0</v>
      </c>
      <c r="L104" s="646">
        <f t="shared" si="39"/>
        <v>0</v>
      </c>
      <c r="M104" s="646">
        <v>-1056</v>
      </c>
      <c r="N104" s="646"/>
      <c r="O104" s="646">
        <f t="shared" si="40"/>
        <v>-1056</v>
      </c>
    </row>
    <row r="105" spans="1:15" s="672" customFormat="1" x14ac:dyDescent="0.25">
      <c r="A105" s="643"/>
      <c r="B105" s="644" t="s">
        <v>494</v>
      </c>
      <c r="C105" s="646"/>
      <c r="D105" s="646"/>
      <c r="E105" s="646"/>
      <c r="F105" s="646"/>
      <c r="G105" s="646"/>
      <c r="H105" s="646"/>
      <c r="I105" s="646"/>
      <c r="J105" s="646"/>
      <c r="K105" s="646"/>
      <c r="L105" s="646"/>
      <c r="M105" s="646"/>
      <c r="N105" s="646"/>
      <c r="O105" s="646"/>
    </row>
    <row r="106" spans="1:15" s="672" customFormat="1" ht="16.5" thickBot="1" x14ac:dyDescent="0.3">
      <c r="A106" s="643"/>
      <c r="B106" s="646" t="s">
        <v>1204</v>
      </c>
      <c r="C106" s="646"/>
      <c r="D106" s="646"/>
      <c r="E106" s="646"/>
      <c r="F106" s="646"/>
      <c r="G106" s="646"/>
      <c r="H106" s="646"/>
      <c r="I106" s="646"/>
      <c r="J106" s="646">
        <f t="shared" si="37"/>
        <v>0</v>
      </c>
      <c r="K106" s="646">
        <f t="shared" si="38"/>
        <v>0</v>
      </c>
      <c r="L106" s="646">
        <f t="shared" si="39"/>
        <v>0</v>
      </c>
      <c r="M106" s="646">
        <v>626</v>
      </c>
      <c r="N106" s="646"/>
      <c r="O106" s="646">
        <f t="shared" si="40"/>
        <v>626</v>
      </c>
    </row>
    <row r="107" spans="1:15" ht="17.25" thickTop="1" thickBot="1" x14ac:dyDescent="0.3">
      <c r="A107" s="638"/>
      <c r="B107" s="647" t="s">
        <v>381</v>
      </c>
      <c r="C107" s="647">
        <f>+C95+C99+C106+C100+C101+C102+C103+C104</f>
        <v>3719</v>
      </c>
      <c r="D107" s="647">
        <f t="shared" ref="D107:O107" si="41">+D95+D99+D106+D100+D101+D102+D103+D104</f>
        <v>0</v>
      </c>
      <c r="E107" s="647">
        <f t="shared" si="41"/>
        <v>0</v>
      </c>
      <c r="F107" s="647">
        <f t="shared" si="41"/>
        <v>470</v>
      </c>
      <c r="G107" s="647">
        <f t="shared" si="41"/>
        <v>0</v>
      </c>
      <c r="H107" s="647">
        <f t="shared" si="41"/>
        <v>0</v>
      </c>
      <c r="I107" s="647">
        <f t="shared" si="41"/>
        <v>0</v>
      </c>
      <c r="J107" s="647">
        <f t="shared" si="41"/>
        <v>4189</v>
      </c>
      <c r="K107" s="647">
        <f t="shared" si="41"/>
        <v>0</v>
      </c>
      <c r="L107" s="647">
        <f t="shared" si="41"/>
        <v>4189</v>
      </c>
      <c r="M107" s="647">
        <f t="shared" si="41"/>
        <v>58989</v>
      </c>
      <c r="N107" s="647">
        <f t="shared" si="41"/>
        <v>327</v>
      </c>
      <c r="O107" s="647">
        <f t="shared" si="41"/>
        <v>63505</v>
      </c>
    </row>
    <row r="108" spans="1:15" ht="17.25" thickTop="1" thickBot="1" x14ac:dyDescent="0.3">
      <c r="A108" s="638"/>
      <c r="B108" s="647" t="s">
        <v>380</v>
      </c>
      <c r="C108" s="647">
        <f t="shared" ref="C108:O108" si="42">+C96+C99+C100+C101+C102+C103+C104</f>
        <v>3719</v>
      </c>
      <c r="D108" s="647">
        <f t="shared" si="42"/>
        <v>0</v>
      </c>
      <c r="E108" s="647">
        <f t="shared" si="42"/>
        <v>0</v>
      </c>
      <c r="F108" s="647">
        <f t="shared" si="42"/>
        <v>470</v>
      </c>
      <c r="G108" s="647">
        <f t="shared" si="42"/>
        <v>0</v>
      </c>
      <c r="H108" s="647">
        <f t="shared" si="42"/>
        <v>0</v>
      </c>
      <c r="I108" s="647">
        <f t="shared" si="42"/>
        <v>0</v>
      </c>
      <c r="J108" s="647">
        <f t="shared" si="42"/>
        <v>4189</v>
      </c>
      <c r="K108" s="647">
        <f t="shared" si="42"/>
        <v>0</v>
      </c>
      <c r="L108" s="647">
        <f t="shared" si="42"/>
        <v>4189</v>
      </c>
      <c r="M108" s="647">
        <f t="shared" si="42"/>
        <v>58363</v>
      </c>
      <c r="N108" s="647">
        <f t="shared" si="42"/>
        <v>327</v>
      </c>
      <c r="O108" s="647">
        <f t="shared" si="42"/>
        <v>62879</v>
      </c>
    </row>
    <row r="109" spans="1:15" ht="17.25" thickTop="1" thickBot="1" x14ac:dyDescent="0.3">
      <c r="A109" s="638"/>
      <c r="B109" s="647" t="s">
        <v>379</v>
      </c>
      <c r="C109" s="647">
        <f>+C97+C106</f>
        <v>0</v>
      </c>
      <c r="D109" s="647">
        <f t="shared" ref="D109:O109" si="43">+D97+D106</f>
        <v>0</v>
      </c>
      <c r="E109" s="647">
        <f t="shared" si="43"/>
        <v>0</v>
      </c>
      <c r="F109" s="647">
        <f t="shared" si="43"/>
        <v>0</v>
      </c>
      <c r="G109" s="647">
        <f t="shared" si="43"/>
        <v>0</v>
      </c>
      <c r="H109" s="647">
        <f t="shared" si="43"/>
        <v>0</v>
      </c>
      <c r="I109" s="647">
        <f t="shared" si="43"/>
        <v>0</v>
      </c>
      <c r="J109" s="647">
        <f t="shared" si="43"/>
        <v>0</v>
      </c>
      <c r="K109" s="647">
        <f t="shared" si="43"/>
        <v>0</v>
      </c>
      <c r="L109" s="647">
        <f t="shared" si="43"/>
        <v>0</v>
      </c>
      <c r="M109" s="647">
        <f t="shared" si="43"/>
        <v>626</v>
      </c>
      <c r="N109" s="647">
        <f t="shared" si="43"/>
        <v>0</v>
      </c>
      <c r="O109" s="647">
        <f t="shared" si="43"/>
        <v>626</v>
      </c>
    </row>
    <row r="110" spans="1:15" ht="16.5" thickTop="1" x14ac:dyDescent="0.25">
      <c r="A110" s="642" t="s">
        <v>151</v>
      </c>
      <c r="B110" s="670" t="s">
        <v>822</v>
      </c>
      <c r="C110" s="670"/>
      <c r="D110" s="670"/>
      <c r="E110" s="670"/>
      <c r="F110" s="670"/>
      <c r="G110" s="670"/>
      <c r="H110" s="670"/>
      <c r="I110" s="670"/>
      <c r="J110" s="670"/>
      <c r="K110" s="670"/>
      <c r="L110" s="670"/>
      <c r="M110" s="670"/>
      <c r="N110" s="670"/>
      <c r="O110" s="670"/>
    </row>
    <row r="111" spans="1:15" x14ac:dyDescent="0.25">
      <c r="A111" s="642"/>
      <c r="B111" s="671" t="s">
        <v>349</v>
      </c>
      <c r="C111" s="671"/>
      <c r="D111" s="671"/>
      <c r="E111" s="671"/>
      <c r="F111" s="671">
        <f>SUM(F112:F113)</f>
        <v>1361</v>
      </c>
      <c r="G111" s="671"/>
      <c r="H111" s="671"/>
      <c r="I111" s="671"/>
      <c r="J111" s="671">
        <f>SUM(C111+E111+F111+H111)</f>
        <v>1361</v>
      </c>
      <c r="K111" s="671">
        <f>SUM(D111+G111+I111)</f>
        <v>0</v>
      </c>
      <c r="L111" s="671">
        <f>SUM(J111:K111)</f>
        <v>1361</v>
      </c>
      <c r="M111" s="671">
        <f>SUM(M112:M113)</f>
        <v>132385</v>
      </c>
      <c r="N111" s="671"/>
      <c r="O111" s="671">
        <f>SUM(L111:N111)</f>
        <v>133746</v>
      </c>
    </row>
    <row r="112" spans="1:15" s="672" customFormat="1" x14ac:dyDescent="0.25">
      <c r="A112" s="643"/>
      <c r="B112" s="644" t="s">
        <v>383</v>
      </c>
      <c r="C112" s="644"/>
      <c r="D112" s="644"/>
      <c r="E112" s="644"/>
      <c r="F112" s="644">
        <v>1361</v>
      </c>
      <c r="G112" s="644"/>
      <c r="H112" s="644"/>
      <c r="I112" s="644"/>
      <c r="J112" s="645">
        <f>SUM(C112+E112+F112+H112)</f>
        <v>1361</v>
      </c>
      <c r="K112" s="645">
        <f>SUM(D112+G112+I112)</f>
        <v>0</v>
      </c>
      <c r="L112" s="645">
        <f>SUM(J112:K112)</f>
        <v>1361</v>
      </c>
      <c r="M112" s="645">
        <v>132385</v>
      </c>
      <c r="N112" s="645"/>
      <c r="O112" s="645">
        <f>SUM(L112:N112)</f>
        <v>133746</v>
      </c>
    </row>
    <row r="113" spans="1:15" s="672" customFormat="1" x14ac:dyDescent="0.25">
      <c r="A113" s="643"/>
      <c r="B113" s="644" t="s">
        <v>382</v>
      </c>
      <c r="C113" s="644"/>
      <c r="D113" s="644"/>
      <c r="E113" s="644"/>
      <c r="F113" s="644"/>
      <c r="G113" s="644"/>
      <c r="H113" s="644"/>
      <c r="I113" s="644"/>
      <c r="J113" s="645">
        <f>SUM(C113+E113+F113+H113)</f>
        <v>0</v>
      </c>
      <c r="K113" s="645">
        <f>SUM(D113+G113+I113)</f>
        <v>0</v>
      </c>
      <c r="L113" s="645">
        <f>SUM(J113:K113)</f>
        <v>0</v>
      </c>
      <c r="M113" s="645"/>
      <c r="N113" s="645"/>
      <c r="O113" s="645">
        <f>SUM(L113:N113)</f>
        <v>0</v>
      </c>
    </row>
    <row r="114" spans="1:15" s="672" customFormat="1" x14ac:dyDescent="0.25">
      <c r="A114" s="643"/>
      <c r="B114" s="644" t="s">
        <v>132</v>
      </c>
      <c r="C114" s="646"/>
      <c r="D114" s="646"/>
      <c r="E114" s="646"/>
      <c r="F114" s="646"/>
      <c r="G114" s="646"/>
      <c r="H114" s="646"/>
      <c r="I114" s="646"/>
      <c r="J114" s="646"/>
      <c r="K114" s="646"/>
      <c r="L114" s="646"/>
      <c r="M114" s="646"/>
      <c r="N114" s="646"/>
      <c r="O114" s="646"/>
    </row>
    <row r="115" spans="1:15" s="672" customFormat="1" ht="33" customHeight="1" x14ac:dyDescent="0.25">
      <c r="A115" s="643"/>
      <c r="B115" s="646" t="s">
        <v>1196</v>
      </c>
      <c r="C115" s="646">
        <v>7680</v>
      </c>
      <c r="D115" s="646"/>
      <c r="E115" s="646"/>
      <c r="F115" s="646"/>
      <c r="G115" s="646"/>
      <c r="H115" s="646"/>
      <c r="I115" s="646"/>
      <c r="J115" s="646">
        <f t="shared" ref="J115:J124" si="44">SUM(C115+E115+F115+H115)</f>
        <v>7680</v>
      </c>
      <c r="K115" s="646">
        <f t="shared" ref="K115:K124" si="45">SUM(D115+G115+I115)</f>
        <v>0</v>
      </c>
      <c r="L115" s="646">
        <f t="shared" ref="L115:L124" si="46">SUM(J115:K115)</f>
        <v>7680</v>
      </c>
      <c r="M115" s="646"/>
      <c r="N115" s="646">
        <v>590</v>
      </c>
      <c r="O115" s="646">
        <f t="shared" ref="O115:O124" si="47">SUM(L115:N115)</f>
        <v>8270</v>
      </c>
    </row>
    <row r="116" spans="1:15" s="672" customFormat="1" ht="31.5" x14ac:dyDescent="0.25">
      <c r="A116" s="643"/>
      <c r="B116" s="646" t="s">
        <v>1197</v>
      </c>
      <c r="C116" s="646"/>
      <c r="D116" s="646"/>
      <c r="E116" s="646"/>
      <c r="F116" s="646"/>
      <c r="G116" s="646"/>
      <c r="H116" s="646"/>
      <c r="I116" s="646"/>
      <c r="J116" s="646">
        <f t="shared" si="44"/>
        <v>0</v>
      </c>
      <c r="K116" s="646">
        <f t="shared" si="45"/>
        <v>0</v>
      </c>
      <c r="L116" s="646">
        <f t="shared" si="46"/>
        <v>0</v>
      </c>
      <c r="M116" s="646">
        <v>364</v>
      </c>
      <c r="N116" s="646"/>
      <c r="O116" s="646">
        <f t="shared" si="47"/>
        <v>364</v>
      </c>
    </row>
    <row r="117" spans="1:15" s="672" customFormat="1" ht="31.5" x14ac:dyDescent="0.25">
      <c r="A117" s="643"/>
      <c r="B117" s="646" t="s">
        <v>1205</v>
      </c>
      <c r="C117" s="646"/>
      <c r="D117" s="646"/>
      <c r="E117" s="646"/>
      <c r="F117" s="646"/>
      <c r="G117" s="646"/>
      <c r="H117" s="646"/>
      <c r="I117" s="646"/>
      <c r="J117" s="646">
        <f t="shared" si="44"/>
        <v>0</v>
      </c>
      <c r="K117" s="646">
        <f t="shared" si="45"/>
        <v>0</v>
      </c>
      <c r="L117" s="646">
        <f t="shared" si="46"/>
        <v>0</v>
      </c>
      <c r="M117" s="646">
        <v>557</v>
      </c>
      <c r="N117" s="646"/>
      <c r="O117" s="646">
        <f t="shared" si="47"/>
        <v>557</v>
      </c>
    </row>
    <row r="118" spans="1:15" s="672" customFormat="1" ht="31.5" x14ac:dyDescent="0.25">
      <c r="A118" s="643"/>
      <c r="B118" s="673" t="s">
        <v>1198</v>
      </c>
      <c r="C118" s="646"/>
      <c r="D118" s="646"/>
      <c r="E118" s="646"/>
      <c r="F118" s="646"/>
      <c r="G118" s="646"/>
      <c r="H118" s="646"/>
      <c r="I118" s="646"/>
      <c r="J118" s="646">
        <f t="shared" si="44"/>
        <v>0</v>
      </c>
      <c r="K118" s="646">
        <f t="shared" si="45"/>
        <v>0</v>
      </c>
      <c r="L118" s="646">
        <f t="shared" si="46"/>
        <v>0</v>
      </c>
      <c r="M118" s="646">
        <v>-930</v>
      </c>
      <c r="N118" s="646"/>
      <c r="O118" s="646">
        <f t="shared" si="47"/>
        <v>-930</v>
      </c>
    </row>
    <row r="119" spans="1:15" s="672" customFormat="1" x14ac:dyDescent="0.25">
      <c r="A119" s="643"/>
      <c r="B119" s="646" t="s">
        <v>1199</v>
      </c>
      <c r="C119" s="646"/>
      <c r="D119" s="646"/>
      <c r="E119" s="646"/>
      <c r="F119" s="646"/>
      <c r="G119" s="646"/>
      <c r="H119" s="646"/>
      <c r="I119" s="646"/>
      <c r="J119" s="646">
        <f t="shared" si="44"/>
        <v>0</v>
      </c>
      <c r="K119" s="646">
        <f t="shared" si="45"/>
        <v>0</v>
      </c>
      <c r="L119" s="646">
        <f t="shared" si="46"/>
        <v>0</v>
      </c>
      <c r="M119" s="646">
        <v>-671</v>
      </c>
      <c r="N119" s="646"/>
      <c r="O119" s="646">
        <f t="shared" si="47"/>
        <v>-671</v>
      </c>
    </row>
    <row r="120" spans="1:15" s="672" customFormat="1" ht="31.5" x14ac:dyDescent="0.25">
      <c r="A120" s="643"/>
      <c r="B120" s="646" t="s">
        <v>1207</v>
      </c>
      <c r="C120" s="646"/>
      <c r="D120" s="646"/>
      <c r="E120" s="646"/>
      <c r="F120" s="646"/>
      <c r="G120" s="646"/>
      <c r="H120" s="646"/>
      <c r="I120" s="646"/>
      <c r="J120" s="646">
        <f t="shared" si="44"/>
        <v>0</v>
      </c>
      <c r="K120" s="646">
        <f t="shared" si="45"/>
        <v>0</v>
      </c>
      <c r="L120" s="646">
        <f t="shared" si="46"/>
        <v>0</v>
      </c>
      <c r="M120" s="646">
        <v>158</v>
      </c>
      <c r="N120" s="646"/>
      <c r="O120" s="646">
        <f t="shared" si="47"/>
        <v>158</v>
      </c>
    </row>
    <row r="121" spans="1:15" s="672" customFormat="1" ht="47.25" x14ac:dyDescent="0.25">
      <c r="A121" s="643"/>
      <c r="B121" s="646" t="s">
        <v>1200</v>
      </c>
      <c r="C121" s="646"/>
      <c r="D121" s="646"/>
      <c r="E121" s="646"/>
      <c r="F121" s="646"/>
      <c r="G121" s="646"/>
      <c r="H121" s="646"/>
      <c r="I121" s="646"/>
      <c r="J121" s="646">
        <f t="shared" si="44"/>
        <v>0</v>
      </c>
      <c r="K121" s="646">
        <f t="shared" si="45"/>
        <v>0</v>
      </c>
      <c r="L121" s="646">
        <f t="shared" si="46"/>
        <v>0</v>
      </c>
      <c r="M121" s="646">
        <v>463</v>
      </c>
      <c r="N121" s="646"/>
      <c r="O121" s="646">
        <f t="shared" si="47"/>
        <v>463</v>
      </c>
    </row>
    <row r="122" spans="1:15" s="672" customFormat="1" x14ac:dyDescent="0.25">
      <c r="A122" s="643"/>
      <c r="B122" s="646" t="s">
        <v>1201</v>
      </c>
      <c r="C122" s="646"/>
      <c r="D122" s="646"/>
      <c r="E122" s="646"/>
      <c r="F122" s="646"/>
      <c r="G122" s="646"/>
      <c r="H122" s="646"/>
      <c r="I122" s="646"/>
      <c r="J122" s="646">
        <f t="shared" si="44"/>
        <v>0</v>
      </c>
      <c r="K122" s="646">
        <f t="shared" si="45"/>
        <v>0</v>
      </c>
      <c r="L122" s="646">
        <f t="shared" si="46"/>
        <v>0</v>
      </c>
      <c r="M122" s="646">
        <v>-2380</v>
      </c>
      <c r="N122" s="646"/>
      <c r="O122" s="646">
        <f t="shared" si="47"/>
        <v>-2380</v>
      </c>
    </row>
    <row r="123" spans="1:15" s="672" customFormat="1" x14ac:dyDescent="0.25">
      <c r="A123" s="643"/>
      <c r="B123" s="644" t="s">
        <v>133</v>
      </c>
      <c r="C123" s="646"/>
      <c r="D123" s="646"/>
      <c r="E123" s="646"/>
      <c r="F123" s="646"/>
      <c r="G123" s="646"/>
      <c r="H123" s="646"/>
      <c r="I123" s="646"/>
      <c r="J123" s="646"/>
      <c r="K123" s="646"/>
      <c r="L123" s="646"/>
      <c r="M123" s="646"/>
      <c r="N123" s="646"/>
      <c r="O123" s="646"/>
    </row>
    <row r="124" spans="1:15" s="672" customFormat="1" ht="16.5" thickBot="1" x14ac:dyDescent="0.3">
      <c r="A124" s="643"/>
      <c r="B124" s="646" t="s">
        <v>1204</v>
      </c>
      <c r="C124" s="646"/>
      <c r="D124" s="646"/>
      <c r="E124" s="646"/>
      <c r="F124" s="646"/>
      <c r="G124" s="646"/>
      <c r="H124" s="646"/>
      <c r="I124" s="646"/>
      <c r="J124" s="646">
        <f t="shared" si="44"/>
        <v>0</v>
      </c>
      <c r="K124" s="646">
        <f t="shared" si="45"/>
        <v>0</v>
      </c>
      <c r="L124" s="646">
        <f t="shared" si="46"/>
        <v>0</v>
      </c>
      <c r="M124" s="646">
        <v>1366</v>
      </c>
      <c r="N124" s="646"/>
      <c r="O124" s="646">
        <f t="shared" si="47"/>
        <v>1366</v>
      </c>
    </row>
    <row r="125" spans="1:15" ht="17.25" thickTop="1" thickBot="1" x14ac:dyDescent="0.3">
      <c r="A125" s="638"/>
      <c r="B125" s="647" t="s">
        <v>381</v>
      </c>
      <c r="C125" s="647">
        <f>+C111+C115+C124+C116+C117+C118+C119+C120+C121+C122</f>
        <v>7680</v>
      </c>
      <c r="D125" s="647">
        <f t="shared" ref="D125:O125" si="48">+D111+D115+D124+D116+D117+D118+D119+D120+D121+D122</f>
        <v>0</v>
      </c>
      <c r="E125" s="647">
        <f t="shared" si="48"/>
        <v>0</v>
      </c>
      <c r="F125" s="647">
        <f t="shared" si="48"/>
        <v>1361</v>
      </c>
      <c r="G125" s="647">
        <f t="shared" si="48"/>
        <v>0</v>
      </c>
      <c r="H125" s="647">
        <f t="shared" si="48"/>
        <v>0</v>
      </c>
      <c r="I125" s="647">
        <f t="shared" si="48"/>
        <v>0</v>
      </c>
      <c r="J125" s="647">
        <f t="shared" si="48"/>
        <v>9041</v>
      </c>
      <c r="K125" s="647">
        <f t="shared" si="48"/>
        <v>0</v>
      </c>
      <c r="L125" s="647">
        <f t="shared" si="48"/>
        <v>9041</v>
      </c>
      <c r="M125" s="647">
        <f t="shared" si="48"/>
        <v>131312</v>
      </c>
      <c r="N125" s="647">
        <f t="shared" si="48"/>
        <v>590</v>
      </c>
      <c r="O125" s="647">
        <f t="shared" si="48"/>
        <v>140943</v>
      </c>
    </row>
    <row r="126" spans="1:15" ht="17.25" thickTop="1" thickBot="1" x14ac:dyDescent="0.3">
      <c r="A126" s="638"/>
      <c r="B126" s="647" t="s">
        <v>380</v>
      </c>
      <c r="C126" s="647">
        <f t="shared" ref="C126:O126" si="49">+C112+C115+C116+C117+C118+C119+C120+C121+C122</f>
        <v>7680</v>
      </c>
      <c r="D126" s="647">
        <f t="shared" si="49"/>
        <v>0</v>
      </c>
      <c r="E126" s="647">
        <f t="shared" si="49"/>
        <v>0</v>
      </c>
      <c r="F126" s="647">
        <f t="shared" si="49"/>
        <v>1361</v>
      </c>
      <c r="G126" s="647">
        <f t="shared" si="49"/>
        <v>0</v>
      </c>
      <c r="H126" s="647">
        <f t="shared" si="49"/>
        <v>0</v>
      </c>
      <c r="I126" s="647">
        <f t="shared" si="49"/>
        <v>0</v>
      </c>
      <c r="J126" s="647">
        <f t="shared" si="49"/>
        <v>9041</v>
      </c>
      <c r="K126" s="647">
        <f t="shared" si="49"/>
        <v>0</v>
      </c>
      <c r="L126" s="647">
        <f t="shared" si="49"/>
        <v>9041</v>
      </c>
      <c r="M126" s="647">
        <f t="shared" si="49"/>
        <v>129946</v>
      </c>
      <c r="N126" s="647">
        <f t="shared" si="49"/>
        <v>590</v>
      </c>
      <c r="O126" s="647">
        <f t="shared" si="49"/>
        <v>139577</v>
      </c>
    </row>
    <row r="127" spans="1:15" ht="17.25" thickTop="1" thickBot="1" x14ac:dyDescent="0.3">
      <c r="A127" s="638"/>
      <c r="B127" s="647" t="s">
        <v>379</v>
      </c>
      <c r="C127" s="647">
        <f>+C113+C124</f>
        <v>0</v>
      </c>
      <c r="D127" s="647">
        <f t="shared" ref="D127:O127" si="50">+D113+D124</f>
        <v>0</v>
      </c>
      <c r="E127" s="647">
        <f t="shared" si="50"/>
        <v>0</v>
      </c>
      <c r="F127" s="647">
        <f t="shared" si="50"/>
        <v>0</v>
      </c>
      <c r="G127" s="647">
        <f t="shared" si="50"/>
        <v>0</v>
      </c>
      <c r="H127" s="647">
        <f t="shared" si="50"/>
        <v>0</v>
      </c>
      <c r="I127" s="647">
        <f t="shared" si="50"/>
        <v>0</v>
      </c>
      <c r="J127" s="647">
        <f t="shared" si="50"/>
        <v>0</v>
      </c>
      <c r="K127" s="647">
        <f t="shared" si="50"/>
        <v>0</v>
      </c>
      <c r="L127" s="647">
        <f t="shared" si="50"/>
        <v>0</v>
      </c>
      <c r="M127" s="647">
        <f t="shared" si="50"/>
        <v>1366</v>
      </c>
      <c r="N127" s="647">
        <f t="shared" si="50"/>
        <v>0</v>
      </c>
      <c r="O127" s="647">
        <f t="shared" si="50"/>
        <v>1366</v>
      </c>
    </row>
    <row r="128" spans="1:15" ht="16.5" thickTop="1" x14ac:dyDescent="0.25">
      <c r="A128" s="642" t="s">
        <v>152</v>
      </c>
      <c r="B128" s="670" t="s">
        <v>823</v>
      </c>
      <c r="C128" s="670"/>
      <c r="D128" s="670"/>
      <c r="E128" s="670"/>
      <c r="F128" s="670"/>
      <c r="G128" s="670"/>
      <c r="H128" s="670"/>
      <c r="I128" s="670"/>
      <c r="J128" s="670"/>
      <c r="K128" s="670"/>
      <c r="L128" s="670"/>
      <c r="M128" s="670"/>
      <c r="N128" s="670"/>
      <c r="O128" s="670"/>
    </row>
    <row r="129" spans="1:15" x14ac:dyDescent="0.25">
      <c r="A129" s="642"/>
      <c r="B129" s="671" t="s">
        <v>349</v>
      </c>
      <c r="C129" s="671"/>
      <c r="D129" s="671"/>
      <c r="E129" s="671"/>
      <c r="F129" s="671">
        <f>SUM(F130:F131)</f>
        <v>1844</v>
      </c>
      <c r="G129" s="671"/>
      <c r="H129" s="671"/>
      <c r="I129" s="671"/>
      <c r="J129" s="671">
        <f>SUM(C129+E129+F129+H129)</f>
        <v>1844</v>
      </c>
      <c r="K129" s="671">
        <f>SUM(D129+G129+I129)</f>
        <v>0</v>
      </c>
      <c r="L129" s="671">
        <f>SUM(J129:K129)</f>
        <v>1844</v>
      </c>
      <c r="M129" s="671">
        <f>SUM(M130:M131)</f>
        <v>100981</v>
      </c>
      <c r="N129" s="671"/>
      <c r="O129" s="671">
        <f>SUM(L129:N129)</f>
        <v>102825</v>
      </c>
    </row>
    <row r="130" spans="1:15" s="672" customFormat="1" x14ac:dyDescent="0.25">
      <c r="A130" s="649"/>
      <c r="B130" s="650" t="s">
        <v>383</v>
      </c>
      <c r="C130" s="650"/>
      <c r="D130" s="650"/>
      <c r="E130" s="650"/>
      <c r="F130" s="650">
        <v>1844</v>
      </c>
      <c r="G130" s="650"/>
      <c r="H130" s="650"/>
      <c r="I130" s="650"/>
      <c r="J130" s="651">
        <f>SUM(C130+E130+F130+H130)</f>
        <v>1844</v>
      </c>
      <c r="K130" s="651">
        <f>SUM(D130+G130+I130)</f>
        <v>0</v>
      </c>
      <c r="L130" s="651">
        <f>SUM(J130:K130)</f>
        <v>1844</v>
      </c>
      <c r="M130" s="651">
        <v>100981</v>
      </c>
      <c r="N130" s="651"/>
      <c r="O130" s="651">
        <f>SUM(L130:N130)</f>
        <v>102825</v>
      </c>
    </row>
    <row r="131" spans="1:15" s="672" customFormat="1" x14ac:dyDescent="0.25">
      <c r="A131" s="649"/>
      <c r="B131" s="650" t="s">
        <v>382</v>
      </c>
      <c r="C131" s="650"/>
      <c r="D131" s="650"/>
      <c r="E131" s="650"/>
      <c r="F131" s="650"/>
      <c r="G131" s="650"/>
      <c r="H131" s="650"/>
      <c r="I131" s="650"/>
      <c r="J131" s="651">
        <f>SUM(C131+E131+F131+H131)</f>
        <v>0</v>
      </c>
      <c r="K131" s="651">
        <f>SUM(D131+G131+I131)</f>
        <v>0</v>
      </c>
      <c r="L131" s="651">
        <f>SUM(J131:K131)</f>
        <v>0</v>
      </c>
      <c r="M131" s="651"/>
      <c r="N131" s="651"/>
      <c r="O131" s="651">
        <f>SUM(L131:N131)</f>
        <v>0</v>
      </c>
    </row>
    <row r="132" spans="1:15" s="672" customFormat="1" x14ac:dyDescent="0.25">
      <c r="A132" s="649"/>
      <c r="B132" s="650" t="s">
        <v>132</v>
      </c>
      <c r="C132" s="652"/>
      <c r="D132" s="652"/>
      <c r="E132" s="652"/>
      <c r="F132" s="652"/>
      <c r="G132" s="652"/>
      <c r="H132" s="652"/>
      <c r="I132" s="652"/>
      <c r="J132" s="652"/>
      <c r="K132" s="652"/>
      <c r="L132" s="652"/>
      <c r="M132" s="652"/>
      <c r="N132" s="652"/>
      <c r="O132" s="652"/>
    </row>
    <row r="133" spans="1:15" s="672" customFormat="1" ht="30.75" customHeight="1" x14ac:dyDescent="0.25">
      <c r="A133" s="649"/>
      <c r="B133" s="646" t="s">
        <v>1196</v>
      </c>
      <c r="C133" s="652">
        <v>6905</v>
      </c>
      <c r="D133" s="652"/>
      <c r="E133" s="652"/>
      <c r="F133" s="652"/>
      <c r="G133" s="652"/>
      <c r="H133" s="652"/>
      <c r="I133" s="652"/>
      <c r="J133" s="652">
        <f t="shared" ref="J133:J141" si="51">SUM(C133+E133+F133+H133)</f>
        <v>6905</v>
      </c>
      <c r="K133" s="652">
        <f t="shared" ref="K133:K141" si="52">SUM(D133+G133+I133)</f>
        <v>0</v>
      </c>
      <c r="L133" s="652">
        <f t="shared" ref="L133:L141" si="53">SUM(J133:K133)</f>
        <v>6905</v>
      </c>
      <c r="M133" s="652"/>
      <c r="N133" s="652">
        <v>645</v>
      </c>
      <c r="O133" s="652">
        <f t="shared" ref="O133:O141" si="54">SUM(L133:N133)</f>
        <v>7550</v>
      </c>
    </row>
    <row r="134" spans="1:15" s="672" customFormat="1" ht="31.5" x14ac:dyDescent="0.25">
      <c r="A134" s="649"/>
      <c r="B134" s="646" t="s">
        <v>1197</v>
      </c>
      <c r="C134" s="652"/>
      <c r="D134" s="652"/>
      <c r="E134" s="652"/>
      <c r="F134" s="652"/>
      <c r="G134" s="652"/>
      <c r="H134" s="652"/>
      <c r="I134" s="652"/>
      <c r="J134" s="652">
        <f t="shared" si="51"/>
        <v>0</v>
      </c>
      <c r="K134" s="652">
        <f t="shared" si="52"/>
        <v>0</v>
      </c>
      <c r="L134" s="652">
        <f t="shared" si="53"/>
        <v>0</v>
      </c>
      <c r="M134" s="652">
        <v>54</v>
      </c>
      <c r="N134" s="652"/>
      <c r="O134" s="652">
        <f t="shared" si="54"/>
        <v>54</v>
      </c>
    </row>
    <row r="135" spans="1:15" s="672" customFormat="1" ht="31.5" x14ac:dyDescent="0.25">
      <c r="A135" s="649"/>
      <c r="B135" s="646" t="s">
        <v>1205</v>
      </c>
      <c r="C135" s="652"/>
      <c r="D135" s="652"/>
      <c r="E135" s="652"/>
      <c r="F135" s="652"/>
      <c r="G135" s="652"/>
      <c r="H135" s="652"/>
      <c r="I135" s="652"/>
      <c r="J135" s="652">
        <f t="shared" si="51"/>
        <v>0</v>
      </c>
      <c r="K135" s="652">
        <f t="shared" si="52"/>
        <v>0</v>
      </c>
      <c r="L135" s="652">
        <f t="shared" si="53"/>
        <v>0</v>
      </c>
      <c r="M135" s="652">
        <v>644</v>
      </c>
      <c r="N135" s="652"/>
      <c r="O135" s="652">
        <f t="shared" si="54"/>
        <v>644</v>
      </c>
    </row>
    <row r="136" spans="1:15" s="672" customFormat="1" ht="31.5" x14ac:dyDescent="0.25">
      <c r="A136" s="649"/>
      <c r="B136" s="673" t="s">
        <v>1198</v>
      </c>
      <c r="C136" s="652"/>
      <c r="D136" s="652"/>
      <c r="E136" s="652"/>
      <c r="F136" s="652"/>
      <c r="G136" s="652"/>
      <c r="H136" s="652"/>
      <c r="I136" s="652"/>
      <c r="J136" s="652">
        <f t="shared" si="51"/>
        <v>0</v>
      </c>
      <c r="K136" s="652">
        <f t="shared" si="52"/>
        <v>0</v>
      </c>
      <c r="L136" s="652">
        <f t="shared" si="53"/>
        <v>0</v>
      </c>
      <c r="M136" s="652">
        <v>-725</v>
      </c>
      <c r="N136" s="652"/>
      <c r="O136" s="652">
        <f t="shared" si="54"/>
        <v>-725</v>
      </c>
    </row>
    <row r="137" spans="1:15" s="672" customFormat="1" x14ac:dyDescent="0.25">
      <c r="A137" s="649"/>
      <c r="B137" s="646" t="s">
        <v>1199</v>
      </c>
      <c r="C137" s="652"/>
      <c r="D137" s="652"/>
      <c r="E137" s="652"/>
      <c r="F137" s="652"/>
      <c r="G137" s="652"/>
      <c r="H137" s="652"/>
      <c r="I137" s="652"/>
      <c r="J137" s="652">
        <f t="shared" si="51"/>
        <v>0</v>
      </c>
      <c r="K137" s="652">
        <f t="shared" si="52"/>
        <v>0</v>
      </c>
      <c r="L137" s="652">
        <f t="shared" si="53"/>
        <v>0</v>
      </c>
      <c r="M137" s="652">
        <v>-543</v>
      </c>
      <c r="N137" s="652"/>
      <c r="O137" s="652">
        <f t="shared" si="54"/>
        <v>-543</v>
      </c>
    </row>
    <row r="138" spans="1:15" s="672" customFormat="1" ht="47.25" x14ac:dyDescent="0.25">
      <c r="A138" s="649"/>
      <c r="B138" s="646" t="s">
        <v>1200</v>
      </c>
      <c r="C138" s="652"/>
      <c r="D138" s="652"/>
      <c r="E138" s="652"/>
      <c r="F138" s="652"/>
      <c r="G138" s="652"/>
      <c r="H138" s="652"/>
      <c r="I138" s="652"/>
      <c r="J138" s="652">
        <f t="shared" si="51"/>
        <v>0</v>
      </c>
      <c r="K138" s="652">
        <f t="shared" si="52"/>
        <v>0</v>
      </c>
      <c r="L138" s="652">
        <f t="shared" si="53"/>
        <v>0</v>
      </c>
      <c r="M138" s="652">
        <v>442</v>
      </c>
      <c r="N138" s="652"/>
      <c r="O138" s="652">
        <f t="shared" si="54"/>
        <v>442</v>
      </c>
    </row>
    <row r="139" spans="1:15" s="672" customFormat="1" x14ac:dyDescent="0.25">
      <c r="A139" s="649"/>
      <c r="B139" s="646" t="s">
        <v>1201</v>
      </c>
      <c r="C139" s="652"/>
      <c r="D139" s="652"/>
      <c r="E139" s="652"/>
      <c r="F139" s="652"/>
      <c r="G139" s="652"/>
      <c r="H139" s="652"/>
      <c r="I139" s="652"/>
      <c r="J139" s="652">
        <f t="shared" si="51"/>
        <v>0</v>
      </c>
      <c r="K139" s="652">
        <f t="shared" si="52"/>
        <v>0</v>
      </c>
      <c r="L139" s="652">
        <f t="shared" si="53"/>
        <v>0</v>
      </c>
      <c r="M139" s="652">
        <v>-1800</v>
      </c>
      <c r="N139" s="652"/>
      <c r="O139" s="652">
        <f t="shared" si="54"/>
        <v>-1800</v>
      </c>
    </row>
    <row r="140" spans="1:15" s="672" customFormat="1" x14ac:dyDescent="0.25">
      <c r="A140" s="649"/>
      <c r="B140" s="650" t="s">
        <v>133</v>
      </c>
      <c r="C140" s="652"/>
      <c r="D140" s="652"/>
      <c r="E140" s="652"/>
      <c r="F140" s="652"/>
      <c r="G140" s="652"/>
      <c r="H140" s="652"/>
      <c r="I140" s="652"/>
      <c r="J140" s="652"/>
      <c r="K140" s="652"/>
      <c r="L140" s="652"/>
      <c r="M140" s="652"/>
      <c r="N140" s="652"/>
      <c r="O140" s="652"/>
    </row>
    <row r="141" spans="1:15" s="672" customFormat="1" ht="16.5" thickBot="1" x14ac:dyDescent="0.3">
      <c r="A141" s="649"/>
      <c r="B141" s="646" t="s">
        <v>1204</v>
      </c>
      <c r="C141" s="652"/>
      <c r="D141" s="652"/>
      <c r="E141" s="652"/>
      <c r="F141" s="652"/>
      <c r="G141" s="652"/>
      <c r="H141" s="652"/>
      <c r="I141" s="652"/>
      <c r="J141" s="652">
        <f t="shared" si="51"/>
        <v>0</v>
      </c>
      <c r="K141" s="652">
        <f t="shared" si="52"/>
        <v>0</v>
      </c>
      <c r="L141" s="652">
        <f t="shared" si="53"/>
        <v>0</v>
      </c>
      <c r="M141" s="652">
        <v>1165</v>
      </c>
      <c r="N141" s="652"/>
      <c r="O141" s="652">
        <f t="shared" si="54"/>
        <v>1165</v>
      </c>
    </row>
    <row r="142" spans="1:15" ht="17.25" thickTop="1" thickBot="1" x14ac:dyDescent="0.3">
      <c r="A142" s="638"/>
      <c r="B142" s="647" t="s">
        <v>381</v>
      </c>
      <c r="C142" s="647">
        <f>+C129+C133+C141+C134+C135+C136+C137+C138+C139</f>
        <v>6905</v>
      </c>
      <c r="D142" s="647">
        <f t="shared" ref="D142:O142" si="55">+D129+D133+D141+D134+D135+D136+D137+D138+D139</f>
        <v>0</v>
      </c>
      <c r="E142" s="647">
        <f t="shared" si="55"/>
        <v>0</v>
      </c>
      <c r="F142" s="647">
        <f t="shared" si="55"/>
        <v>1844</v>
      </c>
      <c r="G142" s="647">
        <f t="shared" si="55"/>
        <v>0</v>
      </c>
      <c r="H142" s="647">
        <f t="shared" si="55"/>
        <v>0</v>
      </c>
      <c r="I142" s="647">
        <f t="shared" si="55"/>
        <v>0</v>
      </c>
      <c r="J142" s="647">
        <f t="shared" si="55"/>
        <v>8749</v>
      </c>
      <c r="K142" s="647">
        <f t="shared" si="55"/>
        <v>0</v>
      </c>
      <c r="L142" s="647">
        <f t="shared" si="55"/>
        <v>8749</v>
      </c>
      <c r="M142" s="647">
        <f t="shared" si="55"/>
        <v>100218</v>
      </c>
      <c r="N142" s="647">
        <f t="shared" si="55"/>
        <v>645</v>
      </c>
      <c r="O142" s="647">
        <f t="shared" si="55"/>
        <v>109612</v>
      </c>
    </row>
    <row r="143" spans="1:15" ht="17.25" thickTop="1" thickBot="1" x14ac:dyDescent="0.3">
      <c r="A143" s="638"/>
      <c r="B143" s="647" t="s">
        <v>380</v>
      </c>
      <c r="C143" s="647">
        <f t="shared" ref="C143:O143" si="56">+C130+C133+C134+C135+C136+C137+C138+C139</f>
        <v>6905</v>
      </c>
      <c r="D143" s="647">
        <f t="shared" si="56"/>
        <v>0</v>
      </c>
      <c r="E143" s="647">
        <f t="shared" si="56"/>
        <v>0</v>
      </c>
      <c r="F143" s="647">
        <f t="shared" si="56"/>
        <v>1844</v>
      </c>
      <c r="G143" s="647">
        <f t="shared" si="56"/>
        <v>0</v>
      </c>
      <c r="H143" s="647">
        <f t="shared" si="56"/>
        <v>0</v>
      </c>
      <c r="I143" s="647">
        <f t="shared" si="56"/>
        <v>0</v>
      </c>
      <c r="J143" s="647">
        <f t="shared" si="56"/>
        <v>8749</v>
      </c>
      <c r="K143" s="647">
        <f t="shared" si="56"/>
        <v>0</v>
      </c>
      <c r="L143" s="647">
        <f t="shared" si="56"/>
        <v>8749</v>
      </c>
      <c r="M143" s="647">
        <f t="shared" si="56"/>
        <v>99053</v>
      </c>
      <c r="N143" s="647">
        <f t="shared" si="56"/>
        <v>645</v>
      </c>
      <c r="O143" s="647">
        <f t="shared" si="56"/>
        <v>108447</v>
      </c>
    </row>
    <row r="144" spans="1:15" ht="17.25" thickTop="1" thickBot="1" x14ac:dyDescent="0.3">
      <c r="A144" s="638"/>
      <c r="B144" s="647" t="s">
        <v>379</v>
      </c>
      <c r="C144" s="647">
        <f>+C131+C141</f>
        <v>0</v>
      </c>
      <c r="D144" s="647">
        <f t="shared" ref="D144:O144" si="57">+D131+D141</f>
        <v>0</v>
      </c>
      <c r="E144" s="647">
        <f t="shared" si="57"/>
        <v>0</v>
      </c>
      <c r="F144" s="647">
        <f t="shared" si="57"/>
        <v>0</v>
      </c>
      <c r="G144" s="647">
        <f t="shared" si="57"/>
        <v>0</v>
      </c>
      <c r="H144" s="647">
        <f t="shared" si="57"/>
        <v>0</v>
      </c>
      <c r="I144" s="647">
        <f t="shared" si="57"/>
        <v>0</v>
      </c>
      <c r="J144" s="647">
        <f t="shared" si="57"/>
        <v>0</v>
      </c>
      <c r="K144" s="647">
        <f t="shared" si="57"/>
        <v>0</v>
      </c>
      <c r="L144" s="647">
        <f t="shared" si="57"/>
        <v>0</v>
      </c>
      <c r="M144" s="647">
        <f t="shared" si="57"/>
        <v>1165</v>
      </c>
      <c r="N144" s="647">
        <f t="shared" si="57"/>
        <v>0</v>
      </c>
      <c r="O144" s="647">
        <f t="shared" si="57"/>
        <v>1165</v>
      </c>
    </row>
    <row r="145" spans="1:15" ht="17.25" thickTop="1" thickBot="1" x14ac:dyDescent="0.3">
      <c r="A145" s="638"/>
      <c r="B145" s="647" t="s">
        <v>406</v>
      </c>
      <c r="C145" s="647">
        <f t="shared" ref="C145:O145" si="58">SUM(C56+C74+C91+C107+C125+C142)</f>
        <v>39549</v>
      </c>
      <c r="D145" s="647">
        <f t="shared" si="58"/>
        <v>0</v>
      </c>
      <c r="E145" s="647">
        <f t="shared" si="58"/>
        <v>0</v>
      </c>
      <c r="F145" s="647">
        <f t="shared" si="58"/>
        <v>9515</v>
      </c>
      <c r="G145" s="647">
        <f t="shared" si="58"/>
        <v>0</v>
      </c>
      <c r="H145" s="647">
        <f t="shared" si="58"/>
        <v>0</v>
      </c>
      <c r="I145" s="647">
        <f t="shared" si="58"/>
        <v>0</v>
      </c>
      <c r="J145" s="647">
        <f t="shared" si="58"/>
        <v>49064</v>
      </c>
      <c r="K145" s="647">
        <f t="shared" si="58"/>
        <v>0</v>
      </c>
      <c r="L145" s="647">
        <f t="shared" si="58"/>
        <v>49064</v>
      </c>
      <c r="M145" s="647">
        <f t="shared" si="58"/>
        <v>595419</v>
      </c>
      <c r="N145" s="647">
        <f t="shared" si="58"/>
        <v>2531</v>
      </c>
      <c r="O145" s="647">
        <f t="shared" si="58"/>
        <v>647014</v>
      </c>
    </row>
    <row r="146" spans="1:15" ht="16.5" thickTop="1" x14ac:dyDescent="0.25">
      <c r="A146" s="642" t="s">
        <v>153</v>
      </c>
      <c r="B146" s="670" t="s">
        <v>405</v>
      </c>
      <c r="C146" s="670"/>
      <c r="D146" s="670"/>
      <c r="E146" s="670"/>
      <c r="F146" s="670"/>
      <c r="G146" s="670"/>
      <c r="H146" s="670"/>
      <c r="I146" s="670"/>
      <c r="J146" s="670"/>
      <c r="K146" s="670"/>
      <c r="L146" s="670"/>
      <c r="M146" s="670"/>
      <c r="N146" s="670"/>
      <c r="O146" s="670"/>
    </row>
    <row r="147" spans="1:15" x14ac:dyDescent="0.25">
      <c r="A147" s="642"/>
      <c r="B147" s="671" t="s">
        <v>349</v>
      </c>
      <c r="C147" s="671"/>
      <c r="D147" s="671"/>
      <c r="E147" s="671"/>
      <c r="F147" s="671">
        <f>SUM(F148:F149)</f>
        <v>8814</v>
      </c>
      <c r="G147" s="671"/>
      <c r="H147" s="671"/>
      <c r="I147" s="671"/>
      <c r="J147" s="671">
        <f>SUM(C147+E147+F147+H147)</f>
        <v>8814</v>
      </c>
      <c r="K147" s="671">
        <f>SUM(D147+G147+I147)</f>
        <v>0</v>
      </c>
      <c r="L147" s="671">
        <f>SUM(J147:K147)</f>
        <v>8814</v>
      </c>
      <c r="M147" s="671">
        <f>SUM(M148:M149)</f>
        <v>252903</v>
      </c>
      <c r="N147" s="671"/>
      <c r="O147" s="671">
        <f>SUM(L147:N147)</f>
        <v>261717</v>
      </c>
    </row>
    <row r="148" spans="1:15" s="672" customFormat="1" x14ac:dyDescent="0.25">
      <c r="A148" s="643"/>
      <c r="B148" s="644" t="s">
        <v>383</v>
      </c>
      <c r="C148" s="644"/>
      <c r="D148" s="644"/>
      <c r="E148" s="644"/>
      <c r="F148" s="644">
        <v>8814</v>
      </c>
      <c r="G148" s="644"/>
      <c r="H148" s="644"/>
      <c r="I148" s="644"/>
      <c r="J148" s="645">
        <f>SUM(C148+E148+F148+H148)</f>
        <v>8814</v>
      </c>
      <c r="K148" s="645">
        <f>SUM(D148+G148+I148)</f>
        <v>0</v>
      </c>
      <c r="L148" s="645">
        <f>SUM(J148:K148)</f>
        <v>8814</v>
      </c>
      <c r="M148" s="645">
        <v>252903</v>
      </c>
      <c r="N148" s="645"/>
      <c r="O148" s="645">
        <f>SUM(L148:N148)</f>
        <v>261717</v>
      </c>
    </row>
    <row r="149" spans="1:15" s="672" customFormat="1" x14ac:dyDescent="0.25">
      <c r="A149" s="649"/>
      <c r="B149" s="644" t="s">
        <v>382</v>
      </c>
      <c r="C149" s="644"/>
      <c r="D149" s="644"/>
      <c r="E149" s="644"/>
      <c r="F149" s="644"/>
      <c r="G149" s="644"/>
      <c r="H149" s="644"/>
      <c r="I149" s="644"/>
      <c r="J149" s="645">
        <f>SUM(C149+E149+F149+H149)</f>
        <v>0</v>
      </c>
      <c r="K149" s="645">
        <f>SUM(D149+G149+I149)</f>
        <v>0</v>
      </c>
      <c r="L149" s="645">
        <f>SUM(J149:K149)</f>
        <v>0</v>
      </c>
      <c r="M149" s="645"/>
      <c r="N149" s="645"/>
      <c r="O149" s="645">
        <f>SUM(L149:N149)</f>
        <v>0</v>
      </c>
    </row>
    <row r="150" spans="1:15" s="672" customFormat="1" x14ac:dyDescent="0.25">
      <c r="A150" s="649"/>
      <c r="B150" s="644" t="s">
        <v>132</v>
      </c>
      <c r="C150" s="646"/>
      <c r="D150" s="646"/>
      <c r="E150" s="646"/>
      <c r="F150" s="646"/>
      <c r="G150" s="646"/>
      <c r="H150" s="646"/>
      <c r="I150" s="646"/>
      <c r="J150" s="646"/>
      <c r="K150" s="646"/>
      <c r="L150" s="646"/>
      <c r="M150" s="646"/>
      <c r="N150" s="646"/>
      <c r="O150" s="646"/>
    </row>
    <row r="151" spans="1:15" s="672" customFormat="1" ht="31.5" customHeight="1" x14ac:dyDescent="0.25">
      <c r="A151" s="649"/>
      <c r="B151" s="646" t="s">
        <v>1196</v>
      </c>
      <c r="C151" s="646">
        <v>15230</v>
      </c>
      <c r="D151" s="646"/>
      <c r="E151" s="646"/>
      <c r="F151" s="646"/>
      <c r="G151" s="646"/>
      <c r="H151" s="646"/>
      <c r="I151" s="646"/>
      <c r="J151" s="646">
        <f t="shared" ref="J151:J160" si="59">SUM(C151+E151+F151+H151)</f>
        <v>15230</v>
      </c>
      <c r="K151" s="646">
        <f t="shared" ref="K151:K160" si="60">SUM(D151+G151+I151)</f>
        <v>0</v>
      </c>
      <c r="L151" s="646">
        <f t="shared" ref="L151:L160" si="61">SUM(J151:K151)</f>
        <v>15230</v>
      </c>
      <c r="M151" s="646"/>
      <c r="N151" s="646">
        <v>2023</v>
      </c>
      <c r="O151" s="646">
        <f t="shared" ref="O151:O160" si="62">SUM(L151:N151)</f>
        <v>17253</v>
      </c>
    </row>
    <row r="152" spans="1:15" s="672" customFormat="1" ht="31.5" x14ac:dyDescent="0.25">
      <c r="A152" s="649"/>
      <c r="B152" s="646" t="s">
        <v>1197</v>
      </c>
      <c r="C152" s="646"/>
      <c r="D152" s="646"/>
      <c r="E152" s="646"/>
      <c r="F152" s="646"/>
      <c r="G152" s="646"/>
      <c r="H152" s="646"/>
      <c r="I152" s="646"/>
      <c r="J152" s="646">
        <f t="shared" si="59"/>
        <v>0</v>
      </c>
      <c r="K152" s="646">
        <f t="shared" si="60"/>
        <v>0</v>
      </c>
      <c r="L152" s="646">
        <f t="shared" si="61"/>
        <v>0</v>
      </c>
      <c r="M152" s="646">
        <v>9</v>
      </c>
      <c r="N152" s="646"/>
      <c r="O152" s="646">
        <f t="shared" si="62"/>
        <v>9</v>
      </c>
    </row>
    <row r="153" spans="1:15" s="672" customFormat="1" ht="31.5" x14ac:dyDescent="0.25">
      <c r="A153" s="649"/>
      <c r="B153" s="673" t="s">
        <v>1198</v>
      </c>
      <c r="C153" s="646"/>
      <c r="D153" s="646"/>
      <c r="E153" s="646"/>
      <c r="F153" s="646"/>
      <c r="G153" s="646"/>
      <c r="H153" s="646"/>
      <c r="I153" s="646"/>
      <c r="J153" s="646">
        <f t="shared" si="59"/>
        <v>0</v>
      </c>
      <c r="K153" s="646">
        <f t="shared" si="60"/>
        <v>0</v>
      </c>
      <c r="L153" s="646">
        <f t="shared" si="61"/>
        <v>0</v>
      </c>
      <c r="M153" s="646">
        <v>-1627</v>
      </c>
      <c r="N153" s="646"/>
      <c r="O153" s="646">
        <f t="shared" si="62"/>
        <v>-1627</v>
      </c>
    </row>
    <row r="154" spans="1:15" s="672" customFormat="1" x14ac:dyDescent="0.25">
      <c r="A154" s="649"/>
      <c r="B154" s="646" t="s">
        <v>1199</v>
      </c>
      <c r="C154" s="646"/>
      <c r="D154" s="646"/>
      <c r="E154" s="646"/>
      <c r="F154" s="646"/>
      <c r="G154" s="646"/>
      <c r="H154" s="646"/>
      <c r="I154" s="646"/>
      <c r="J154" s="646">
        <f t="shared" si="59"/>
        <v>0</v>
      </c>
      <c r="K154" s="646">
        <f t="shared" si="60"/>
        <v>0</v>
      </c>
      <c r="L154" s="646">
        <f t="shared" si="61"/>
        <v>0</v>
      </c>
      <c r="M154" s="646">
        <v>-607</v>
      </c>
      <c r="N154" s="646"/>
      <c r="O154" s="646">
        <f t="shared" si="62"/>
        <v>-607</v>
      </c>
    </row>
    <row r="155" spans="1:15" s="672" customFormat="1" ht="31.5" x14ac:dyDescent="0.25">
      <c r="A155" s="649"/>
      <c r="B155" s="646" t="s">
        <v>1207</v>
      </c>
      <c r="C155" s="646"/>
      <c r="D155" s="646"/>
      <c r="E155" s="646"/>
      <c r="F155" s="646"/>
      <c r="G155" s="646"/>
      <c r="H155" s="646"/>
      <c r="I155" s="646"/>
      <c r="J155" s="646">
        <f t="shared" si="59"/>
        <v>0</v>
      </c>
      <c r="K155" s="646">
        <f t="shared" si="60"/>
        <v>0</v>
      </c>
      <c r="L155" s="646">
        <f t="shared" si="61"/>
        <v>0</v>
      </c>
      <c r="M155" s="646">
        <v>48</v>
      </c>
      <c r="N155" s="646"/>
      <c r="O155" s="646">
        <f t="shared" si="62"/>
        <v>48</v>
      </c>
    </row>
    <row r="156" spans="1:15" s="672" customFormat="1" ht="47.25" x14ac:dyDescent="0.25">
      <c r="A156" s="649"/>
      <c r="B156" s="646" t="s">
        <v>1200</v>
      </c>
      <c r="C156" s="646"/>
      <c r="D156" s="646"/>
      <c r="E156" s="646"/>
      <c r="F156" s="646"/>
      <c r="G156" s="646"/>
      <c r="H156" s="646"/>
      <c r="I156" s="646"/>
      <c r="J156" s="646">
        <f t="shared" si="59"/>
        <v>0</v>
      </c>
      <c r="K156" s="646">
        <f t="shared" si="60"/>
        <v>0</v>
      </c>
      <c r="L156" s="646">
        <f t="shared" si="61"/>
        <v>0</v>
      </c>
      <c r="M156" s="646">
        <v>810</v>
      </c>
      <c r="N156" s="646"/>
      <c r="O156" s="646">
        <f t="shared" si="62"/>
        <v>810</v>
      </c>
    </row>
    <row r="157" spans="1:15" s="672" customFormat="1" x14ac:dyDescent="0.25">
      <c r="A157" s="649"/>
      <c r="B157" s="646" t="s">
        <v>1201</v>
      </c>
      <c r="C157" s="646"/>
      <c r="D157" s="646"/>
      <c r="E157" s="646"/>
      <c r="F157" s="646"/>
      <c r="G157" s="646"/>
      <c r="H157" s="646"/>
      <c r="I157" s="646"/>
      <c r="J157" s="646">
        <f t="shared" si="59"/>
        <v>0</v>
      </c>
      <c r="K157" s="646">
        <f t="shared" si="60"/>
        <v>0</v>
      </c>
      <c r="L157" s="646">
        <f t="shared" si="61"/>
        <v>0</v>
      </c>
      <c r="M157" s="646">
        <v>-4696</v>
      </c>
      <c r="N157" s="646"/>
      <c r="O157" s="646">
        <f t="shared" si="62"/>
        <v>-4696</v>
      </c>
    </row>
    <row r="158" spans="1:15" s="672" customFormat="1" x14ac:dyDescent="0.25">
      <c r="A158" s="649"/>
      <c r="B158" s="644" t="s">
        <v>133</v>
      </c>
      <c r="C158" s="646"/>
      <c r="D158" s="646"/>
      <c r="E158" s="646"/>
      <c r="F158" s="646"/>
      <c r="G158" s="646"/>
      <c r="H158" s="646"/>
      <c r="I158" s="646"/>
      <c r="J158" s="646"/>
      <c r="K158" s="646"/>
      <c r="L158" s="646"/>
      <c r="M158" s="646"/>
      <c r="N158" s="646"/>
      <c r="O158" s="646"/>
    </row>
    <row r="159" spans="1:15" s="672" customFormat="1" ht="63" x14ac:dyDescent="0.25">
      <c r="A159" s="649"/>
      <c r="B159" s="646" t="s">
        <v>1209</v>
      </c>
      <c r="C159" s="646"/>
      <c r="D159" s="646"/>
      <c r="E159" s="646"/>
      <c r="F159" s="646"/>
      <c r="G159" s="646"/>
      <c r="H159" s="646"/>
      <c r="I159" s="646"/>
      <c r="J159" s="646">
        <f t="shared" si="59"/>
        <v>0</v>
      </c>
      <c r="K159" s="646">
        <f t="shared" si="60"/>
        <v>0</v>
      </c>
      <c r="L159" s="646">
        <f t="shared" si="61"/>
        <v>0</v>
      </c>
      <c r="M159" s="646">
        <v>100</v>
      </c>
      <c r="N159" s="646"/>
      <c r="O159" s="646">
        <f t="shared" si="62"/>
        <v>100</v>
      </c>
    </row>
    <row r="160" spans="1:15" s="672" customFormat="1" ht="16.5" thickBot="1" x14ac:dyDescent="0.3">
      <c r="A160" s="649"/>
      <c r="B160" s="646" t="s">
        <v>1204</v>
      </c>
      <c r="C160" s="646"/>
      <c r="D160" s="646"/>
      <c r="E160" s="646"/>
      <c r="F160" s="646"/>
      <c r="G160" s="646"/>
      <c r="H160" s="646"/>
      <c r="I160" s="646"/>
      <c r="J160" s="646">
        <f t="shared" si="59"/>
        <v>0</v>
      </c>
      <c r="K160" s="646">
        <f t="shared" si="60"/>
        <v>0</v>
      </c>
      <c r="L160" s="646">
        <f t="shared" si="61"/>
        <v>0</v>
      </c>
      <c r="M160" s="646">
        <v>2373</v>
      </c>
      <c r="N160" s="646"/>
      <c r="O160" s="646">
        <f t="shared" si="62"/>
        <v>2373</v>
      </c>
    </row>
    <row r="161" spans="1:15" ht="17.25" thickTop="1" thickBot="1" x14ac:dyDescent="0.3">
      <c r="A161" s="638"/>
      <c r="B161" s="647" t="s">
        <v>381</v>
      </c>
      <c r="C161" s="647">
        <f>+C147+C151+C159+C152+C160+C153+C154+C155+C156+C157</f>
        <v>15230</v>
      </c>
      <c r="D161" s="647">
        <f t="shared" ref="D161:O161" si="63">+D147+D151+D159+D152+D160+D153+D154+D155+D156+D157</f>
        <v>0</v>
      </c>
      <c r="E161" s="647">
        <f t="shared" si="63"/>
        <v>0</v>
      </c>
      <c r="F161" s="647">
        <f t="shared" si="63"/>
        <v>8814</v>
      </c>
      <c r="G161" s="647">
        <f t="shared" si="63"/>
        <v>0</v>
      </c>
      <c r="H161" s="647">
        <f t="shared" si="63"/>
        <v>0</v>
      </c>
      <c r="I161" s="647">
        <f t="shared" si="63"/>
        <v>0</v>
      </c>
      <c r="J161" s="647">
        <f t="shared" si="63"/>
        <v>24044</v>
      </c>
      <c r="K161" s="647">
        <f t="shared" si="63"/>
        <v>0</v>
      </c>
      <c r="L161" s="647">
        <f t="shared" si="63"/>
        <v>24044</v>
      </c>
      <c r="M161" s="647">
        <f t="shared" si="63"/>
        <v>249313</v>
      </c>
      <c r="N161" s="647">
        <f t="shared" si="63"/>
        <v>2023</v>
      </c>
      <c r="O161" s="647">
        <f t="shared" si="63"/>
        <v>275380</v>
      </c>
    </row>
    <row r="162" spans="1:15" ht="17.25" thickTop="1" thickBot="1" x14ac:dyDescent="0.3">
      <c r="A162" s="638"/>
      <c r="B162" s="647" t="s">
        <v>380</v>
      </c>
      <c r="C162" s="647">
        <f>+C148+C151+C152+C153+C154+C155+C156+C157</f>
        <v>15230</v>
      </c>
      <c r="D162" s="647">
        <f t="shared" ref="D162:O162" si="64">+D148+D151+D152+D153+D154+D155+D156+D157</f>
        <v>0</v>
      </c>
      <c r="E162" s="647">
        <f t="shared" si="64"/>
        <v>0</v>
      </c>
      <c r="F162" s="647">
        <f t="shared" si="64"/>
        <v>8814</v>
      </c>
      <c r="G162" s="647">
        <f t="shared" si="64"/>
        <v>0</v>
      </c>
      <c r="H162" s="647">
        <f t="shared" si="64"/>
        <v>0</v>
      </c>
      <c r="I162" s="647">
        <f t="shared" si="64"/>
        <v>0</v>
      </c>
      <c r="J162" s="647">
        <f t="shared" si="64"/>
        <v>24044</v>
      </c>
      <c r="K162" s="647">
        <f t="shared" si="64"/>
        <v>0</v>
      </c>
      <c r="L162" s="647">
        <f t="shared" si="64"/>
        <v>24044</v>
      </c>
      <c r="M162" s="647">
        <f t="shared" si="64"/>
        <v>246840</v>
      </c>
      <c r="N162" s="647">
        <f t="shared" si="64"/>
        <v>2023</v>
      </c>
      <c r="O162" s="647">
        <f t="shared" si="64"/>
        <v>272907</v>
      </c>
    </row>
    <row r="163" spans="1:15" ht="17.25" thickTop="1" thickBot="1" x14ac:dyDescent="0.3">
      <c r="A163" s="642"/>
      <c r="B163" s="647" t="s">
        <v>379</v>
      </c>
      <c r="C163" s="647">
        <f>+C149+C159+C160</f>
        <v>0</v>
      </c>
      <c r="D163" s="647">
        <f t="shared" ref="D163:O163" si="65">+D149+D159+D160</f>
        <v>0</v>
      </c>
      <c r="E163" s="647">
        <f t="shared" si="65"/>
        <v>0</v>
      </c>
      <c r="F163" s="647">
        <f t="shared" si="65"/>
        <v>0</v>
      </c>
      <c r="G163" s="647">
        <f t="shared" si="65"/>
        <v>0</v>
      </c>
      <c r="H163" s="647">
        <f t="shared" si="65"/>
        <v>0</v>
      </c>
      <c r="I163" s="647">
        <f t="shared" si="65"/>
        <v>0</v>
      </c>
      <c r="J163" s="647">
        <f t="shared" si="65"/>
        <v>0</v>
      </c>
      <c r="K163" s="647">
        <f t="shared" si="65"/>
        <v>0</v>
      </c>
      <c r="L163" s="647">
        <f t="shared" si="65"/>
        <v>0</v>
      </c>
      <c r="M163" s="647">
        <f t="shared" si="65"/>
        <v>2473</v>
      </c>
      <c r="N163" s="647">
        <f t="shared" si="65"/>
        <v>0</v>
      </c>
      <c r="O163" s="647">
        <f t="shared" si="65"/>
        <v>2473</v>
      </c>
    </row>
    <row r="164" spans="1:15" ht="16.5" thickTop="1" x14ac:dyDescent="0.25">
      <c r="A164" s="642" t="s">
        <v>0</v>
      </c>
      <c r="B164" s="670" t="s">
        <v>679</v>
      </c>
      <c r="C164" s="670"/>
      <c r="D164" s="670"/>
      <c r="E164" s="670"/>
      <c r="F164" s="670"/>
      <c r="G164" s="670"/>
      <c r="H164" s="670"/>
      <c r="I164" s="670"/>
      <c r="J164" s="670"/>
      <c r="K164" s="670"/>
      <c r="L164" s="670"/>
      <c r="M164" s="670"/>
      <c r="N164" s="670"/>
      <c r="O164" s="670"/>
    </row>
    <row r="165" spans="1:15" x14ac:dyDescent="0.25">
      <c r="A165" s="642"/>
      <c r="B165" s="671" t="s">
        <v>349</v>
      </c>
      <c r="C165" s="671"/>
      <c r="D165" s="671"/>
      <c r="E165" s="671"/>
      <c r="F165" s="671">
        <f>SUM(F166:F167)</f>
        <v>6284</v>
      </c>
      <c r="G165" s="671"/>
      <c r="H165" s="671"/>
      <c r="I165" s="671"/>
      <c r="J165" s="671">
        <f>SUM(C165+E165+F165+H165)</f>
        <v>6284</v>
      </c>
      <c r="K165" s="671">
        <f>SUM(D165+G165+I165)</f>
        <v>0</v>
      </c>
      <c r="L165" s="671">
        <f>SUM(J165:K165)</f>
        <v>6284</v>
      </c>
      <c r="M165" s="671">
        <f>SUM(M166:M167)</f>
        <v>256466</v>
      </c>
      <c r="N165" s="671"/>
      <c r="O165" s="671">
        <f>SUM(L165:N165)</f>
        <v>262750</v>
      </c>
    </row>
    <row r="166" spans="1:15" s="672" customFormat="1" x14ac:dyDescent="0.25">
      <c r="A166" s="643"/>
      <c r="B166" s="644" t="s">
        <v>383</v>
      </c>
      <c r="C166" s="644"/>
      <c r="D166" s="644"/>
      <c r="E166" s="644"/>
      <c r="F166" s="644">
        <v>6284</v>
      </c>
      <c r="G166" s="644"/>
      <c r="H166" s="644"/>
      <c r="I166" s="644"/>
      <c r="J166" s="645">
        <f>SUM(C166+E166+F166+H166)</f>
        <v>6284</v>
      </c>
      <c r="K166" s="645">
        <f>SUM(D166+G166+I166)</f>
        <v>0</v>
      </c>
      <c r="L166" s="645">
        <f>SUM(J166:K166)</f>
        <v>6284</v>
      </c>
      <c r="M166" s="645">
        <v>256466</v>
      </c>
      <c r="N166" s="645"/>
      <c r="O166" s="645">
        <f>SUM(L166:N166)</f>
        <v>262750</v>
      </c>
    </row>
    <row r="167" spans="1:15" s="672" customFormat="1" x14ac:dyDescent="0.25">
      <c r="A167" s="643"/>
      <c r="B167" s="644" t="s">
        <v>382</v>
      </c>
      <c r="C167" s="644"/>
      <c r="D167" s="644"/>
      <c r="E167" s="644"/>
      <c r="F167" s="644"/>
      <c r="G167" s="644"/>
      <c r="H167" s="644"/>
      <c r="I167" s="644"/>
      <c r="J167" s="645">
        <f>SUM(C167+E167+F167+H167)</f>
        <v>0</v>
      </c>
      <c r="K167" s="645">
        <f>SUM(D167+G167+I167)</f>
        <v>0</v>
      </c>
      <c r="L167" s="645">
        <f>SUM(J167:K167)</f>
        <v>0</v>
      </c>
      <c r="M167" s="645"/>
      <c r="N167" s="645"/>
      <c r="O167" s="645">
        <f>SUM(L167:N167)</f>
        <v>0</v>
      </c>
    </row>
    <row r="168" spans="1:15" s="672" customFormat="1" x14ac:dyDescent="0.25">
      <c r="A168" s="643"/>
      <c r="B168" s="644" t="s">
        <v>132</v>
      </c>
      <c r="C168" s="646"/>
      <c r="D168" s="646"/>
      <c r="E168" s="646"/>
      <c r="F168" s="646"/>
      <c r="G168" s="646"/>
      <c r="H168" s="646"/>
      <c r="I168" s="646"/>
      <c r="J168" s="646"/>
      <c r="K168" s="646"/>
      <c r="L168" s="646"/>
      <c r="M168" s="646"/>
      <c r="N168" s="646"/>
      <c r="O168" s="646"/>
    </row>
    <row r="169" spans="1:15" s="672" customFormat="1" ht="30.75" customHeight="1" x14ac:dyDescent="0.25">
      <c r="A169" s="643"/>
      <c r="B169" s="658" t="s">
        <v>1196</v>
      </c>
      <c r="C169" s="658">
        <v>14121</v>
      </c>
      <c r="D169" s="658"/>
      <c r="E169" s="658"/>
      <c r="F169" s="658"/>
      <c r="G169" s="658"/>
      <c r="H169" s="658"/>
      <c r="I169" s="658"/>
      <c r="J169" s="658">
        <f t="shared" ref="J169:J177" si="66">SUM(C169+E169+F169+H169)</f>
        <v>14121</v>
      </c>
      <c r="K169" s="658">
        <f t="shared" ref="K169:K177" si="67">SUM(D169+G169+I169)</f>
        <v>0</v>
      </c>
      <c r="L169" s="658">
        <f t="shared" ref="L169:L177" si="68">SUM(J169:K169)</f>
        <v>14121</v>
      </c>
      <c r="M169" s="658"/>
      <c r="N169" s="658">
        <v>1205</v>
      </c>
      <c r="O169" s="658">
        <f t="shared" ref="O169:O177" si="69">SUM(L169:N169)</f>
        <v>15326</v>
      </c>
    </row>
    <row r="170" spans="1:15" s="672" customFormat="1" ht="31.5" x14ac:dyDescent="0.25">
      <c r="A170" s="643"/>
      <c r="B170" s="658" t="s">
        <v>1197</v>
      </c>
      <c r="C170" s="658"/>
      <c r="D170" s="658"/>
      <c r="E170" s="658"/>
      <c r="F170" s="658"/>
      <c r="G170" s="658"/>
      <c r="H170" s="658"/>
      <c r="I170" s="658"/>
      <c r="J170" s="658">
        <f t="shared" si="66"/>
        <v>0</v>
      </c>
      <c r="K170" s="658">
        <f t="shared" si="67"/>
        <v>0</v>
      </c>
      <c r="L170" s="658">
        <f t="shared" si="68"/>
        <v>0</v>
      </c>
      <c r="M170" s="658">
        <v>71</v>
      </c>
      <c r="N170" s="658"/>
      <c r="O170" s="658">
        <f t="shared" si="69"/>
        <v>71</v>
      </c>
    </row>
    <row r="171" spans="1:15" s="672" customFormat="1" ht="31.5" x14ac:dyDescent="0.25">
      <c r="A171" s="643"/>
      <c r="B171" s="673" t="s">
        <v>1198</v>
      </c>
      <c r="C171" s="646"/>
      <c r="D171" s="646"/>
      <c r="E171" s="646"/>
      <c r="F171" s="646"/>
      <c r="G171" s="646"/>
      <c r="H171" s="646"/>
      <c r="I171" s="646"/>
      <c r="J171" s="646">
        <f t="shared" si="66"/>
        <v>0</v>
      </c>
      <c r="K171" s="646">
        <f t="shared" si="67"/>
        <v>0</v>
      </c>
      <c r="L171" s="646">
        <f t="shared" si="68"/>
        <v>0</v>
      </c>
      <c r="M171" s="646">
        <v>-1649</v>
      </c>
      <c r="N171" s="646"/>
      <c r="O171" s="646">
        <f t="shared" si="69"/>
        <v>-1649</v>
      </c>
    </row>
    <row r="172" spans="1:15" s="672" customFormat="1" x14ac:dyDescent="0.25">
      <c r="A172" s="643"/>
      <c r="B172" s="646" t="s">
        <v>1199</v>
      </c>
      <c r="C172" s="646"/>
      <c r="D172" s="646"/>
      <c r="E172" s="646"/>
      <c r="F172" s="646"/>
      <c r="G172" s="646"/>
      <c r="H172" s="646"/>
      <c r="I172" s="646"/>
      <c r="J172" s="646">
        <f t="shared" si="66"/>
        <v>0</v>
      </c>
      <c r="K172" s="646">
        <f t="shared" si="67"/>
        <v>0</v>
      </c>
      <c r="L172" s="646">
        <f t="shared" si="68"/>
        <v>0</v>
      </c>
      <c r="M172" s="646">
        <v>-596</v>
      </c>
      <c r="N172" s="646"/>
      <c r="O172" s="646">
        <f t="shared" si="69"/>
        <v>-596</v>
      </c>
    </row>
    <row r="173" spans="1:15" s="672" customFormat="1" ht="47.25" x14ac:dyDescent="0.25">
      <c r="A173" s="643"/>
      <c r="B173" s="646" t="s">
        <v>1200</v>
      </c>
      <c r="C173" s="646"/>
      <c r="D173" s="646"/>
      <c r="E173" s="646"/>
      <c r="F173" s="646"/>
      <c r="G173" s="646"/>
      <c r="H173" s="646"/>
      <c r="I173" s="646"/>
      <c r="J173" s="646">
        <f t="shared" si="66"/>
        <v>0</v>
      </c>
      <c r="K173" s="646">
        <f t="shared" si="67"/>
        <v>0</v>
      </c>
      <c r="L173" s="646">
        <f t="shared" si="68"/>
        <v>0</v>
      </c>
      <c r="M173" s="646">
        <v>1479</v>
      </c>
      <c r="N173" s="646"/>
      <c r="O173" s="646">
        <f t="shared" si="69"/>
        <v>1479</v>
      </c>
    </row>
    <row r="174" spans="1:15" s="672" customFormat="1" x14ac:dyDescent="0.25">
      <c r="A174" s="643"/>
      <c r="B174" s="646" t="s">
        <v>1201</v>
      </c>
      <c r="C174" s="646"/>
      <c r="D174" s="646"/>
      <c r="E174" s="646"/>
      <c r="F174" s="646"/>
      <c r="G174" s="646"/>
      <c r="H174" s="646"/>
      <c r="I174" s="646"/>
      <c r="J174" s="646">
        <f t="shared" si="66"/>
        <v>0</v>
      </c>
      <c r="K174" s="646">
        <f t="shared" si="67"/>
        <v>0</v>
      </c>
      <c r="L174" s="646">
        <f t="shared" si="68"/>
        <v>0</v>
      </c>
      <c r="M174" s="646">
        <v>-4763</v>
      </c>
      <c r="N174" s="646"/>
      <c r="O174" s="646">
        <f t="shared" si="69"/>
        <v>-4763</v>
      </c>
    </row>
    <row r="175" spans="1:15" s="672" customFormat="1" ht="35.25" customHeight="1" x14ac:dyDescent="0.25">
      <c r="A175" s="643"/>
      <c r="B175" s="646" t="s">
        <v>1210</v>
      </c>
      <c r="C175" s="646"/>
      <c r="D175" s="646"/>
      <c r="E175" s="646"/>
      <c r="F175" s="646"/>
      <c r="G175" s="646"/>
      <c r="H175" s="646"/>
      <c r="I175" s="646"/>
      <c r="J175" s="646">
        <f t="shared" si="66"/>
        <v>0</v>
      </c>
      <c r="K175" s="646">
        <f t="shared" si="67"/>
        <v>0</v>
      </c>
      <c r="L175" s="646">
        <f t="shared" si="68"/>
        <v>0</v>
      </c>
      <c r="M175" s="646">
        <v>1000</v>
      </c>
      <c r="N175" s="646"/>
      <c r="O175" s="646">
        <f t="shared" si="69"/>
        <v>1000</v>
      </c>
    </row>
    <row r="176" spans="1:15" s="672" customFormat="1" x14ac:dyDescent="0.25">
      <c r="A176" s="643"/>
      <c r="B176" s="644" t="s">
        <v>133</v>
      </c>
      <c r="C176" s="646"/>
      <c r="D176" s="646"/>
      <c r="E176" s="646"/>
      <c r="F176" s="646"/>
      <c r="G176" s="646"/>
      <c r="H176" s="646"/>
      <c r="I176" s="646"/>
      <c r="J176" s="646"/>
      <c r="K176" s="646"/>
      <c r="L176" s="646"/>
      <c r="M176" s="646"/>
      <c r="N176" s="646"/>
      <c r="O176" s="646"/>
    </row>
    <row r="177" spans="1:15" s="672" customFormat="1" ht="16.5" thickBot="1" x14ac:dyDescent="0.3">
      <c r="A177" s="643"/>
      <c r="B177" s="646" t="s">
        <v>1204</v>
      </c>
      <c r="C177" s="646"/>
      <c r="D177" s="646"/>
      <c r="E177" s="646"/>
      <c r="F177" s="646"/>
      <c r="G177" s="646"/>
      <c r="H177" s="646"/>
      <c r="I177" s="646"/>
      <c r="J177" s="646">
        <f t="shared" si="66"/>
        <v>0</v>
      </c>
      <c r="K177" s="646">
        <f t="shared" si="67"/>
        <v>0</v>
      </c>
      <c r="L177" s="646">
        <f t="shared" si="68"/>
        <v>0</v>
      </c>
      <c r="M177" s="646">
        <v>2405</v>
      </c>
      <c r="N177" s="646"/>
      <c r="O177" s="646">
        <f t="shared" si="69"/>
        <v>2405</v>
      </c>
    </row>
    <row r="178" spans="1:15" ht="17.25" thickTop="1" thickBot="1" x14ac:dyDescent="0.3">
      <c r="A178" s="638"/>
      <c r="B178" s="647" t="s">
        <v>381</v>
      </c>
      <c r="C178" s="647">
        <f>+C165+C169+C177+C170+C171+C172+C173+C174+C175</f>
        <v>14121</v>
      </c>
      <c r="D178" s="647">
        <f t="shared" ref="D178:O178" si="70">+D165+D169+D177+D170+D171+D172+D173+D174+D175</f>
        <v>0</v>
      </c>
      <c r="E178" s="647">
        <f t="shared" si="70"/>
        <v>0</v>
      </c>
      <c r="F178" s="647">
        <f t="shared" si="70"/>
        <v>6284</v>
      </c>
      <c r="G178" s="647">
        <f t="shared" si="70"/>
        <v>0</v>
      </c>
      <c r="H178" s="647">
        <f t="shared" si="70"/>
        <v>0</v>
      </c>
      <c r="I178" s="647">
        <f t="shared" si="70"/>
        <v>0</v>
      </c>
      <c r="J178" s="647">
        <f t="shared" si="70"/>
        <v>20405</v>
      </c>
      <c r="K178" s="647">
        <f t="shared" si="70"/>
        <v>0</v>
      </c>
      <c r="L178" s="647">
        <f t="shared" si="70"/>
        <v>20405</v>
      </c>
      <c r="M178" s="647">
        <f t="shared" si="70"/>
        <v>254413</v>
      </c>
      <c r="N178" s="647">
        <f t="shared" si="70"/>
        <v>1205</v>
      </c>
      <c r="O178" s="647">
        <f t="shared" si="70"/>
        <v>276023</v>
      </c>
    </row>
    <row r="179" spans="1:15" ht="17.25" thickTop="1" thickBot="1" x14ac:dyDescent="0.3">
      <c r="A179" s="638"/>
      <c r="B179" s="647" t="s">
        <v>380</v>
      </c>
      <c r="C179" s="647">
        <f t="shared" ref="C179:O179" si="71">+C166+C169+C170+C171+C172+C173+C174+C175</f>
        <v>14121</v>
      </c>
      <c r="D179" s="647">
        <f t="shared" si="71"/>
        <v>0</v>
      </c>
      <c r="E179" s="647">
        <f t="shared" si="71"/>
        <v>0</v>
      </c>
      <c r="F179" s="647">
        <f t="shared" si="71"/>
        <v>6284</v>
      </c>
      <c r="G179" s="647">
        <f t="shared" si="71"/>
        <v>0</v>
      </c>
      <c r="H179" s="647">
        <f t="shared" si="71"/>
        <v>0</v>
      </c>
      <c r="I179" s="647">
        <f t="shared" si="71"/>
        <v>0</v>
      </c>
      <c r="J179" s="647">
        <f t="shared" si="71"/>
        <v>20405</v>
      </c>
      <c r="K179" s="647">
        <f t="shared" si="71"/>
        <v>0</v>
      </c>
      <c r="L179" s="647">
        <f t="shared" si="71"/>
        <v>20405</v>
      </c>
      <c r="M179" s="647">
        <f t="shared" si="71"/>
        <v>252008</v>
      </c>
      <c r="N179" s="647">
        <f t="shared" si="71"/>
        <v>1205</v>
      </c>
      <c r="O179" s="647">
        <f t="shared" si="71"/>
        <v>273618</v>
      </c>
    </row>
    <row r="180" spans="1:15" ht="17.25" thickTop="1" thickBot="1" x14ac:dyDescent="0.3">
      <c r="A180" s="638"/>
      <c r="B180" s="647" t="s">
        <v>379</v>
      </c>
      <c r="C180" s="647">
        <f>+C167+C177</f>
        <v>0</v>
      </c>
      <c r="D180" s="647">
        <f t="shared" ref="D180:O180" si="72">+D167+D177</f>
        <v>0</v>
      </c>
      <c r="E180" s="647">
        <f t="shared" si="72"/>
        <v>0</v>
      </c>
      <c r="F180" s="647">
        <f t="shared" si="72"/>
        <v>0</v>
      </c>
      <c r="G180" s="647">
        <f t="shared" si="72"/>
        <v>0</v>
      </c>
      <c r="H180" s="647">
        <f t="shared" si="72"/>
        <v>0</v>
      </c>
      <c r="I180" s="647">
        <f t="shared" si="72"/>
        <v>0</v>
      </c>
      <c r="J180" s="647">
        <f t="shared" si="72"/>
        <v>0</v>
      </c>
      <c r="K180" s="647">
        <f t="shared" si="72"/>
        <v>0</v>
      </c>
      <c r="L180" s="647">
        <f t="shared" si="72"/>
        <v>0</v>
      </c>
      <c r="M180" s="647">
        <f t="shared" si="72"/>
        <v>2405</v>
      </c>
      <c r="N180" s="647">
        <f t="shared" si="72"/>
        <v>0</v>
      </c>
      <c r="O180" s="647">
        <f t="shared" si="72"/>
        <v>2405</v>
      </c>
    </row>
    <row r="181" spans="1:15" ht="32.25" thickTop="1" x14ac:dyDescent="0.25">
      <c r="A181" s="642" t="s">
        <v>1</v>
      </c>
      <c r="B181" s="670" t="s">
        <v>680</v>
      </c>
      <c r="C181" s="670"/>
      <c r="D181" s="670"/>
      <c r="E181" s="670"/>
      <c r="F181" s="670"/>
      <c r="G181" s="670"/>
      <c r="H181" s="670"/>
      <c r="I181" s="670"/>
      <c r="J181" s="670"/>
      <c r="K181" s="670"/>
      <c r="L181" s="670"/>
      <c r="M181" s="670"/>
      <c r="N181" s="670"/>
      <c r="O181" s="670"/>
    </row>
    <row r="182" spans="1:15" x14ac:dyDescent="0.25">
      <c r="A182" s="642"/>
      <c r="B182" s="671" t="s">
        <v>349</v>
      </c>
      <c r="C182" s="671"/>
      <c r="D182" s="671"/>
      <c r="E182" s="671"/>
      <c r="F182" s="671">
        <f>SUM(F183:F184)</f>
        <v>14870</v>
      </c>
      <c r="G182" s="671"/>
      <c r="H182" s="671"/>
      <c r="I182" s="671"/>
      <c r="J182" s="671">
        <f>SUM(C182+E182+F182+H182)</f>
        <v>14870</v>
      </c>
      <c r="K182" s="671">
        <f>SUM(D182+G182+I182)</f>
        <v>0</v>
      </c>
      <c r="L182" s="671">
        <f>SUM(J182:K182)</f>
        <v>14870</v>
      </c>
      <c r="M182" s="671">
        <f>SUM(M183:M184)</f>
        <v>296553</v>
      </c>
      <c r="N182" s="671"/>
      <c r="O182" s="671">
        <f>SUM(L182:N182)</f>
        <v>311423</v>
      </c>
    </row>
    <row r="183" spans="1:15" s="672" customFormat="1" x14ac:dyDescent="0.25">
      <c r="A183" s="643"/>
      <c r="B183" s="644" t="s">
        <v>383</v>
      </c>
      <c r="C183" s="644"/>
      <c r="D183" s="644"/>
      <c r="E183" s="644"/>
      <c r="F183" s="644">
        <v>14870</v>
      </c>
      <c r="G183" s="644"/>
      <c r="H183" s="644"/>
      <c r="I183" s="644"/>
      <c r="J183" s="645">
        <f>SUM(C183+E183+F183+H183)</f>
        <v>14870</v>
      </c>
      <c r="K183" s="645">
        <f>SUM(D183+G183+I183)</f>
        <v>0</v>
      </c>
      <c r="L183" s="645">
        <f>SUM(J183:K183)</f>
        <v>14870</v>
      </c>
      <c r="M183" s="645">
        <v>296553</v>
      </c>
      <c r="N183" s="645"/>
      <c r="O183" s="645">
        <f>SUM(L183:N183)</f>
        <v>311423</v>
      </c>
    </row>
    <row r="184" spans="1:15" s="672" customFormat="1" x14ac:dyDescent="0.25">
      <c r="A184" s="643"/>
      <c r="B184" s="644" t="s">
        <v>382</v>
      </c>
      <c r="C184" s="644"/>
      <c r="D184" s="644"/>
      <c r="E184" s="644"/>
      <c r="F184" s="644"/>
      <c r="G184" s="644"/>
      <c r="H184" s="644"/>
      <c r="I184" s="644"/>
      <c r="J184" s="645">
        <f>SUM(C184+E184+F184+H184)</f>
        <v>0</v>
      </c>
      <c r="K184" s="645">
        <f>SUM(D184+G184+I184)</f>
        <v>0</v>
      </c>
      <c r="L184" s="645">
        <f>SUM(J184:K184)</f>
        <v>0</v>
      </c>
      <c r="M184" s="645"/>
      <c r="N184" s="645"/>
      <c r="O184" s="645">
        <f>SUM(L184:N184)</f>
        <v>0</v>
      </c>
    </row>
    <row r="185" spans="1:15" s="672" customFormat="1" x14ac:dyDescent="0.25">
      <c r="A185" s="643"/>
      <c r="B185" s="644" t="s">
        <v>132</v>
      </c>
      <c r="C185" s="646"/>
      <c r="D185" s="646"/>
      <c r="E185" s="646"/>
      <c r="F185" s="646"/>
      <c r="G185" s="646"/>
      <c r="H185" s="646"/>
      <c r="I185" s="646"/>
      <c r="J185" s="646"/>
      <c r="K185" s="646"/>
      <c r="L185" s="646"/>
      <c r="M185" s="646"/>
      <c r="N185" s="646"/>
      <c r="O185" s="646"/>
    </row>
    <row r="186" spans="1:15" s="672" customFormat="1" ht="33" customHeight="1" x14ac:dyDescent="0.25">
      <c r="A186" s="643"/>
      <c r="B186" s="646" t="s">
        <v>1196</v>
      </c>
      <c r="C186" s="646">
        <v>12763</v>
      </c>
      <c r="D186" s="646"/>
      <c r="E186" s="646"/>
      <c r="F186" s="646"/>
      <c r="G186" s="646"/>
      <c r="H186" s="646"/>
      <c r="I186" s="646"/>
      <c r="J186" s="646">
        <f t="shared" ref="J186:J194" si="73">SUM(C186+E186+F186+H186)</f>
        <v>12763</v>
      </c>
      <c r="K186" s="646">
        <f t="shared" ref="K186:K194" si="74">SUM(D186+G186+I186)</f>
        <v>0</v>
      </c>
      <c r="L186" s="646">
        <f t="shared" ref="L186:L194" si="75">SUM(J186:K186)</f>
        <v>12763</v>
      </c>
      <c r="M186" s="646"/>
      <c r="N186" s="646">
        <v>5590</v>
      </c>
      <c r="O186" s="646">
        <f t="shared" ref="O186:O194" si="76">SUM(L186:N186)</f>
        <v>18353</v>
      </c>
    </row>
    <row r="187" spans="1:15" s="672" customFormat="1" ht="31.5" x14ac:dyDescent="0.25">
      <c r="A187" s="643"/>
      <c r="B187" s="646" t="s">
        <v>1197</v>
      </c>
      <c r="C187" s="646"/>
      <c r="D187" s="646"/>
      <c r="E187" s="646"/>
      <c r="F187" s="646"/>
      <c r="G187" s="646"/>
      <c r="H187" s="646"/>
      <c r="I187" s="646"/>
      <c r="J187" s="646">
        <f t="shared" si="73"/>
        <v>0</v>
      </c>
      <c r="K187" s="646">
        <f t="shared" si="74"/>
        <v>0</v>
      </c>
      <c r="L187" s="646">
        <f t="shared" si="75"/>
        <v>0</v>
      </c>
      <c r="M187" s="646">
        <v>86</v>
      </c>
      <c r="N187" s="646"/>
      <c r="O187" s="646">
        <f t="shared" si="76"/>
        <v>86</v>
      </c>
    </row>
    <row r="188" spans="1:15" s="672" customFormat="1" ht="31.5" x14ac:dyDescent="0.25">
      <c r="A188" s="643"/>
      <c r="B188" s="673" t="s">
        <v>1198</v>
      </c>
      <c r="C188" s="646"/>
      <c r="D188" s="646"/>
      <c r="E188" s="646"/>
      <c r="F188" s="646"/>
      <c r="G188" s="646"/>
      <c r="H188" s="646"/>
      <c r="I188" s="646"/>
      <c r="J188" s="646">
        <f t="shared" si="73"/>
        <v>0</v>
      </c>
      <c r="K188" s="646">
        <f t="shared" si="74"/>
        <v>0</v>
      </c>
      <c r="L188" s="646">
        <f t="shared" si="75"/>
        <v>0</v>
      </c>
      <c r="M188" s="646">
        <v>-1816</v>
      </c>
      <c r="N188" s="646"/>
      <c r="O188" s="646">
        <f t="shared" si="76"/>
        <v>-1816</v>
      </c>
    </row>
    <row r="189" spans="1:15" s="672" customFormat="1" x14ac:dyDescent="0.25">
      <c r="A189" s="643"/>
      <c r="B189" s="646" t="s">
        <v>1199</v>
      </c>
      <c r="C189" s="646"/>
      <c r="D189" s="646"/>
      <c r="E189" s="646"/>
      <c r="F189" s="646"/>
      <c r="G189" s="646"/>
      <c r="H189" s="646"/>
      <c r="I189" s="646"/>
      <c r="J189" s="646">
        <f t="shared" si="73"/>
        <v>0</v>
      </c>
      <c r="K189" s="646">
        <f t="shared" si="74"/>
        <v>0</v>
      </c>
      <c r="L189" s="646">
        <f t="shared" si="75"/>
        <v>0</v>
      </c>
      <c r="M189" s="646">
        <v>-718</v>
      </c>
      <c r="N189" s="646"/>
      <c r="O189" s="646">
        <f t="shared" si="76"/>
        <v>-718</v>
      </c>
    </row>
    <row r="190" spans="1:15" s="672" customFormat="1" ht="31.5" x14ac:dyDescent="0.25">
      <c r="A190" s="643"/>
      <c r="B190" s="646" t="s">
        <v>1207</v>
      </c>
      <c r="C190" s="646"/>
      <c r="D190" s="646"/>
      <c r="E190" s="646"/>
      <c r="F190" s="646"/>
      <c r="G190" s="646"/>
      <c r="H190" s="646"/>
      <c r="I190" s="646"/>
      <c r="J190" s="646">
        <f t="shared" si="73"/>
        <v>0</v>
      </c>
      <c r="K190" s="646">
        <f t="shared" si="74"/>
        <v>0</v>
      </c>
      <c r="L190" s="646">
        <f t="shared" si="75"/>
        <v>0</v>
      </c>
      <c r="M190" s="646">
        <v>70</v>
      </c>
      <c r="N190" s="646"/>
      <c r="O190" s="646">
        <f t="shared" si="76"/>
        <v>70</v>
      </c>
    </row>
    <row r="191" spans="1:15" s="672" customFormat="1" ht="47.25" x14ac:dyDescent="0.25">
      <c r="A191" s="643"/>
      <c r="B191" s="646" t="s">
        <v>1200</v>
      </c>
      <c r="C191" s="646"/>
      <c r="D191" s="646"/>
      <c r="E191" s="646"/>
      <c r="F191" s="646"/>
      <c r="G191" s="646"/>
      <c r="H191" s="646"/>
      <c r="I191" s="646"/>
      <c r="J191" s="646">
        <f t="shared" si="73"/>
        <v>0</v>
      </c>
      <c r="K191" s="646">
        <f t="shared" si="74"/>
        <v>0</v>
      </c>
      <c r="L191" s="646">
        <f t="shared" si="75"/>
        <v>0</v>
      </c>
      <c r="M191" s="646">
        <v>794</v>
      </c>
      <c r="N191" s="646"/>
      <c r="O191" s="646">
        <f t="shared" si="76"/>
        <v>794</v>
      </c>
    </row>
    <row r="192" spans="1:15" s="672" customFormat="1" x14ac:dyDescent="0.25">
      <c r="A192" s="643"/>
      <c r="B192" s="646" t="s">
        <v>1201</v>
      </c>
      <c r="C192" s="646"/>
      <c r="D192" s="646"/>
      <c r="E192" s="646"/>
      <c r="F192" s="646"/>
      <c r="G192" s="646"/>
      <c r="H192" s="646"/>
      <c r="I192" s="646"/>
      <c r="J192" s="646">
        <f t="shared" si="73"/>
        <v>0</v>
      </c>
      <c r="K192" s="646">
        <f t="shared" si="74"/>
        <v>0</v>
      </c>
      <c r="L192" s="646">
        <f t="shared" si="75"/>
        <v>0</v>
      </c>
      <c r="M192" s="646">
        <v>-5598</v>
      </c>
      <c r="N192" s="646"/>
      <c r="O192" s="646">
        <f t="shared" si="76"/>
        <v>-5598</v>
      </c>
    </row>
    <row r="193" spans="1:15" s="672" customFormat="1" x14ac:dyDescent="0.25">
      <c r="A193" s="643"/>
      <c r="B193" s="644" t="s">
        <v>133</v>
      </c>
      <c r="C193" s="646"/>
      <c r="D193" s="646"/>
      <c r="E193" s="646"/>
      <c r="F193" s="646"/>
      <c r="G193" s="646"/>
      <c r="H193" s="646"/>
      <c r="I193" s="646"/>
      <c r="J193" s="646"/>
      <c r="K193" s="646"/>
      <c r="L193" s="646"/>
      <c r="M193" s="646"/>
      <c r="N193" s="646"/>
      <c r="O193" s="646"/>
    </row>
    <row r="194" spans="1:15" s="672" customFormat="1" ht="16.5" thickBot="1" x14ac:dyDescent="0.3">
      <c r="A194" s="643"/>
      <c r="B194" s="646" t="s">
        <v>1204</v>
      </c>
      <c r="C194" s="646"/>
      <c r="D194" s="646"/>
      <c r="E194" s="646"/>
      <c r="F194" s="646"/>
      <c r="G194" s="646"/>
      <c r="H194" s="646"/>
      <c r="I194" s="646"/>
      <c r="J194" s="646">
        <f t="shared" si="73"/>
        <v>0</v>
      </c>
      <c r="K194" s="646">
        <f t="shared" si="74"/>
        <v>0</v>
      </c>
      <c r="L194" s="646">
        <f t="shared" si="75"/>
        <v>0</v>
      </c>
      <c r="M194" s="646">
        <v>2425</v>
      </c>
      <c r="N194" s="646"/>
      <c r="O194" s="646">
        <f t="shared" si="76"/>
        <v>2425</v>
      </c>
    </row>
    <row r="195" spans="1:15" ht="17.25" thickTop="1" thickBot="1" x14ac:dyDescent="0.3">
      <c r="A195" s="638"/>
      <c r="B195" s="647" t="s">
        <v>381</v>
      </c>
      <c r="C195" s="647">
        <f>+C182+C186+C194+C187+C188+C189+C190+C191+C192</f>
        <v>12763</v>
      </c>
      <c r="D195" s="647">
        <f t="shared" ref="D195:O195" si="77">+D182+D186+D194+D187+D188+D189+D190+D191+D192</f>
        <v>0</v>
      </c>
      <c r="E195" s="647">
        <f t="shared" si="77"/>
        <v>0</v>
      </c>
      <c r="F195" s="647">
        <f t="shared" si="77"/>
        <v>14870</v>
      </c>
      <c r="G195" s="647">
        <f t="shared" si="77"/>
        <v>0</v>
      </c>
      <c r="H195" s="647">
        <f t="shared" si="77"/>
        <v>0</v>
      </c>
      <c r="I195" s="647">
        <f t="shared" si="77"/>
        <v>0</v>
      </c>
      <c r="J195" s="647">
        <f t="shared" si="77"/>
        <v>27633</v>
      </c>
      <c r="K195" s="647">
        <f t="shared" si="77"/>
        <v>0</v>
      </c>
      <c r="L195" s="647">
        <f t="shared" si="77"/>
        <v>27633</v>
      </c>
      <c r="M195" s="647">
        <f t="shared" si="77"/>
        <v>291796</v>
      </c>
      <c r="N195" s="647">
        <f t="shared" si="77"/>
        <v>5590</v>
      </c>
      <c r="O195" s="647">
        <f t="shared" si="77"/>
        <v>325019</v>
      </c>
    </row>
    <row r="196" spans="1:15" ht="17.25" thickTop="1" thickBot="1" x14ac:dyDescent="0.3">
      <c r="A196" s="638"/>
      <c r="B196" s="647" t="s">
        <v>380</v>
      </c>
      <c r="C196" s="647">
        <f t="shared" ref="C196:O196" si="78">+C183+C186+C187+C188+C189+C190+C191+C192</f>
        <v>12763</v>
      </c>
      <c r="D196" s="647">
        <f t="shared" si="78"/>
        <v>0</v>
      </c>
      <c r="E196" s="647">
        <f t="shared" si="78"/>
        <v>0</v>
      </c>
      <c r="F196" s="647">
        <f t="shared" si="78"/>
        <v>14870</v>
      </c>
      <c r="G196" s="647">
        <f t="shared" si="78"/>
        <v>0</v>
      </c>
      <c r="H196" s="647">
        <f t="shared" si="78"/>
        <v>0</v>
      </c>
      <c r="I196" s="647">
        <f t="shared" si="78"/>
        <v>0</v>
      </c>
      <c r="J196" s="647">
        <f t="shared" si="78"/>
        <v>27633</v>
      </c>
      <c r="K196" s="647">
        <f t="shared" si="78"/>
        <v>0</v>
      </c>
      <c r="L196" s="647">
        <f t="shared" si="78"/>
        <v>27633</v>
      </c>
      <c r="M196" s="647">
        <f t="shared" si="78"/>
        <v>289371</v>
      </c>
      <c r="N196" s="647">
        <f t="shared" si="78"/>
        <v>5590</v>
      </c>
      <c r="O196" s="647">
        <f t="shared" si="78"/>
        <v>322594</v>
      </c>
    </row>
    <row r="197" spans="1:15" ht="17.25" thickTop="1" thickBot="1" x14ac:dyDescent="0.3">
      <c r="A197" s="638"/>
      <c r="B197" s="647" t="s">
        <v>379</v>
      </c>
      <c r="C197" s="647">
        <f>+C184+C194</f>
        <v>0</v>
      </c>
      <c r="D197" s="647">
        <f t="shared" ref="D197:O197" si="79">+D184+D194</f>
        <v>0</v>
      </c>
      <c r="E197" s="647">
        <f t="shared" si="79"/>
        <v>0</v>
      </c>
      <c r="F197" s="647">
        <f t="shared" si="79"/>
        <v>0</v>
      </c>
      <c r="G197" s="647">
        <f t="shared" si="79"/>
        <v>0</v>
      </c>
      <c r="H197" s="647">
        <f t="shared" si="79"/>
        <v>0</v>
      </c>
      <c r="I197" s="647">
        <f t="shared" si="79"/>
        <v>0</v>
      </c>
      <c r="J197" s="647">
        <f t="shared" si="79"/>
        <v>0</v>
      </c>
      <c r="K197" s="647">
        <f t="shared" si="79"/>
        <v>0</v>
      </c>
      <c r="L197" s="647">
        <f t="shared" si="79"/>
        <v>0</v>
      </c>
      <c r="M197" s="647">
        <f t="shared" si="79"/>
        <v>2425</v>
      </c>
      <c r="N197" s="647">
        <f t="shared" si="79"/>
        <v>0</v>
      </c>
      <c r="O197" s="647">
        <f t="shared" si="79"/>
        <v>2425</v>
      </c>
    </row>
    <row r="198" spans="1:15" ht="16.5" thickTop="1" x14ac:dyDescent="0.25">
      <c r="A198" s="648" t="s">
        <v>2</v>
      </c>
      <c r="B198" s="670" t="s">
        <v>404</v>
      </c>
      <c r="C198" s="670"/>
      <c r="D198" s="670"/>
      <c r="E198" s="670"/>
      <c r="F198" s="670"/>
      <c r="G198" s="670"/>
      <c r="H198" s="670"/>
      <c r="I198" s="670"/>
      <c r="J198" s="670"/>
      <c r="K198" s="670"/>
      <c r="L198" s="670"/>
      <c r="M198" s="670"/>
      <c r="N198" s="670"/>
      <c r="O198" s="670"/>
    </row>
    <row r="199" spans="1:15" x14ac:dyDescent="0.25">
      <c r="A199" s="648"/>
      <c r="B199" s="670" t="s">
        <v>349</v>
      </c>
      <c r="C199" s="670"/>
      <c r="D199" s="670"/>
      <c r="E199" s="670"/>
      <c r="F199" s="670">
        <f>SUM(F200:F201)</f>
        <v>7750</v>
      </c>
      <c r="G199" s="670"/>
      <c r="H199" s="670"/>
      <c r="I199" s="670"/>
      <c r="J199" s="671">
        <f>SUM(C199+E199+F199+H199)</f>
        <v>7750</v>
      </c>
      <c r="K199" s="671">
        <f>SUM(D199+G199+I199)</f>
        <v>0</v>
      </c>
      <c r="L199" s="671">
        <f>SUM(J199:K199)</f>
        <v>7750</v>
      </c>
      <c r="M199" s="671">
        <f>SUM(M200:M201)</f>
        <v>188183</v>
      </c>
      <c r="N199" s="671"/>
      <c r="O199" s="671">
        <f>SUM(L199:N199)</f>
        <v>195933</v>
      </c>
    </row>
    <row r="200" spans="1:15" s="672" customFormat="1" x14ac:dyDescent="0.25">
      <c r="A200" s="649"/>
      <c r="B200" s="644" t="s">
        <v>383</v>
      </c>
      <c r="C200" s="644"/>
      <c r="D200" s="644"/>
      <c r="E200" s="644"/>
      <c r="F200" s="644">
        <v>7750</v>
      </c>
      <c r="G200" s="644"/>
      <c r="H200" s="644"/>
      <c r="I200" s="644"/>
      <c r="J200" s="645">
        <f>SUM(C200+E200+F200+H200)</f>
        <v>7750</v>
      </c>
      <c r="K200" s="645">
        <f>SUM(D200+G200+I200)</f>
        <v>0</v>
      </c>
      <c r="L200" s="645">
        <f>SUM(J200:K200)</f>
        <v>7750</v>
      </c>
      <c r="M200" s="645">
        <v>188183</v>
      </c>
      <c r="N200" s="645"/>
      <c r="O200" s="645">
        <f>SUM(L200:N200)</f>
        <v>195933</v>
      </c>
    </row>
    <row r="201" spans="1:15" s="672" customFormat="1" x14ac:dyDescent="0.25">
      <c r="A201" s="649"/>
      <c r="B201" s="644" t="s">
        <v>382</v>
      </c>
      <c r="C201" s="644"/>
      <c r="D201" s="644"/>
      <c r="E201" s="644"/>
      <c r="F201" s="644"/>
      <c r="G201" s="644"/>
      <c r="H201" s="644"/>
      <c r="I201" s="644"/>
      <c r="J201" s="645">
        <f>SUM(C201+E201+F201+H201)</f>
        <v>0</v>
      </c>
      <c r="K201" s="645">
        <f>SUM(D201+G201+I201)</f>
        <v>0</v>
      </c>
      <c r="L201" s="645">
        <f>SUM(J201:K201)</f>
        <v>0</v>
      </c>
      <c r="M201" s="645"/>
      <c r="N201" s="645"/>
      <c r="O201" s="645">
        <f>SUM(L201:N201)</f>
        <v>0</v>
      </c>
    </row>
    <row r="202" spans="1:15" x14ac:dyDescent="0.25">
      <c r="A202" s="648"/>
      <c r="B202" s="650" t="s">
        <v>132</v>
      </c>
      <c r="C202" s="650"/>
      <c r="D202" s="650"/>
      <c r="E202" s="650"/>
      <c r="F202" s="650"/>
      <c r="G202" s="650"/>
      <c r="H202" s="650"/>
      <c r="I202" s="650"/>
      <c r="J202" s="670"/>
      <c r="K202" s="670"/>
      <c r="L202" s="670"/>
      <c r="M202" s="670"/>
      <c r="N202" s="670"/>
      <c r="O202" s="670"/>
    </row>
    <row r="203" spans="1:15" ht="33.75" customHeight="1" x14ac:dyDescent="0.25">
      <c r="A203" s="648"/>
      <c r="B203" s="646" t="s">
        <v>1196</v>
      </c>
      <c r="C203" s="652">
        <v>13707</v>
      </c>
      <c r="D203" s="650"/>
      <c r="E203" s="650"/>
      <c r="F203" s="650"/>
      <c r="G203" s="650"/>
      <c r="H203" s="650"/>
      <c r="I203" s="650"/>
      <c r="J203" s="670">
        <f>SUM(C203+E203+F203+H203)</f>
        <v>13707</v>
      </c>
      <c r="K203" s="670">
        <f>SUM(D203+G203+I203)</f>
        <v>0</v>
      </c>
      <c r="L203" s="670">
        <f>SUM(J203:K203)</f>
        <v>13707</v>
      </c>
      <c r="M203" s="670"/>
      <c r="N203" s="670">
        <v>4047</v>
      </c>
      <c r="O203" s="670">
        <f>SUM(L203:N203)</f>
        <v>17754</v>
      </c>
    </row>
    <row r="204" spans="1:15" ht="31.5" x14ac:dyDescent="0.25">
      <c r="A204" s="648"/>
      <c r="B204" s="646" t="s">
        <v>1197</v>
      </c>
      <c r="C204" s="650"/>
      <c r="D204" s="650"/>
      <c r="E204" s="650"/>
      <c r="F204" s="650"/>
      <c r="G204" s="650"/>
      <c r="H204" s="650"/>
      <c r="I204" s="650"/>
      <c r="J204" s="670">
        <f t="shared" ref="J204:J211" si="80">SUM(C204+E204+F204+H204)</f>
        <v>0</v>
      </c>
      <c r="K204" s="670">
        <f t="shared" ref="K204:K211" si="81">SUM(D204+G204+I204)</f>
        <v>0</v>
      </c>
      <c r="L204" s="670">
        <f t="shared" ref="L204:L211" si="82">SUM(J204:K204)</f>
        <v>0</v>
      </c>
      <c r="M204" s="670">
        <v>164</v>
      </c>
      <c r="N204" s="670"/>
      <c r="O204" s="670">
        <f t="shared" ref="O204:O211" si="83">SUM(L204:N204)</f>
        <v>164</v>
      </c>
    </row>
    <row r="205" spans="1:15" ht="31.5" x14ac:dyDescent="0.25">
      <c r="A205" s="648"/>
      <c r="B205" s="673" t="s">
        <v>1198</v>
      </c>
      <c r="C205" s="650"/>
      <c r="D205" s="650"/>
      <c r="E205" s="650"/>
      <c r="F205" s="650"/>
      <c r="G205" s="650"/>
      <c r="H205" s="650"/>
      <c r="I205" s="650"/>
      <c r="J205" s="670">
        <f t="shared" si="80"/>
        <v>0</v>
      </c>
      <c r="K205" s="670">
        <f t="shared" si="81"/>
        <v>0</v>
      </c>
      <c r="L205" s="670">
        <f t="shared" si="82"/>
        <v>0</v>
      </c>
      <c r="M205" s="670">
        <v>-1165</v>
      </c>
      <c r="N205" s="670"/>
      <c r="O205" s="670">
        <f t="shared" si="83"/>
        <v>-1165</v>
      </c>
    </row>
    <row r="206" spans="1:15" x14ac:dyDescent="0.25">
      <c r="A206" s="648"/>
      <c r="B206" s="646" t="s">
        <v>1199</v>
      </c>
      <c r="C206" s="650"/>
      <c r="D206" s="650"/>
      <c r="E206" s="650"/>
      <c r="F206" s="650"/>
      <c r="G206" s="650"/>
      <c r="H206" s="650"/>
      <c r="I206" s="650"/>
      <c r="J206" s="670">
        <f t="shared" si="80"/>
        <v>0</v>
      </c>
      <c r="K206" s="670">
        <f t="shared" si="81"/>
        <v>0</v>
      </c>
      <c r="L206" s="670">
        <f t="shared" si="82"/>
        <v>0</v>
      </c>
      <c r="M206" s="670">
        <v>-434</v>
      </c>
      <c r="N206" s="670"/>
      <c r="O206" s="670">
        <f t="shared" si="83"/>
        <v>-434</v>
      </c>
    </row>
    <row r="207" spans="1:15" ht="31.5" x14ac:dyDescent="0.25">
      <c r="A207" s="648"/>
      <c r="B207" s="646" t="s">
        <v>1207</v>
      </c>
      <c r="C207" s="650"/>
      <c r="D207" s="650"/>
      <c r="E207" s="650"/>
      <c r="F207" s="650"/>
      <c r="G207" s="650"/>
      <c r="H207" s="650"/>
      <c r="I207" s="650"/>
      <c r="J207" s="670">
        <f t="shared" si="80"/>
        <v>0</v>
      </c>
      <c r="K207" s="670">
        <f t="shared" si="81"/>
        <v>0</v>
      </c>
      <c r="L207" s="670">
        <f t="shared" si="82"/>
        <v>0</v>
      </c>
      <c r="M207" s="670">
        <v>81</v>
      </c>
      <c r="N207" s="670"/>
      <c r="O207" s="670">
        <f t="shared" si="83"/>
        <v>81</v>
      </c>
    </row>
    <row r="208" spans="1:15" ht="47.25" x14ac:dyDescent="0.25">
      <c r="A208" s="648"/>
      <c r="B208" s="646" t="s">
        <v>1200</v>
      </c>
      <c r="C208" s="650"/>
      <c r="D208" s="650"/>
      <c r="E208" s="650"/>
      <c r="F208" s="650"/>
      <c r="G208" s="650"/>
      <c r="H208" s="650"/>
      <c r="I208" s="650"/>
      <c r="J208" s="670">
        <f t="shared" si="80"/>
        <v>0</v>
      </c>
      <c r="K208" s="670">
        <f t="shared" si="81"/>
        <v>0</v>
      </c>
      <c r="L208" s="670">
        <f t="shared" si="82"/>
        <v>0</v>
      </c>
      <c r="M208" s="670">
        <v>1360</v>
      </c>
      <c r="N208" s="670"/>
      <c r="O208" s="670">
        <f t="shared" si="83"/>
        <v>1360</v>
      </c>
    </row>
    <row r="209" spans="1:15" x14ac:dyDescent="0.25">
      <c r="A209" s="648"/>
      <c r="B209" s="646" t="s">
        <v>1201</v>
      </c>
      <c r="C209" s="650"/>
      <c r="D209" s="650"/>
      <c r="E209" s="650"/>
      <c r="F209" s="650"/>
      <c r="G209" s="650"/>
      <c r="H209" s="650"/>
      <c r="I209" s="650"/>
      <c r="J209" s="670">
        <f t="shared" si="80"/>
        <v>0</v>
      </c>
      <c r="K209" s="670">
        <f t="shared" si="81"/>
        <v>0</v>
      </c>
      <c r="L209" s="670">
        <f t="shared" si="82"/>
        <v>0</v>
      </c>
      <c r="M209" s="670">
        <v>-3540</v>
      </c>
      <c r="N209" s="670"/>
      <c r="O209" s="670">
        <f t="shared" si="83"/>
        <v>-3540</v>
      </c>
    </row>
    <row r="210" spans="1:15" x14ac:dyDescent="0.25">
      <c r="A210" s="648"/>
      <c r="B210" s="650" t="s">
        <v>133</v>
      </c>
      <c r="C210" s="650"/>
      <c r="D210" s="650"/>
      <c r="E210" s="650"/>
      <c r="F210" s="650"/>
      <c r="G210" s="650"/>
      <c r="H210" s="650"/>
      <c r="I210" s="650"/>
      <c r="J210" s="670"/>
      <c r="K210" s="670"/>
      <c r="L210" s="670"/>
      <c r="M210" s="670"/>
      <c r="N210" s="670"/>
      <c r="O210" s="670"/>
    </row>
    <row r="211" spans="1:15" ht="16.5" thickBot="1" x14ac:dyDescent="0.3">
      <c r="A211" s="648"/>
      <c r="B211" s="646" t="s">
        <v>1204</v>
      </c>
      <c r="C211" s="650"/>
      <c r="D211" s="650"/>
      <c r="E211" s="650"/>
      <c r="F211" s="650"/>
      <c r="G211" s="650"/>
      <c r="H211" s="650"/>
      <c r="I211" s="650"/>
      <c r="J211" s="670">
        <f t="shared" si="80"/>
        <v>0</v>
      </c>
      <c r="K211" s="670">
        <f t="shared" si="81"/>
        <v>0</v>
      </c>
      <c r="L211" s="670">
        <f t="shared" si="82"/>
        <v>0</v>
      </c>
      <c r="M211" s="670">
        <v>1581</v>
      </c>
      <c r="N211" s="670"/>
      <c r="O211" s="670">
        <f t="shared" si="83"/>
        <v>1581</v>
      </c>
    </row>
    <row r="212" spans="1:15" ht="17.25" thickTop="1" thickBot="1" x14ac:dyDescent="0.3">
      <c r="A212" s="638"/>
      <c r="B212" s="647" t="s">
        <v>381</v>
      </c>
      <c r="C212" s="647">
        <f>+C199+C203+C204+C211+C205+C206+C207+C208+C209</f>
        <v>13707</v>
      </c>
      <c r="D212" s="647">
        <f t="shared" ref="D212:O212" si="84">+D199+D203+D204+D211+D205+D206+D207+D208+D209</f>
        <v>0</v>
      </c>
      <c r="E212" s="647">
        <f t="shared" si="84"/>
        <v>0</v>
      </c>
      <c r="F212" s="647">
        <f t="shared" si="84"/>
        <v>7750</v>
      </c>
      <c r="G212" s="647">
        <f t="shared" si="84"/>
        <v>0</v>
      </c>
      <c r="H212" s="647">
        <f t="shared" si="84"/>
        <v>0</v>
      </c>
      <c r="I212" s="647">
        <f t="shared" si="84"/>
        <v>0</v>
      </c>
      <c r="J212" s="647">
        <f t="shared" si="84"/>
        <v>21457</v>
      </c>
      <c r="K212" s="647">
        <f t="shared" si="84"/>
        <v>0</v>
      </c>
      <c r="L212" s="647">
        <f t="shared" si="84"/>
        <v>21457</v>
      </c>
      <c r="M212" s="647">
        <f t="shared" si="84"/>
        <v>186230</v>
      </c>
      <c r="N212" s="647">
        <f t="shared" si="84"/>
        <v>4047</v>
      </c>
      <c r="O212" s="647">
        <f t="shared" si="84"/>
        <v>211734</v>
      </c>
    </row>
    <row r="213" spans="1:15" ht="17.25" thickTop="1" thickBot="1" x14ac:dyDescent="0.3">
      <c r="A213" s="638"/>
      <c r="B213" s="647" t="s">
        <v>380</v>
      </c>
      <c r="C213" s="647">
        <f t="shared" ref="C213:O213" si="85">+C200+C203+C204+C205+C206+C207+C208+C209</f>
        <v>13707</v>
      </c>
      <c r="D213" s="647">
        <f t="shared" si="85"/>
        <v>0</v>
      </c>
      <c r="E213" s="647">
        <f t="shared" si="85"/>
        <v>0</v>
      </c>
      <c r="F213" s="647">
        <f t="shared" si="85"/>
        <v>7750</v>
      </c>
      <c r="G213" s="647">
        <f t="shared" si="85"/>
        <v>0</v>
      </c>
      <c r="H213" s="647">
        <f t="shared" si="85"/>
        <v>0</v>
      </c>
      <c r="I213" s="647">
        <f t="shared" si="85"/>
        <v>0</v>
      </c>
      <c r="J213" s="647">
        <f t="shared" si="85"/>
        <v>21457</v>
      </c>
      <c r="K213" s="647">
        <f t="shared" si="85"/>
        <v>0</v>
      </c>
      <c r="L213" s="647">
        <f t="shared" si="85"/>
        <v>21457</v>
      </c>
      <c r="M213" s="647">
        <f t="shared" si="85"/>
        <v>184649</v>
      </c>
      <c r="N213" s="647">
        <f t="shared" si="85"/>
        <v>4047</v>
      </c>
      <c r="O213" s="647">
        <f t="shared" si="85"/>
        <v>210153</v>
      </c>
    </row>
    <row r="214" spans="1:15" ht="17.25" thickTop="1" thickBot="1" x14ac:dyDescent="0.3">
      <c r="A214" s="638"/>
      <c r="B214" s="647" t="s">
        <v>379</v>
      </c>
      <c r="C214" s="647">
        <f>+C201+C211</f>
        <v>0</v>
      </c>
      <c r="D214" s="647">
        <f t="shared" ref="D214:O214" si="86">+D201+D211</f>
        <v>0</v>
      </c>
      <c r="E214" s="647">
        <f t="shared" si="86"/>
        <v>0</v>
      </c>
      <c r="F214" s="647">
        <f t="shared" si="86"/>
        <v>0</v>
      </c>
      <c r="G214" s="647">
        <f t="shared" si="86"/>
        <v>0</v>
      </c>
      <c r="H214" s="647">
        <f t="shared" si="86"/>
        <v>0</v>
      </c>
      <c r="I214" s="647">
        <f t="shared" si="86"/>
        <v>0</v>
      </c>
      <c r="J214" s="647">
        <f t="shared" si="86"/>
        <v>0</v>
      </c>
      <c r="K214" s="647">
        <f t="shared" si="86"/>
        <v>0</v>
      </c>
      <c r="L214" s="647">
        <f t="shared" si="86"/>
        <v>0</v>
      </c>
      <c r="M214" s="647">
        <f t="shared" si="86"/>
        <v>1581</v>
      </c>
      <c r="N214" s="647">
        <f t="shared" si="86"/>
        <v>0</v>
      </c>
      <c r="O214" s="647">
        <f t="shared" si="86"/>
        <v>1581</v>
      </c>
    </row>
    <row r="215" spans="1:15" ht="16.5" thickTop="1" x14ac:dyDescent="0.25">
      <c r="A215" s="642" t="s">
        <v>3</v>
      </c>
      <c r="B215" s="670" t="s">
        <v>403</v>
      </c>
      <c r="C215" s="670"/>
      <c r="D215" s="670"/>
      <c r="E215" s="670"/>
      <c r="F215" s="670"/>
      <c r="G215" s="670"/>
      <c r="H215" s="670"/>
      <c r="I215" s="670"/>
      <c r="J215" s="670"/>
      <c r="K215" s="670"/>
      <c r="L215" s="670"/>
      <c r="M215" s="670"/>
      <c r="N215" s="670"/>
      <c r="O215" s="670"/>
    </row>
    <row r="216" spans="1:15" x14ac:dyDescent="0.25">
      <c r="A216" s="642"/>
      <c r="B216" s="671" t="s">
        <v>349</v>
      </c>
      <c r="C216" s="671"/>
      <c r="D216" s="671"/>
      <c r="E216" s="671"/>
      <c r="F216" s="671">
        <f>SUM(F217:F218)</f>
        <v>6061</v>
      </c>
      <c r="G216" s="671"/>
      <c r="H216" s="671"/>
      <c r="I216" s="671"/>
      <c r="J216" s="671">
        <f>SUM(C216+E216+F216+H216)</f>
        <v>6061</v>
      </c>
      <c r="K216" s="671">
        <f>SUM(D216+G216+I216)</f>
        <v>0</v>
      </c>
      <c r="L216" s="671">
        <f>SUM(J216:K216)</f>
        <v>6061</v>
      </c>
      <c r="M216" s="671">
        <f>SUM(M217:M218)</f>
        <v>227452</v>
      </c>
      <c r="N216" s="671"/>
      <c r="O216" s="671">
        <f>SUM(L216:N216)</f>
        <v>233513</v>
      </c>
    </row>
    <row r="217" spans="1:15" s="672" customFormat="1" x14ac:dyDescent="0.25">
      <c r="A217" s="643"/>
      <c r="B217" s="644" t="s">
        <v>383</v>
      </c>
      <c r="C217" s="644"/>
      <c r="D217" s="644"/>
      <c r="E217" s="644"/>
      <c r="F217" s="644">
        <v>6061</v>
      </c>
      <c r="G217" s="644"/>
      <c r="H217" s="644"/>
      <c r="I217" s="644"/>
      <c r="J217" s="645">
        <f>SUM(C217+E217+F217+H217)</f>
        <v>6061</v>
      </c>
      <c r="K217" s="645">
        <f>SUM(D217+G217+I217)</f>
        <v>0</v>
      </c>
      <c r="L217" s="645">
        <f>SUM(J217:K217)</f>
        <v>6061</v>
      </c>
      <c r="M217" s="645">
        <v>227452</v>
      </c>
      <c r="N217" s="645"/>
      <c r="O217" s="645">
        <f>SUM(L217:N217)</f>
        <v>233513</v>
      </c>
    </row>
    <row r="218" spans="1:15" s="672" customFormat="1" x14ac:dyDescent="0.25">
      <c r="A218" s="643"/>
      <c r="B218" s="644" t="s">
        <v>382</v>
      </c>
      <c r="C218" s="644"/>
      <c r="D218" s="644"/>
      <c r="E218" s="644"/>
      <c r="F218" s="644"/>
      <c r="G218" s="644"/>
      <c r="H218" s="644"/>
      <c r="I218" s="644"/>
      <c r="J218" s="645">
        <f>SUM(C218+E218+F218+H218)</f>
        <v>0</v>
      </c>
      <c r="K218" s="645">
        <f>SUM(D218+G218+I218)</f>
        <v>0</v>
      </c>
      <c r="L218" s="645">
        <f>SUM(J218:K218)</f>
        <v>0</v>
      </c>
      <c r="M218" s="645"/>
      <c r="N218" s="645"/>
      <c r="O218" s="645">
        <f>SUM(L218:N218)</f>
        <v>0</v>
      </c>
    </row>
    <row r="219" spans="1:15" s="672" customFormat="1" x14ac:dyDescent="0.25">
      <c r="A219" s="643"/>
      <c r="B219" s="644" t="s">
        <v>132</v>
      </c>
      <c r="C219" s="646"/>
      <c r="D219" s="646"/>
      <c r="E219" s="646"/>
      <c r="F219" s="646"/>
      <c r="G219" s="646"/>
      <c r="H219" s="646"/>
      <c r="I219" s="646"/>
      <c r="J219" s="646"/>
      <c r="K219" s="646"/>
      <c r="L219" s="646"/>
      <c r="M219" s="646"/>
      <c r="N219" s="646"/>
      <c r="O219" s="646"/>
    </row>
    <row r="220" spans="1:15" s="672" customFormat="1" ht="31.5" customHeight="1" x14ac:dyDescent="0.25">
      <c r="A220" s="643"/>
      <c r="B220" s="646" t="s">
        <v>1196</v>
      </c>
      <c r="C220" s="646">
        <v>11793</v>
      </c>
      <c r="D220" s="646"/>
      <c r="E220" s="646"/>
      <c r="F220" s="646"/>
      <c r="G220" s="646"/>
      <c r="H220" s="646"/>
      <c r="I220" s="646"/>
      <c r="J220" s="646">
        <f t="shared" ref="J220:J228" si="87">SUM(C220+E220+F220+H220)</f>
        <v>11793</v>
      </c>
      <c r="K220" s="646">
        <f t="shared" ref="K220:K228" si="88">SUM(D220+G220+I220)</f>
        <v>0</v>
      </c>
      <c r="L220" s="646">
        <f t="shared" ref="L220:L228" si="89">SUM(J220:K220)</f>
        <v>11793</v>
      </c>
      <c r="M220" s="646"/>
      <c r="N220" s="646">
        <v>3138</v>
      </c>
      <c r="O220" s="646">
        <f t="shared" ref="O220:O228" si="90">SUM(L220:N220)</f>
        <v>14931</v>
      </c>
    </row>
    <row r="221" spans="1:15" s="672" customFormat="1" ht="31.5" x14ac:dyDescent="0.25">
      <c r="A221" s="643"/>
      <c r="B221" s="646" t="s">
        <v>1197</v>
      </c>
      <c r="C221" s="646"/>
      <c r="D221" s="646"/>
      <c r="E221" s="646"/>
      <c r="F221" s="646"/>
      <c r="G221" s="646"/>
      <c r="H221" s="646"/>
      <c r="I221" s="646"/>
      <c r="J221" s="646">
        <f t="shared" si="87"/>
        <v>0</v>
      </c>
      <c r="K221" s="646">
        <f t="shared" si="88"/>
        <v>0</v>
      </c>
      <c r="L221" s="646">
        <f t="shared" si="89"/>
        <v>0</v>
      </c>
      <c r="M221" s="646">
        <v>6</v>
      </c>
      <c r="N221" s="646"/>
      <c r="O221" s="646">
        <f t="shared" si="90"/>
        <v>6</v>
      </c>
    </row>
    <row r="222" spans="1:15" s="672" customFormat="1" ht="31.5" x14ac:dyDescent="0.25">
      <c r="A222" s="643"/>
      <c r="B222" s="673" t="s">
        <v>1198</v>
      </c>
      <c r="C222" s="646"/>
      <c r="D222" s="646"/>
      <c r="E222" s="646"/>
      <c r="F222" s="646"/>
      <c r="G222" s="646"/>
      <c r="H222" s="646"/>
      <c r="I222" s="646"/>
      <c r="J222" s="646">
        <f>SUM(C222+E222+F222+H222)</f>
        <v>0</v>
      </c>
      <c r="K222" s="646">
        <f t="shared" si="88"/>
        <v>0</v>
      </c>
      <c r="L222" s="646">
        <f>SUM(J222:K222)</f>
        <v>0</v>
      </c>
      <c r="M222" s="646">
        <v>-1425</v>
      </c>
      <c r="N222" s="646"/>
      <c r="O222" s="646">
        <f t="shared" si="90"/>
        <v>-1425</v>
      </c>
    </row>
    <row r="223" spans="1:15" s="672" customFormat="1" x14ac:dyDescent="0.25">
      <c r="A223" s="643"/>
      <c r="B223" s="646" t="s">
        <v>1199</v>
      </c>
      <c r="C223" s="646"/>
      <c r="D223" s="646"/>
      <c r="E223" s="646"/>
      <c r="F223" s="646"/>
      <c r="G223" s="646"/>
      <c r="H223" s="646"/>
      <c r="I223" s="646"/>
      <c r="J223" s="646">
        <f>SUM(C223+E223+F223+H223)</f>
        <v>0</v>
      </c>
      <c r="K223" s="646">
        <f t="shared" si="88"/>
        <v>0</v>
      </c>
      <c r="L223" s="646">
        <f>SUM(J223:K223)</f>
        <v>0</v>
      </c>
      <c r="M223" s="646">
        <v>-567</v>
      </c>
      <c r="N223" s="646"/>
      <c r="O223" s="646">
        <f t="shared" si="90"/>
        <v>-567</v>
      </c>
    </row>
    <row r="224" spans="1:15" s="672" customFormat="1" ht="31.5" x14ac:dyDescent="0.25">
      <c r="A224" s="643"/>
      <c r="B224" s="646" t="s">
        <v>1207</v>
      </c>
      <c r="C224" s="646"/>
      <c r="D224" s="646"/>
      <c r="E224" s="646"/>
      <c r="F224" s="646"/>
      <c r="G224" s="646"/>
      <c r="H224" s="646"/>
      <c r="I224" s="646"/>
      <c r="J224" s="646">
        <f>SUM(C224+E224+F224+H224)</f>
        <v>0</v>
      </c>
      <c r="K224" s="646">
        <f t="shared" si="88"/>
        <v>0</v>
      </c>
      <c r="L224" s="646">
        <f>SUM(J224:K224)</f>
        <v>0</v>
      </c>
      <c r="M224" s="646">
        <v>110</v>
      </c>
      <c r="N224" s="646"/>
      <c r="O224" s="646">
        <f t="shared" si="90"/>
        <v>110</v>
      </c>
    </row>
    <row r="225" spans="1:15" s="672" customFormat="1" ht="47.25" x14ac:dyDescent="0.25">
      <c r="A225" s="643"/>
      <c r="B225" s="646" t="s">
        <v>1200</v>
      </c>
      <c r="C225" s="646"/>
      <c r="D225" s="646"/>
      <c r="E225" s="646"/>
      <c r="F225" s="646"/>
      <c r="G225" s="646"/>
      <c r="H225" s="646"/>
      <c r="I225" s="646"/>
      <c r="J225" s="646">
        <f>SUM(C225+E225+F225+H225)</f>
        <v>0</v>
      </c>
      <c r="K225" s="646">
        <f t="shared" si="88"/>
        <v>0</v>
      </c>
      <c r="L225" s="646">
        <f>SUM(J225:K225)</f>
        <v>0</v>
      </c>
      <c r="M225" s="646">
        <v>730</v>
      </c>
      <c r="N225" s="646"/>
      <c r="O225" s="646">
        <f t="shared" si="90"/>
        <v>730</v>
      </c>
    </row>
    <row r="226" spans="1:15" s="672" customFormat="1" x14ac:dyDescent="0.25">
      <c r="A226" s="643"/>
      <c r="B226" s="646" t="s">
        <v>1201</v>
      </c>
      <c r="C226" s="646"/>
      <c r="D226" s="646"/>
      <c r="E226" s="646"/>
      <c r="F226" s="646"/>
      <c r="G226" s="646"/>
      <c r="H226" s="646"/>
      <c r="I226" s="646"/>
      <c r="J226" s="646">
        <f>SUM(C226+E226+F226+H226)</f>
        <v>0</v>
      </c>
      <c r="K226" s="646">
        <f t="shared" si="88"/>
        <v>0</v>
      </c>
      <c r="L226" s="646">
        <f>SUM(J226:K226)</f>
        <v>0</v>
      </c>
      <c r="M226" s="646">
        <v>-4261</v>
      </c>
      <c r="N226" s="646"/>
      <c r="O226" s="646">
        <f t="shared" si="90"/>
        <v>-4261</v>
      </c>
    </row>
    <row r="227" spans="1:15" s="672" customFormat="1" x14ac:dyDescent="0.25">
      <c r="A227" s="643"/>
      <c r="B227" s="644" t="s">
        <v>133</v>
      </c>
      <c r="C227" s="646"/>
      <c r="D227" s="646"/>
      <c r="E227" s="646"/>
      <c r="F227" s="646"/>
      <c r="G227" s="646"/>
      <c r="H227" s="646"/>
      <c r="I227" s="646"/>
      <c r="J227" s="646"/>
      <c r="K227" s="646"/>
      <c r="L227" s="646"/>
      <c r="M227" s="646"/>
      <c r="N227" s="646"/>
      <c r="O227" s="646"/>
    </row>
    <row r="228" spans="1:15" s="672" customFormat="1" ht="16.5" thickBot="1" x14ac:dyDescent="0.3">
      <c r="A228" s="643"/>
      <c r="B228" s="646" t="s">
        <v>1204</v>
      </c>
      <c r="C228" s="646"/>
      <c r="D228" s="646"/>
      <c r="E228" s="646"/>
      <c r="F228" s="646"/>
      <c r="G228" s="646"/>
      <c r="H228" s="646"/>
      <c r="I228" s="646"/>
      <c r="J228" s="646">
        <f t="shared" si="87"/>
        <v>0</v>
      </c>
      <c r="K228" s="646">
        <f t="shared" si="88"/>
        <v>0</v>
      </c>
      <c r="L228" s="646">
        <f t="shared" si="89"/>
        <v>0</v>
      </c>
      <c r="M228" s="646">
        <v>2047</v>
      </c>
      <c r="N228" s="646"/>
      <c r="O228" s="646">
        <f t="shared" si="90"/>
        <v>2047</v>
      </c>
    </row>
    <row r="229" spans="1:15" ht="17.25" thickTop="1" thickBot="1" x14ac:dyDescent="0.3">
      <c r="A229" s="638"/>
      <c r="B229" s="647" t="s">
        <v>381</v>
      </c>
      <c r="C229" s="647">
        <f>+C216+C220+C228+C221+C222+C223+C224+C225+C226</f>
        <v>11793</v>
      </c>
      <c r="D229" s="647">
        <f t="shared" ref="D229:O229" si="91">+D216+D220+D228+D221+D222+D223+D224+D225+D226</f>
        <v>0</v>
      </c>
      <c r="E229" s="647">
        <f t="shared" si="91"/>
        <v>0</v>
      </c>
      <c r="F229" s="647">
        <f t="shared" si="91"/>
        <v>6061</v>
      </c>
      <c r="G229" s="647">
        <f t="shared" si="91"/>
        <v>0</v>
      </c>
      <c r="H229" s="647">
        <f t="shared" si="91"/>
        <v>0</v>
      </c>
      <c r="I229" s="647">
        <f t="shared" si="91"/>
        <v>0</v>
      </c>
      <c r="J229" s="647">
        <f t="shared" si="91"/>
        <v>17854</v>
      </c>
      <c r="K229" s="647">
        <f t="shared" si="91"/>
        <v>0</v>
      </c>
      <c r="L229" s="647">
        <f t="shared" si="91"/>
        <v>17854</v>
      </c>
      <c r="M229" s="647">
        <f t="shared" si="91"/>
        <v>224092</v>
      </c>
      <c r="N229" s="647">
        <f t="shared" si="91"/>
        <v>3138</v>
      </c>
      <c r="O229" s="647">
        <f t="shared" si="91"/>
        <v>245084</v>
      </c>
    </row>
    <row r="230" spans="1:15" ht="17.25" thickTop="1" thickBot="1" x14ac:dyDescent="0.3">
      <c r="A230" s="638"/>
      <c r="B230" s="647" t="s">
        <v>380</v>
      </c>
      <c r="C230" s="647">
        <f t="shared" ref="C230:O230" si="92">+C217+C220+C221+C222+C223+C224+C225+C226</f>
        <v>11793</v>
      </c>
      <c r="D230" s="647">
        <f t="shared" si="92"/>
        <v>0</v>
      </c>
      <c r="E230" s="647">
        <f t="shared" si="92"/>
        <v>0</v>
      </c>
      <c r="F230" s="647">
        <f t="shared" si="92"/>
        <v>6061</v>
      </c>
      <c r="G230" s="647">
        <f t="shared" si="92"/>
        <v>0</v>
      </c>
      <c r="H230" s="647">
        <f t="shared" si="92"/>
        <v>0</v>
      </c>
      <c r="I230" s="647">
        <f t="shared" si="92"/>
        <v>0</v>
      </c>
      <c r="J230" s="647">
        <f t="shared" si="92"/>
        <v>17854</v>
      </c>
      <c r="K230" s="647">
        <f t="shared" si="92"/>
        <v>0</v>
      </c>
      <c r="L230" s="647">
        <f t="shared" si="92"/>
        <v>17854</v>
      </c>
      <c r="M230" s="647">
        <f t="shared" si="92"/>
        <v>222045</v>
      </c>
      <c r="N230" s="647">
        <f t="shared" si="92"/>
        <v>3138</v>
      </c>
      <c r="O230" s="647">
        <f t="shared" si="92"/>
        <v>243037</v>
      </c>
    </row>
    <row r="231" spans="1:15" ht="17.25" thickTop="1" thickBot="1" x14ac:dyDescent="0.3">
      <c r="A231" s="638"/>
      <c r="B231" s="647" t="s">
        <v>379</v>
      </c>
      <c r="C231" s="647">
        <f>+C218+C228</f>
        <v>0</v>
      </c>
      <c r="D231" s="647">
        <f t="shared" ref="D231:O231" si="93">+D218+D228</f>
        <v>0</v>
      </c>
      <c r="E231" s="647">
        <f t="shared" si="93"/>
        <v>0</v>
      </c>
      <c r="F231" s="647">
        <f t="shared" si="93"/>
        <v>0</v>
      </c>
      <c r="G231" s="647">
        <f t="shared" si="93"/>
        <v>0</v>
      </c>
      <c r="H231" s="647">
        <f t="shared" si="93"/>
        <v>0</v>
      </c>
      <c r="I231" s="647">
        <f t="shared" si="93"/>
        <v>0</v>
      </c>
      <c r="J231" s="647">
        <f t="shared" si="93"/>
        <v>0</v>
      </c>
      <c r="K231" s="647">
        <f t="shared" si="93"/>
        <v>0</v>
      </c>
      <c r="L231" s="647">
        <f t="shared" si="93"/>
        <v>0</v>
      </c>
      <c r="M231" s="647">
        <f t="shared" si="93"/>
        <v>2047</v>
      </c>
      <c r="N231" s="647">
        <f t="shared" si="93"/>
        <v>0</v>
      </c>
      <c r="O231" s="647">
        <f t="shared" si="93"/>
        <v>2047</v>
      </c>
    </row>
    <row r="232" spans="1:15" ht="16.5" thickTop="1" x14ac:dyDescent="0.25">
      <c r="A232" s="648" t="s">
        <v>4</v>
      </c>
      <c r="B232" s="670" t="s">
        <v>402</v>
      </c>
      <c r="C232" s="670"/>
      <c r="D232" s="670"/>
      <c r="E232" s="670"/>
      <c r="F232" s="670"/>
      <c r="G232" s="670"/>
      <c r="H232" s="670"/>
      <c r="I232" s="670"/>
      <c r="J232" s="670"/>
      <c r="K232" s="670"/>
      <c r="L232" s="670"/>
      <c r="M232" s="670"/>
      <c r="N232" s="670"/>
      <c r="O232" s="670"/>
    </row>
    <row r="233" spans="1:15" x14ac:dyDescent="0.25">
      <c r="A233" s="648"/>
      <c r="B233" s="670" t="s">
        <v>1211</v>
      </c>
      <c r="C233" s="670"/>
      <c r="D233" s="670"/>
      <c r="E233" s="670"/>
      <c r="F233" s="670">
        <f>SUM(F234:F235)</f>
        <v>8144</v>
      </c>
      <c r="G233" s="670"/>
      <c r="H233" s="670"/>
      <c r="I233" s="670"/>
      <c r="J233" s="671">
        <f>SUM(C233+E233+F233+H233)</f>
        <v>8144</v>
      </c>
      <c r="K233" s="671">
        <f>SUM(D233+G233+I233)</f>
        <v>0</v>
      </c>
      <c r="L233" s="671">
        <f>SUM(J233:K233)</f>
        <v>8144</v>
      </c>
      <c r="M233" s="671">
        <f>SUM(M234:M235)</f>
        <v>193001</v>
      </c>
      <c r="N233" s="671"/>
      <c r="O233" s="671">
        <f>SUM(L233:N233)</f>
        <v>201145</v>
      </c>
    </row>
    <row r="234" spans="1:15" s="672" customFormat="1" x14ac:dyDescent="0.25">
      <c r="A234" s="649"/>
      <c r="B234" s="644" t="s">
        <v>383</v>
      </c>
      <c r="C234" s="644"/>
      <c r="D234" s="644"/>
      <c r="E234" s="644"/>
      <c r="F234" s="644">
        <v>8144</v>
      </c>
      <c r="G234" s="644"/>
      <c r="H234" s="644"/>
      <c r="I234" s="644"/>
      <c r="J234" s="645">
        <f>SUM(C234+E234+F234+H234)</f>
        <v>8144</v>
      </c>
      <c r="K234" s="645">
        <f>SUM(D234+G234+I234)</f>
        <v>0</v>
      </c>
      <c r="L234" s="645">
        <f>SUM(J234:K234)</f>
        <v>8144</v>
      </c>
      <c r="M234" s="645">
        <v>193001</v>
      </c>
      <c r="N234" s="645"/>
      <c r="O234" s="645">
        <f>SUM(L234:N234)</f>
        <v>201145</v>
      </c>
    </row>
    <row r="235" spans="1:15" s="672" customFormat="1" x14ac:dyDescent="0.25">
      <c r="A235" s="649"/>
      <c r="B235" s="644" t="s">
        <v>382</v>
      </c>
      <c r="C235" s="644"/>
      <c r="D235" s="644"/>
      <c r="E235" s="644"/>
      <c r="F235" s="644"/>
      <c r="G235" s="644"/>
      <c r="H235" s="644"/>
      <c r="I235" s="644"/>
      <c r="J235" s="645">
        <f>SUM(C235+E235+F235+H235)</f>
        <v>0</v>
      </c>
      <c r="K235" s="645">
        <f>SUM(D235+G235+I235)</f>
        <v>0</v>
      </c>
      <c r="L235" s="645">
        <f>SUM(J235:K235)</f>
        <v>0</v>
      </c>
      <c r="M235" s="645"/>
      <c r="N235" s="645"/>
      <c r="O235" s="645">
        <f>SUM(L235:N235)</f>
        <v>0</v>
      </c>
    </row>
    <row r="236" spans="1:15" s="672" customFormat="1" x14ac:dyDescent="0.25">
      <c r="A236" s="649"/>
      <c r="B236" s="644" t="s">
        <v>132</v>
      </c>
      <c r="C236" s="646"/>
      <c r="D236" s="646"/>
      <c r="E236" s="646"/>
      <c r="F236" s="646"/>
      <c r="G236" s="646"/>
      <c r="H236" s="646"/>
      <c r="I236" s="646"/>
      <c r="J236" s="646"/>
      <c r="K236" s="646"/>
      <c r="L236" s="646"/>
      <c r="M236" s="646"/>
      <c r="N236" s="646"/>
      <c r="O236" s="646"/>
    </row>
    <row r="237" spans="1:15" s="672" customFormat="1" ht="30.75" customHeight="1" x14ac:dyDescent="0.25">
      <c r="A237" s="649"/>
      <c r="B237" s="646" t="s">
        <v>1196</v>
      </c>
      <c r="C237" s="646">
        <v>11989</v>
      </c>
      <c r="D237" s="646"/>
      <c r="E237" s="646"/>
      <c r="F237" s="646"/>
      <c r="G237" s="646"/>
      <c r="H237" s="646"/>
      <c r="I237" s="646"/>
      <c r="J237" s="646">
        <f t="shared" ref="J237:J243" si="94">SUM(C237+E237+F237+H237)</f>
        <v>11989</v>
      </c>
      <c r="K237" s="646">
        <f t="shared" ref="K237:K243" si="95">SUM(D237+G237+I237)</f>
        <v>0</v>
      </c>
      <c r="L237" s="646">
        <f t="shared" ref="L237:L243" si="96">SUM(J237:K237)</f>
        <v>11989</v>
      </c>
      <c r="M237" s="646"/>
      <c r="N237" s="646">
        <v>471</v>
      </c>
      <c r="O237" s="646">
        <f t="shared" ref="O237:O243" si="97">SUM(L237:N237)</f>
        <v>12460</v>
      </c>
    </row>
    <row r="238" spans="1:15" s="672" customFormat="1" ht="31.5" x14ac:dyDescent="0.25">
      <c r="A238" s="649"/>
      <c r="B238" s="949" t="s">
        <v>1198</v>
      </c>
      <c r="C238" s="658"/>
      <c r="D238" s="658"/>
      <c r="E238" s="658"/>
      <c r="F238" s="658"/>
      <c r="G238" s="658"/>
      <c r="H238" s="658"/>
      <c r="I238" s="658"/>
      <c r="J238" s="658">
        <f t="shared" si="94"/>
        <v>0</v>
      </c>
      <c r="K238" s="658">
        <f t="shared" si="95"/>
        <v>0</v>
      </c>
      <c r="L238" s="658">
        <f t="shared" si="96"/>
        <v>0</v>
      </c>
      <c r="M238" s="658">
        <v>-1277</v>
      </c>
      <c r="N238" s="658"/>
      <c r="O238" s="658">
        <f t="shared" si="97"/>
        <v>-1277</v>
      </c>
    </row>
    <row r="239" spans="1:15" s="672" customFormat="1" x14ac:dyDescent="0.25">
      <c r="A239" s="649"/>
      <c r="B239" s="658" t="s">
        <v>1199</v>
      </c>
      <c r="C239" s="658"/>
      <c r="D239" s="658"/>
      <c r="E239" s="658"/>
      <c r="F239" s="658"/>
      <c r="G239" s="658"/>
      <c r="H239" s="658"/>
      <c r="I239" s="658"/>
      <c r="J239" s="658">
        <f t="shared" si="94"/>
        <v>0</v>
      </c>
      <c r="K239" s="658">
        <f t="shared" si="95"/>
        <v>0</v>
      </c>
      <c r="L239" s="658">
        <f t="shared" si="96"/>
        <v>0</v>
      </c>
      <c r="M239" s="658">
        <v>-476</v>
      </c>
      <c r="N239" s="658"/>
      <c r="O239" s="658">
        <f t="shared" si="97"/>
        <v>-476</v>
      </c>
    </row>
    <row r="240" spans="1:15" s="672" customFormat="1" ht="31.5" x14ac:dyDescent="0.25">
      <c r="A240" s="649"/>
      <c r="B240" s="646" t="s">
        <v>1207</v>
      </c>
      <c r="C240" s="646"/>
      <c r="D240" s="646"/>
      <c r="E240" s="646"/>
      <c r="F240" s="646"/>
      <c r="G240" s="646"/>
      <c r="H240" s="646"/>
      <c r="I240" s="646"/>
      <c r="J240" s="646">
        <f t="shared" si="94"/>
        <v>0</v>
      </c>
      <c r="K240" s="646">
        <f t="shared" si="95"/>
        <v>0</v>
      </c>
      <c r="L240" s="646">
        <f t="shared" si="96"/>
        <v>0</v>
      </c>
      <c r="M240" s="646">
        <v>42</v>
      </c>
      <c r="N240" s="646"/>
      <c r="O240" s="646">
        <f t="shared" si="97"/>
        <v>42</v>
      </c>
    </row>
    <row r="241" spans="1:15" s="672" customFormat="1" x14ac:dyDescent="0.25">
      <c r="A241" s="649"/>
      <c r="B241" s="646" t="s">
        <v>1201</v>
      </c>
      <c r="C241" s="646"/>
      <c r="D241" s="646"/>
      <c r="E241" s="646"/>
      <c r="F241" s="646"/>
      <c r="G241" s="646"/>
      <c r="H241" s="646"/>
      <c r="I241" s="646"/>
      <c r="J241" s="646">
        <f t="shared" si="94"/>
        <v>0</v>
      </c>
      <c r="K241" s="646">
        <f t="shared" si="95"/>
        <v>0</v>
      </c>
      <c r="L241" s="646">
        <f t="shared" si="96"/>
        <v>0</v>
      </c>
      <c r="M241" s="646">
        <v>-3548</v>
      </c>
      <c r="N241" s="646"/>
      <c r="O241" s="646">
        <f t="shared" si="97"/>
        <v>-3548</v>
      </c>
    </row>
    <row r="242" spans="1:15" s="672" customFormat="1" x14ac:dyDescent="0.25">
      <c r="A242" s="649"/>
      <c r="B242" s="644" t="s">
        <v>133</v>
      </c>
      <c r="C242" s="646"/>
      <c r="D242" s="646"/>
      <c r="E242" s="646"/>
      <c r="F242" s="646"/>
      <c r="G242" s="646"/>
      <c r="H242" s="646"/>
      <c r="I242" s="646"/>
      <c r="J242" s="646"/>
      <c r="K242" s="646"/>
      <c r="L242" s="646"/>
      <c r="M242" s="646"/>
      <c r="N242" s="646"/>
      <c r="O242" s="646"/>
    </row>
    <row r="243" spans="1:15" s="672" customFormat="1" ht="16.5" thickBot="1" x14ac:dyDescent="0.3">
      <c r="A243" s="649"/>
      <c r="B243" s="646" t="s">
        <v>1204</v>
      </c>
      <c r="C243" s="646"/>
      <c r="D243" s="646"/>
      <c r="E243" s="646"/>
      <c r="F243" s="646"/>
      <c r="G243" s="646"/>
      <c r="H243" s="646"/>
      <c r="I243" s="646"/>
      <c r="J243" s="646">
        <f t="shared" si="94"/>
        <v>0</v>
      </c>
      <c r="K243" s="646">
        <f t="shared" si="95"/>
        <v>0</v>
      </c>
      <c r="L243" s="646">
        <f t="shared" si="96"/>
        <v>0</v>
      </c>
      <c r="M243" s="646">
        <v>1804</v>
      </c>
      <c r="N243" s="646"/>
      <c r="O243" s="646">
        <f t="shared" si="97"/>
        <v>1804</v>
      </c>
    </row>
    <row r="244" spans="1:15" ht="17.25" thickTop="1" thickBot="1" x14ac:dyDescent="0.3">
      <c r="A244" s="638"/>
      <c r="B244" s="647" t="s">
        <v>381</v>
      </c>
      <c r="C244" s="647">
        <f>+C233+C237+C243+C238+C239+C240+C241</f>
        <v>11989</v>
      </c>
      <c r="D244" s="647">
        <f t="shared" ref="D244:O244" si="98">+D233+D237+D243+D238+D239+D240+D241</f>
        <v>0</v>
      </c>
      <c r="E244" s="647">
        <f t="shared" si="98"/>
        <v>0</v>
      </c>
      <c r="F244" s="647">
        <f t="shared" si="98"/>
        <v>8144</v>
      </c>
      <c r="G244" s="647">
        <f t="shared" si="98"/>
        <v>0</v>
      </c>
      <c r="H244" s="647">
        <f t="shared" si="98"/>
        <v>0</v>
      </c>
      <c r="I244" s="647">
        <f t="shared" si="98"/>
        <v>0</v>
      </c>
      <c r="J244" s="647">
        <f t="shared" si="98"/>
        <v>20133</v>
      </c>
      <c r="K244" s="647">
        <f t="shared" si="98"/>
        <v>0</v>
      </c>
      <c r="L244" s="647">
        <f t="shared" si="98"/>
        <v>20133</v>
      </c>
      <c r="M244" s="647">
        <f t="shared" si="98"/>
        <v>189546</v>
      </c>
      <c r="N244" s="647">
        <f t="shared" si="98"/>
        <v>471</v>
      </c>
      <c r="O244" s="647">
        <f t="shared" si="98"/>
        <v>210150</v>
      </c>
    </row>
    <row r="245" spans="1:15" ht="17.25" thickTop="1" thickBot="1" x14ac:dyDescent="0.3">
      <c r="A245" s="638"/>
      <c r="B245" s="647" t="s">
        <v>380</v>
      </c>
      <c r="C245" s="647">
        <f t="shared" ref="C245:O245" si="99">+C234+C237+C238+C239+C240+C241</f>
        <v>11989</v>
      </c>
      <c r="D245" s="647">
        <f t="shared" si="99"/>
        <v>0</v>
      </c>
      <c r="E245" s="647">
        <f t="shared" si="99"/>
        <v>0</v>
      </c>
      <c r="F245" s="647">
        <f t="shared" si="99"/>
        <v>8144</v>
      </c>
      <c r="G245" s="647">
        <f t="shared" si="99"/>
        <v>0</v>
      </c>
      <c r="H245" s="647">
        <f t="shared" si="99"/>
        <v>0</v>
      </c>
      <c r="I245" s="647">
        <f t="shared" si="99"/>
        <v>0</v>
      </c>
      <c r="J245" s="647">
        <f t="shared" si="99"/>
        <v>20133</v>
      </c>
      <c r="K245" s="647">
        <f t="shared" si="99"/>
        <v>0</v>
      </c>
      <c r="L245" s="647">
        <f t="shared" si="99"/>
        <v>20133</v>
      </c>
      <c r="M245" s="647">
        <f t="shared" si="99"/>
        <v>187742</v>
      </c>
      <c r="N245" s="647">
        <f t="shared" si="99"/>
        <v>471</v>
      </c>
      <c r="O245" s="647">
        <f t="shared" si="99"/>
        <v>208346</v>
      </c>
    </row>
    <row r="246" spans="1:15" ht="17.25" thickTop="1" thickBot="1" x14ac:dyDescent="0.3">
      <c r="A246" s="638"/>
      <c r="B246" s="647" t="s">
        <v>379</v>
      </c>
      <c r="C246" s="647">
        <f>+C235+C243</f>
        <v>0</v>
      </c>
      <c r="D246" s="647">
        <f t="shared" ref="D246:O246" si="100">+D235+D243</f>
        <v>0</v>
      </c>
      <c r="E246" s="647">
        <f t="shared" si="100"/>
        <v>0</v>
      </c>
      <c r="F246" s="647">
        <f t="shared" si="100"/>
        <v>0</v>
      </c>
      <c r="G246" s="647">
        <f t="shared" si="100"/>
        <v>0</v>
      </c>
      <c r="H246" s="647">
        <f t="shared" si="100"/>
        <v>0</v>
      </c>
      <c r="I246" s="647">
        <f t="shared" si="100"/>
        <v>0</v>
      </c>
      <c r="J246" s="647">
        <f t="shared" si="100"/>
        <v>0</v>
      </c>
      <c r="K246" s="647">
        <f t="shared" si="100"/>
        <v>0</v>
      </c>
      <c r="L246" s="647">
        <f t="shared" si="100"/>
        <v>0</v>
      </c>
      <c r="M246" s="647">
        <f t="shared" si="100"/>
        <v>1804</v>
      </c>
      <c r="N246" s="647">
        <f t="shared" si="100"/>
        <v>0</v>
      </c>
      <c r="O246" s="647">
        <f t="shared" si="100"/>
        <v>1804</v>
      </c>
    </row>
    <row r="247" spans="1:15" ht="16.5" thickTop="1" x14ac:dyDescent="0.25">
      <c r="A247" s="642" t="s">
        <v>5</v>
      </c>
      <c r="B247" s="670" t="s">
        <v>401</v>
      </c>
      <c r="C247" s="670"/>
      <c r="D247" s="670"/>
      <c r="E247" s="670"/>
      <c r="F247" s="670"/>
      <c r="G247" s="670"/>
      <c r="H247" s="670"/>
      <c r="I247" s="670"/>
      <c r="J247" s="670"/>
      <c r="K247" s="670"/>
      <c r="L247" s="670"/>
      <c r="M247" s="670"/>
      <c r="N247" s="670"/>
      <c r="O247" s="670"/>
    </row>
    <row r="248" spans="1:15" x14ac:dyDescent="0.25">
      <c r="A248" s="642"/>
      <c r="B248" s="671" t="s">
        <v>349</v>
      </c>
      <c r="C248" s="671"/>
      <c r="D248" s="671"/>
      <c r="E248" s="671"/>
      <c r="F248" s="671">
        <f>SUM(F249:F250)</f>
        <v>8452</v>
      </c>
      <c r="G248" s="671"/>
      <c r="H248" s="671"/>
      <c r="I248" s="671"/>
      <c r="J248" s="671">
        <f>SUM(C248+E248+F248+H248)</f>
        <v>8452</v>
      </c>
      <c r="K248" s="671">
        <f>SUM(D248+G248+I248)</f>
        <v>0</v>
      </c>
      <c r="L248" s="671">
        <f>SUM(J248:K248)</f>
        <v>8452</v>
      </c>
      <c r="M248" s="671">
        <f>SUM(M249:M250)</f>
        <v>243328</v>
      </c>
      <c r="N248" s="671"/>
      <c r="O248" s="671">
        <f>SUM(L248:N248)</f>
        <v>251780</v>
      </c>
    </row>
    <row r="249" spans="1:15" s="672" customFormat="1" x14ac:dyDescent="0.25">
      <c r="A249" s="643"/>
      <c r="B249" s="644" t="s">
        <v>383</v>
      </c>
      <c r="C249" s="644"/>
      <c r="D249" s="644"/>
      <c r="E249" s="644"/>
      <c r="F249" s="644">
        <v>8452</v>
      </c>
      <c r="G249" s="644"/>
      <c r="H249" s="644"/>
      <c r="I249" s="644"/>
      <c r="J249" s="645">
        <f>SUM(C249+E249+F249+H249)</f>
        <v>8452</v>
      </c>
      <c r="K249" s="645">
        <f>SUM(D249+G249+I249)</f>
        <v>0</v>
      </c>
      <c r="L249" s="645">
        <f>SUM(J249:K249)</f>
        <v>8452</v>
      </c>
      <c r="M249" s="645">
        <v>243328</v>
      </c>
      <c r="N249" s="645"/>
      <c r="O249" s="645">
        <f>SUM(L249:N249)</f>
        <v>251780</v>
      </c>
    </row>
    <row r="250" spans="1:15" s="672" customFormat="1" x14ac:dyDescent="0.25">
      <c r="A250" s="643"/>
      <c r="B250" s="644" t="s">
        <v>382</v>
      </c>
      <c r="C250" s="644"/>
      <c r="D250" s="644"/>
      <c r="E250" s="644"/>
      <c r="F250" s="644"/>
      <c r="G250" s="644"/>
      <c r="H250" s="644"/>
      <c r="I250" s="644"/>
      <c r="J250" s="645">
        <f>SUM(C250+E250+F250+H250)</f>
        <v>0</v>
      </c>
      <c r="K250" s="645">
        <f>SUM(D250+G250+I250)</f>
        <v>0</v>
      </c>
      <c r="L250" s="645">
        <f>SUM(J250:K250)</f>
        <v>0</v>
      </c>
      <c r="M250" s="645"/>
      <c r="N250" s="645"/>
      <c r="O250" s="645">
        <f>SUM(L250:N250)</f>
        <v>0</v>
      </c>
    </row>
    <row r="251" spans="1:15" s="672" customFormat="1" x14ac:dyDescent="0.25">
      <c r="A251" s="643"/>
      <c r="B251" s="644" t="s">
        <v>132</v>
      </c>
      <c r="C251" s="646"/>
      <c r="D251" s="646"/>
      <c r="E251" s="646"/>
      <c r="F251" s="646"/>
      <c r="G251" s="646"/>
      <c r="H251" s="646"/>
      <c r="I251" s="646"/>
      <c r="J251" s="646"/>
      <c r="K251" s="646"/>
      <c r="L251" s="646"/>
      <c r="M251" s="646"/>
      <c r="N251" s="646"/>
      <c r="O251" s="646"/>
    </row>
    <row r="252" spans="1:15" s="672" customFormat="1" ht="30.75" customHeight="1" x14ac:dyDescent="0.25">
      <c r="A252" s="643"/>
      <c r="B252" s="646" t="s">
        <v>1196</v>
      </c>
      <c r="C252" s="646">
        <v>11788</v>
      </c>
      <c r="D252" s="646"/>
      <c r="E252" s="646"/>
      <c r="F252" s="646"/>
      <c r="G252" s="646"/>
      <c r="H252" s="646"/>
      <c r="I252" s="646"/>
      <c r="J252" s="646">
        <f t="shared" ref="J252:J261" si="101">SUM(C252+E252+F252+H252)</f>
        <v>11788</v>
      </c>
      <c r="K252" s="646">
        <f t="shared" ref="K252:K261" si="102">SUM(D252+G252+I252)</f>
        <v>0</v>
      </c>
      <c r="L252" s="646">
        <f t="shared" ref="L252:L259" si="103">SUM(J252:K252)</f>
        <v>11788</v>
      </c>
      <c r="M252" s="646"/>
      <c r="N252" s="646">
        <v>2778</v>
      </c>
      <c r="O252" s="646">
        <f t="shared" ref="O252:O261" si="104">SUM(L252:N252)</f>
        <v>14566</v>
      </c>
    </row>
    <row r="253" spans="1:15" s="672" customFormat="1" ht="31.5" x14ac:dyDescent="0.25">
      <c r="A253" s="643"/>
      <c r="B253" s="646" t="s">
        <v>1197</v>
      </c>
      <c r="C253" s="646"/>
      <c r="D253" s="646"/>
      <c r="E253" s="646"/>
      <c r="F253" s="646"/>
      <c r="G253" s="646"/>
      <c r="H253" s="646"/>
      <c r="I253" s="646"/>
      <c r="J253" s="646">
        <f t="shared" si="101"/>
        <v>0</v>
      </c>
      <c r="K253" s="646">
        <f t="shared" si="102"/>
        <v>0</v>
      </c>
      <c r="L253" s="646">
        <f t="shared" si="103"/>
        <v>0</v>
      </c>
      <c r="M253" s="646">
        <v>7</v>
      </c>
      <c r="N253" s="646"/>
      <c r="O253" s="646">
        <f t="shared" si="104"/>
        <v>7</v>
      </c>
    </row>
    <row r="254" spans="1:15" s="672" customFormat="1" ht="31.5" x14ac:dyDescent="0.25">
      <c r="A254" s="643"/>
      <c r="B254" s="673" t="s">
        <v>1198</v>
      </c>
      <c r="C254" s="646"/>
      <c r="D254" s="646"/>
      <c r="E254" s="646"/>
      <c r="F254" s="646"/>
      <c r="G254" s="646"/>
      <c r="H254" s="646"/>
      <c r="I254" s="646"/>
      <c r="J254" s="646">
        <f t="shared" si="101"/>
        <v>0</v>
      </c>
      <c r="K254" s="646">
        <f t="shared" si="102"/>
        <v>0</v>
      </c>
      <c r="L254" s="646">
        <f t="shared" si="103"/>
        <v>0</v>
      </c>
      <c r="M254" s="646">
        <v>-1498</v>
      </c>
      <c r="N254" s="646"/>
      <c r="O254" s="646">
        <f t="shared" si="104"/>
        <v>-1498</v>
      </c>
    </row>
    <row r="255" spans="1:15" s="672" customFormat="1" x14ac:dyDescent="0.25">
      <c r="A255" s="643"/>
      <c r="B255" s="646" t="s">
        <v>1199</v>
      </c>
      <c r="C255" s="646"/>
      <c r="D255" s="646"/>
      <c r="E255" s="646"/>
      <c r="F255" s="646"/>
      <c r="G255" s="646"/>
      <c r="H255" s="646"/>
      <c r="I255" s="646"/>
      <c r="J255" s="646">
        <f t="shared" si="101"/>
        <v>0</v>
      </c>
      <c r="K255" s="646">
        <f t="shared" si="102"/>
        <v>0</v>
      </c>
      <c r="L255" s="646">
        <f t="shared" si="103"/>
        <v>0</v>
      </c>
      <c r="M255" s="646">
        <v>-522</v>
      </c>
      <c r="N255" s="646"/>
      <c r="O255" s="646">
        <f t="shared" si="104"/>
        <v>-522</v>
      </c>
    </row>
    <row r="256" spans="1:15" s="672" customFormat="1" ht="31.5" x14ac:dyDescent="0.25">
      <c r="A256" s="643"/>
      <c r="B256" s="646" t="s">
        <v>1207</v>
      </c>
      <c r="C256" s="646"/>
      <c r="D256" s="646"/>
      <c r="E256" s="646"/>
      <c r="F256" s="646"/>
      <c r="G256" s="646"/>
      <c r="H256" s="646"/>
      <c r="I256" s="646"/>
      <c r="J256" s="646">
        <f t="shared" si="101"/>
        <v>0</v>
      </c>
      <c r="K256" s="646">
        <f t="shared" si="102"/>
        <v>0</v>
      </c>
      <c r="L256" s="646">
        <f t="shared" si="103"/>
        <v>0</v>
      </c>
      <c r="M256" s="646">
        <v>450</v>
      </c>
      <c r="N256" s="646"/>
      <c r="O256" s="646">
        <f t="shared" si="104"/>
        <v>450</v>
      </c>
    </row>
    <row r="257" spans="1:15" s="672" customFormat="1" ht="47.25" x14ac:dyDescent="0.25">
      <c r="A257" s="643"/>
      <c r="B257" s="646" t="s">
        <v>1200</v>
      </c>
      <c r="C257" s="646"/>
      <c r="D257" s="646"/>
      <c r="E257" s="646"/>
      <c r="F257" s="646"/>
      <c r="G257" s="646"/>
      <c r="H257" s="646"/>
      <c r="I257" s="646"/>
      <c r="J257" s="646">
        <f t="shared" si="101"/>
        <v>0</v>
      </c>
      <c r="K257" s="646">
        <f t="shared" si="102"/>
        <v>0</v>
      </c>
      <c r="L257" s="646">
        <f t="shared" si="103"/>
        <v>0</v>
      </c>
      <c r="M257" s="646">
        <v>39</v>
      </c>
      <c r="N257" s="646"/>
      <c r="O257" s="646">
        <f t="shared" si="104"/>
        <v>39</v>
      </c>
    </row>
    <row r="258" spans="1:15" s="672" customFormat="1" x14ac:dyDescent="0.25">
      <c r="A258" s="643"/>
      <c r="B258" s="646" t="s">
        <v>1201</v>
      </c>
      <c r="C258" s="646"/>
      <c r="D258" s="646"/>
      <c r="E258" s="646"/>
      <c r="F258" s="646"/>
      <c r="G258" s="646"/>
      <c r="H258" s="646"/>
      <c r="I258" s="646"/>
      <c r="J258" s="646">
        <f t="shared" si="101"/>
        <v>0</v>
      </c>
      <c r="K258" s="646">
        <f t="shared" si="102"/>
        <v>0</v>
      </c>
      <c r="L258" s="646">
        <f t="shared" si="103"/>
        <v>0</v>
      </c>
      <c r="M258" s="646">
        <v>-4585</v>
      </c>
      <c r="N258" s="646"/>
      <c r="O258" s="646">
        <f t="shared" si="104"/>
        <v>-4585</v>
      </c>
    </row>
    <row r="259" spans="1:15" s="672" customFormat="1" ht="31.5" x14ac:dyDescent="0.25">
      <c r="A259" s="643"/>
      <c r="B259" s="646" t="s">
        <v>1208</v>
      </c>
      <c r="C259" s="646"/>
      <c r="D259" s="646"/>
      <c r="E259" s="646"/>
      <c r="F259" s="646"/>
      <c r="G259" s="646"/>
      <c r="H259" s="646"/>
      <c r="I259" s="646"/>
      <c r="J259" s="646">
        <f t="shared" si="101"/>
        <v>0</v>
      </c>
      <c r="K259" s="646">
        <f t="shared" si="102"/>
        <v>0</v>
      </c>
      <c r="L259" s="646">
        <f t="shared" si="103"/>
        <v>0</v>
      </c>
      <c r="M259" s="646">
        <v>288</v>
      </c>
      <c r="N259" s="646"/>
      <c r="O259" s="646">
        <f t="shared" si="104"/>
        <v>288</v>
      </c>
    </row>
    <row r="260" spans="1:15" s="672" customFormat="1" x14ac:dyDescent="0.25">
      <c r="A260" s="643"/>
      <c r="B260" s="644" t="s">
        <v>133</v>
      </c>
      <c r="C260" s="646"/>
      <c r="D260" s="646"/>
      <c r="E260" s="646"/>
      <c r="F260" s="646"/>
      <c r="G260" s="646"/>
      <c r="H260" s="646"/>
      <c r="I260" s="646"/>
      <c r="J260" s="646"/>
      <c r="K260" s="646"/>
      <c r="L260" s="646"/>
      <c r="M260" s="646"/>
      <c r="N260" s="646"/>
      <c r="O260" s="646"/>
    </row>
    <row r="261" spans="1:15" s="672" customFormat="1" ht="16.5" thickBot="1" x14ac:dyDescent="0.3">
      <c r="A261" s="643"/>
      <c r="B261" s="646" t="s">
        <v>1204</v>
      </c>
      <c r="C261" s="646"/>
      <c r="D261" s="646"/>
      <c r="E261" s="646"/>
      <c r="F261" s="646"/>
      <c r="G261" s="646"/>
      <c r="H261" s="646"/>
      <c r="I261" s="646"/>
      <c r="J261" s="646">
        <f t="shared" si="101"/>
        <v>0</v>
      </c>
      <c r="K261" s="646">
        <f t="shared" si="102"/>
        <v>0</v>
      </c>
      <c r="L261" s="646">
        <f>SUM(J261:K261)</f>
        <v>0</v>
      </c>
      <c r="M261" s="646">
        <v>2054</v>
      </c>
      <c r="N261" s="646"/>
      <c r="O261" s="646">
        <f t="shared" si="104"/>
        <v>2054</v>
      </c>
    </row>
    <row r="262" spans="1:15" ht="17.25" thickTop="1" thickBot="1" x14ac:dyDescent="0.3">
      <c r="A262" s="638"/>
      <c r="B262" s="647" t="s">
        <v>381</v>
      </c>
      <c r="C262" s="647">
        <f>+C248+C252+C261+C253+C254+C255+C256+C257+C258+C259</f>
        <v>11788</v>
      </c>
      <c r="D262" s="647">
        <f t="shared" ref="D262:O262" si="105">+D248+D252+D261+D253+D254+D255+D256+D257+D258+D259</f>
        <v>0</v>
      </c>
      <c r="E262" s="647">
        <f t="shared" si="105"/>
        <v>0</v>
      </c>
      <c r="F262" s="647">
        <f t="shared" si="105"/>
        <v>8452</v>
      </c>
      <c r="G262" s="647">
        <f t="shared" si="105"/>
        <v>0</v>
      </c>
      <c r="H262" s="647">
        <f t="shared" si="105"/>
        <v>0</v>
      </c>
      <c r="I262" s="647">
        <f t="shared" si="105"/>
        <v>0</v>
      </c>
      <c r="J262" s="647">
        <f t="shared" si="105"/>
        <v>20240</v>
      </c>
      <c r="K262" s="647">
        <f t="shared" si="105"/>
        <v>0</v>
      </c>
      <c r="L262" s="647">
        <f t="shared" si="105"/>
        <v>20240</v>
      </c>
      <c r="M262" s="647">
        <f t="shared" si="105"/>
        <v>239561</v>
      </c>
      <c r="N262" s="647">
        <f t="shared" si="105"/>
        <v>2778</v>
      </c>
      <c r="O262" s="647">
        <f t="shared" si="105"/>
        <v>262579</v>
      </c>
    </row>
    <row r="263" spans="1:15" ht="17.25" thickTop="1" thickBot="1" x14ac:dyDescent="0.3">
      <c r="A263" s="638"/>
      <c r="B263" s="647" t="s">
        <v>380</v>
      </c>
      <c r="C263" s="647">
        <f t="shared" ref="C263:O263" si="106">+C249+C252+C253+C254+C255+C256+C257+C258+C259</f>
        <v>11788</v>
      </c>
      <c r="D263" s="647">
        <f t="shared" si="106"/>
        <v>0</v>
      </c>
      <c r="E263" s="647">
        <f t="shared" si="106"/>
        <v>0</v>
      </c>
      <c r="F263" s="647">
        <f t="shared" si="106"/>
        <v>8452</v>
      </c>
      <c r="G263" s="647">
        <f t="shared" si="106"/>
        <v>0</v>
      </c>
      <c r="H263" s="647">
        <f t="shared" si="106"/>
        <v>0</v>
      </c>
      <c r="I263" s="647">
        <f t="shared" si="106"/>
        <v>0</v>
      </c>
      <c r="J263" s="647">
        <f t="shared" si="106"/>
        <v>20240</v>
      </c>
      <c r="K263" s="647">
        <f t="shared" si="106"/>
        <v>0</v>
      </c>
      <c r="L263" s="647">
        <f t="shared" si="106"/>
        <v>20240</v>
      </c>
      <c r="M263" s="647">
        <f t="shared" si="106"/>
        <v>237507</v>
      </c>
      <c r="N263" s="647">
        <f t="shared" si="106"/>
        <v>2778</v>
      </c>
      <c r="O263" s="647">
        <f t="shared" si="106"/>
        <v>260525</v>
      </c>
    </row>
    <row r="264" spans="1:15" ht="17.25" thickTop="1" thickBot="1" x14ac:dyDescent="0.3">
      <c r="A264" s="638"/>
      <c r="B264" s="647" t="s">
        <v>379</v>
      </c>
      <c r="C264" s="647">
        <f>+C250+C261</f>
        <v>0</v>
      </c>
      <c r="D264" s="647">
        <f t="shared" ref="D264:O264" si="107">+D250+D261</f>
        <v>0</v>
      </c>
      <c r="E264" s="647">
        <f t="shared" si="107"/>
        <v>0</v>
      </c>
      <c r="F264" s="647">
        <f t="shared" si="107"/>
        <v>0</v>
      </c>
      <c r="G264" s="647">
        <f t="shared" si="107"/>
        <v>0</v>
      </c>
      <c r="H264" s="647">
        <f t="shared" si="107"/>
        <v>0</v>
      </c>
      <c r="I264" s="647">
        <f t="shared" si="107"/>
        <v>0</v>
      </c>
      <c r="J264" s="647">
        <f t="shared" si="107"/>
        <v>0</v>
      </c>
      <c r="K264" s="647">
        <f t="shared" si="107"/>
        <v>0</v>
      </c>
      <c r="L264" s="647">
        <f t="shared" si="107"/>
        <v>0</v>
      </c>
      <c r="M264" s="647">
        <f t="shared" si="107"/>
        <v>2054</v>
      </c>
      <c r="N264" s="647">
        <f t="shared" si="107"/>
        <v>0</v>
      </c>
      <c r="O264" s="647">
        <f t="shared" si="107"/>
        <v>2054</v>
      </c>
    </row>
    <row r="265" spans="1:15" ht="16.5" thickTop="1" x14ac:dyDescent="0.25">
      <c r="A265" s="648" t="s">
        <v>6</v>
      </c>
      <c r="B265" s="670" t="s">
        <v>446</v>
      </c>
      <c r="C265" s="670"/>
      <c r="D265" s="670"/>
      <c r="E265" s="670"/>
      <c r="F265" s="670"/>
      <c r="G265" s="670"/>
      <c r="H265" s="670"/>
      <c r="I265" s="670"/>
      <c r="J265" s="675"/>
      <c r="K265" s="670"/>
      <c r="L265" s="670"/>
      <c r="M265" s="670"/>
      <c r="N265" s="670"/>
      <c r="O265" s="670"/>
    </row>
    <row r="266" spans="1:15" x14ac:dyDescent="0.25">
      <c r="A266" s="648"/>
      <c r="B266" s="670" t="s">
        <v>349</v>
      </c>
      <c r="C266" s="670"/>
      <c r="D266" s="670"/>
      <c r="E266" s="670"/>
      <c r="F266" s="670">
        <f>SUM(F267:F268)</f>
        <v>5536</v>
      </c>
      <c r="G266" s="670"/>
      <c r="H266" s="670"/>
      <c r="I266" s="670"/>
      <c r="J266" s="676">
        <f>SUM(C266+E266+F266+H266)</f>
        <v>5536</v>
      </c>
      <c r="K266" s="671">
        <f>SUM(D266+G266+I266)</f>
        <v>0</v>
      </c>
      <c r="L266" s="671">
        <f>SUM(J266:K266)</f>
        <v>5536</v>
      </c>
      <c r="M266" s="671">
        <f>SUM(M267:M268)</f>
        <v>232050</v>
      </c>
      <c r="N266" s="671"/>
      <c r="O266" s="671">
        <f>SUM(L266:N266)</f>
        <v>237586</v>
      </c>
    </row>
    <row r="267" spans="1:15" s="672" customFormat="1" x14ac:dyDescent="0.25">
      <c r="A267" s="649"/>
      <c r="B267" s="644" t="s">
        <v>383</v>
      </c>
      <c r="C267" s="644"/>
      <c r="D267" s="644"/>
      <c r="E267" s="644"/>
      <c r="F267" s="644">
        <v>5536</v>
      </c>
      <c r="G267" s="644"/>
      <c r="H267" s="644"/>
      <c r="I267" s="644"/>
      <c r="J267" s="653">
        <f>SUM(C267+E267+F267+H267)</f>
        <v>5536</v>
      </c>
      <c r="K267" s="645">
        <f>SUM(D267+G267+I267)</f>
        <v>0</v>
      </c>
      <c r="L267" s="645">
        <f>SUM(J267:K267)</f>
        <v>5536</v>
      </c>
      <c r="M267" s="645">
        <v>232050</v>
      </c>
      <c r="N267" s="645"/>
      <c r="O267" s="645">
        <f>SUM(L267:N267)</f>
        <v>237586</v>
      </c>
    </row>
    <row r="268" spans="1:15" s="672" customFormat="1" x14ac:dyDescent="0.25">
      <c r="A268" s="649"/>
      <c r="B268" s="644" t="s">
        <v>382</v>
      </c>
      <c r="C268" s="644"/>
      <c r="D268" s="644"/>
      <c r="E268" s="644"/>
      <c r="F268" s="644"/>
      <c r="G268" s="644"/>
      <c r="H268" s="644"/>
      <c r="I268" s="644"/>
      <c r="J268" s="653">
        <f>SUM(C268+E268+F268+H268)</f>
        <v>0</v>
      </c>
      <c r="K268" s="645">
        <f>SUM(D268+G268+I268)</f>
        <v>0</v>
      </c>
      <c r="L268" s="645">
        <f>SUM(J268:K268)</f>
        <v>0</v>
      </c>
      <c r="M268" s="645"/>
      <c r="N268" s="645"/>
      <c r="O268" s="645">
        <f>SUM(L268:N268)</f>
        <v>0</v>
      </c>
    </row>
    <row r="269" spans="1:15" s="672" customFormat="1" x14ac:dyDescent="0.25">
      <c r="A269" s="649"/>
      <c r="B269" s="644" t="s">
        <v>132</v>
      </c>
      <c r="C269" s="646"/>
      <c r="D269" s="646"/>
      <c r="E269" s="646"/>
      <c r="F269" s="646"/>
      <c r="G269" s="646"/>
      <c r="H269" s="646"/>
      <c r="I269" s="646"/>
      <c r="J269" s="654"/>
      <c r="K269" s="646"/>
      <c r="L269" s="646"/>
      <c r="M269" s="646"/>
      <c r="N269" s="646"/>
      <c r="O269" s="646"/>
    </row>
    <row r="270" spans="1:15" s="672" customFormat="1" ht="32.25" customHeight="1" x14ac:dyDescent="0.25">
      <c r="A270" s="649"/>
      <c r="B270" s="646" t="s">
        <v>1196</v>
      </c>
      <c r="C270" s="646">
        <v>10094</v>
      </c>
      <c r="D270" s="646"/>
      <c r="E270" s="646"/>
      <c r="F270" s="646"/>
      <c r="G270" s="646"/>
      <c r="H270" s="646"/>
      <c r="I270" s="646"/>
      <c r="J270" s="654">
        <f t="shared" ref="J270:J279" si="108">SUM(C270+E270+F270+H270)</f>
        <v>10094</v>
      </c>
      <c r="K270" s="646">
        <f t="shared" ref="K270:K279" si="109">SUM(D270+G270+I270)</f>
        <v>0</v>
      </c>
      <c r="L270" s="646">
        <f t="shared" ref="L270:L279" si="110">SUM(J270:K270)</f>
        <v>10094</v>
      </c>
      <c r="M270" s="646"/>
      <c r="N270" s="646">
        <v>2294</v>
      </c>
      <c r="O270" s="646">
        <f t="shared" ref="O270:O279" si="111">SUM(L270:N270)</f>
        <v>12388</v>
      </c>
    </row>
    <row r="271" spans="1:15" s="672" customFormat="1" ht="31.5" x14ac:dyDescent="0.25">
      <c r="A271" s="649"/>
      <c r="B271" s="646" t="s">
        <v>1197</v>
      </c>
      <c r="C271" s="646"/>
      <c r="D271" s="646"/>
      <c r="E271" s="646"/>
      <c r="F271" s="646"/>
      <c r="G271" s="646"/>
      <c r="H271" s="646"/>
      <c r="I271" s="646"/>
      <c r="J271" s="654">
        <f t="shared" si="108"/>
        <v>0</v>
      </c>
      <c r="K271" s="646">
        <f t="shared" si="109"/>
        <v>0</v>
      </c>
      <c r="L271" s="646">
        <f t="shared" si="110"/>
        <v>0</v>
      </c>
      <c r="M271" s="646">
        <v>34</v>
      </c>
      <c r="N271" s="646"/>
      <c r="O271" s="646">
        <f t="shared" si="111"/>
        <v>34</v>
      </c>
    </row>
    <row r="272" spans="1:15" s="672" customFormat="1" ht="31.5" x14ac:dyDescent="0.25">
      <c r="A272" s="649"/>
      <c r="B272" s="673" t="s">
        <v>1198</v>
      </c>
      <c r="C272" s="646"/>
      <c r="D272" s="646"/>
      <c r="E272" s="646"/>
      <c r="F272" s="646"/>
      <c r="G272" s="646"/>
      <c r="H272" s="646"/>
      <c r="I272" s="646"/>
      <c r="J272" s="654">
        <f t="shared" si="108"/>
        <v>0</v>
      </c>
      <c r="K272" s="646">
        <f t="shared" si="109"/>
        <v>0</v>
      </c>
      <c r="L272" s="646">
        <f t="shared" si="110"/>
        <v>0</v>
      </c>
      <c r="M272" s="646">
        <v>-1515</v>
      </c>
      <c r="N272" s="646"/>
      <c r="O272" s="646">
        <f t="shared" si="111"/>
        <v>-1515</v>
      </c>
    </row>
    <row r="273" spans="1:15" s="672" customFormat="1" x14ac:dyDescent="0.25">
      <c r="A273" s="649"/>
      <c r="B273" s="646" t="s">
        <v>1199</v>
      </c>
      <c r="C273" s="646"/>
      <c r="D273" s="646"/>
      <c r="E273" s="646"/>
      <c r="F273" s="646"/>
      <c r="G273" s="646"/>
      <c r="H273" s="646"/>
      <c r="I273" s="646"/>
      <c r="J273" s="654">
        <f t="shared" si="108"/>
        <v>0</v>
      </c>
      <c r="K273" s="646">
        <f t="shared" si="109"/>
        <v>0</v>
      </c>
      <c r="L273" s="646">
        <f t="shared" si="110"/>
        <v>0</v>
      </c>
      <c r="M273" s="646">
        <v>-569</v>
      </c>
      <c r="N273" s="646"/>
      <c r="O273" s="646">
        <f t="shared" si="111"/>
        <v>-569</v>
      </c>
    </row>
    <row r="274" spans="1:15" s="672" customFormat="1" ht="31.5" x14ac:dyDescent="0.25">
      <c r="A274" s="649"/>
      <c r="B274" s="646" t="s">
        <v>1207</v>
      </c>
      <c r="C274" s="646"/>
      <c r="D274" s="646"/>
      <c r="E274" s="646"/>
      <c r="F274" s="646"/>
      <c r="G274" s="646"/>
      <c r="H274" s="646"/>
      <c r="I274" s="646"/>
      <c r="J274" s="654">
        <f t="shared" si="108"/>
        <v>0</v>
      </c>
      <c r="K274" s="646">
        <f t="shared" si="109"/>
        <v>0</v>
      </c>
      <c r="L274" s="646">
        <f t="shared" si="110"/>
        <v>0</v>
      </c>
      <c r="M274" s="646">
        <v>113</v>
      </c>
      <c r="N274" s="646"/>
      <c r="O274" s="646">
        <f t="shared" si="111"/>
        <v>113</v>
      </c>
    </row>
    <row r="275" spans="1:15" s="672" customFormat="1" ht="47.25" x14ac:dyDescent="0.25">
      <c r="A275" s="649"/>
      <c r="B275" s="646" t="s">
        <v>1200</v>
      </c>
      <c r="C275" s="646"/>
      <c r="D275" s="646"/>
      <c r="E275" s="646"/>
      <c r="F275" s="646"/>
      <c r="G275" s="646"/>
      <c r="H275" s="646"/>
      <c r="I275" s="646"/>
      <c r="J275" s="654">
        <f t="shared" si="108"/>
        <v>0</v>
      </c>
      <c r="K275" s="646">
        <f t="shared" si="109"/>
        <v>0</v>
      </c>
      <c r="L275" s="646">
        <f t="shared" si="110"/>
        <v>0</v>
      </c>
      <c r="M275" s="646">
        <v>115</v>
      </c>
      <c r="N275" s="646"/>
      <c r="O275" s="646">
        <f t="shared" si="111"/>
        <v>115</v>
      </c>
    </row>
    <row r="276" spans="1:15" s="672" customFormat="1" x14ac:dyDescent="0.25">
      <c r="A276" s="649"/>
      <c r="B276" s="646" t="s">
        <v>1201</v>
      </c>
      <c r="C276" s="646"/>
      <c r="D276" s="646"/>
      <c r="E276" s="646"/>
      <c r="F276" s="646"/>
      <c r="G276" s="646"/>
      <c r="H276" s="646"/>
      <c r="I276" s="646"/>
      <c r="J276" s="654">
        <f>SUM(C276+E276+F276+H276)</f>
        <v>0</v>
      </c>
      <c r="K276" s="646">
        <f t="shared" si="109"/>
        <v>0</v>
      </c>
      <c r="L276" s="646">
        <f t="shared" si="110"/>
        <v>0</v>
      </c>
      <c r="M276" s="646">
        <v>-4286</v>
      </c>
      <c r="N276" s="646"/>
      <c r="O276" s="646">
        <f t="shared" si="111"/>
        <v>-4286</v>
      </c>
    </row>
    <row r="277" spans="1:15" s="672" customFormat="1" ht="30.75" customHeight="1" x14ac:dyDescent="0.25">
      <c r="A277" s="649"/>
      <c r="B277" s="646" t="s">
        <v>1210</v>
      </c>
      <c r="C277" s="646"/>
      <c r="D277" s="646"/>
      <c r="E277" s="646"/>
      <c r="F277" s="646"/>
      <c r="G277" s="646"/>
      <c r="H277" s="646"/>
      <c r="I277" s="646"/>
      <c r="J277" s="654">
        <f>SUM(C277+E277+F277+H277)</f>
        <v>0</v>
      </c>
      <c r="K277" s="646">
        <f t="shared" si="109"/>
        <v>0</v>
      </c>
      <c r="L277" s="646">
        <f t="shared" si="110"/>
        <v>0</v>
      </c>
      <c r="M277" s="646">
        <v>1000</v>
      </c>
      <c r="N277" s="646"/>
      <c r="O277" s="646">
        <f t="shared" si="111"/>
        <v>1000</v>
      </c>
    </row>
    <row r="278" spans="1:15" s="672" customFormat="1" x14ac:dyDescent="0.25">
      <c r="A278" s="649"/>
      <c r="B278" s="644" t="s">
        <v>133</v>
      </c>
      <c r="C278" s="646"/>
      <c r="D278" s="646"/>
      <c r="E278" s="646"/>
      <c r="F278" s="646"/>
      <c r="G278" s="646"/>
      <c r="H278" s="646"/>
      <c r="I278" s="646"/>
      <c r="J278" s="654"/>
      <c r="K278" s="646"/>
      <c r="L278" s="646"/>
      <c r="M278" s="646"/>
      <c r="N278" s="646"/>
      <c r="O278" s="646"/>
    </row>
    <row r="279" spans="1:15" s="672" customFormat="1" ht="16.5" thickBot="1" x14ac:dyDescent="0.3">
      <c r="A279" s="649"/>
      <c r="B279" s="646" t="s">
        <v>1204</v>
      </c>
      <c r="C279" s="646"/>
      <c r="D279" s="646"/>
      <c r="E279" s="646"/>
      <c r="F279" s="646"/>
      <c r="G279" s="646"/>
      <c r="H279" s="646"/>
      <c r="I279" s="646"/>
      <c r="J279" s="654">
        <f t="shared" si="108"/>
        <v>0</v>
      </c>
      <c r="K279" s="646">
        <f t="shared" si="109"/>
        <v>0</v>
      </c>
      <c r="L279" s="646">
        <f t="shared" si="110"/>
        <v>0</v>
      </c>
      <c r="M279" s="646">
        <v>1610</v>
      </c>
      <c r="N279" s="646"/>
      <c r="O279" s="646">
        <f t="shared" si="111"/>
        <v>1610</v>
      </c>
    </row>
    <row r="280" spans="1:15" ht="17.25" thickTop="1" thickBot="1" x14ac:dyDescent="0.3">
      <c r="A280" s="638"/>
      <c r="B280" s="647" t="s">
        <v>381</v>
      </c>
      <c r="C280" s="647">
        <f>+C266+C270+C279+C271+C272+C273+C274+C275+C276+C277</f>
        <v>10094</v>
      </c>
      <c r="D280" s="647">
        <f t="shared" ref="D280:O280" si="112">+D266+D270+D279+D271+D272+D273+D274+D275+D276+D277</f>
        <v>0</v>
      </c>
      <c r="E280" s="647">
        <f t="shared" si="112"/>
        <v>0</v>
      </c>
      <c r="F280" s="647">
        <f t="shared" si="112"/>
        <v>5536</v>
      </c>
      <c r="G280" s="647">
        <f t="shared" si="112"/>
        <v>0</v>
      </c>
      <c r="H280" s="647">
        <f t="shared" si="112"/>
        <v>0</v>
      </c>
      <c r="I280" s="647">
        <f t="shared" si="112"/>
        <v>0</v>
      </c>
      <c r="J280" s="647">
        <f t="shared" si="112"/>
        <v>15630</v>
      </c>
      <c r="K280" s="647">
        <f t="shared" si="112"/>
        <v>0</v>
      </c>
      <c r="L280" s="647">
        <f t="shared" si="112"/>
        <v>15630</v>
      </c>
      <c r="M280" s="647">
        <f t="shared" si="112"/>
        <v>228552</v>
      </c>
      <c r="N280" s="647">
        <f t="shared" si="112"/>
        <v>2294</v>
      </c>
      <c r="O280" s="647">
        <f t="shared" si="112"/>
        <v>246476</v>
      </c>
    </row>
    <row r="281" spans="1:15" ht="17.25" thickTop="1" thickBot="1" x14ac:dyDescent="0.3">
      <c r="A281" s="638"/>
      <c r="B281" s="647" t="s">
        <v>380</v>
      </c>
      <c r="C281" s="647">
        <f t="shared" ref="C281:O281" si="113">+C267+C270+C271+C272+C273+C274+C275+C276+C277</f>
        <v>10094</v>
      </c>
      <c r="D281" s="647">
        <f t="shared" si="113"/>
        <v>0</v>
      </c>
      <c r="E281" s="647">
        <f t="shared" si="113"/>
        <v>0</v>
      </c>
      <c r="F281" s="647">
        <f t="shared" si="113"/>
        <v>5536</v>
      </c>
      <c r="G281" s="647">
        <f t="shared" si="113"/>
        <v>0</v>
      </c>
      <c r="H281" s="647">
        <f t="shared" si="113"/>
        <v>0</v>
      </c>
      <c r="I281" s="647">
        <f t="shared" si="113"/>
        <v>0</v>
      </c>
      <c r="J281" s="647">
        <f t="shared" si="113"/>
        <v>15630</v>
      </c>
      <c r="K281" s="647">
        <f t="shared" si="113"/>
        <v>0</v>
      </c>
      <c r="L281" s="647">
        <f t="shared" si="113"/>
        <v>15630</v>
      </c>
      <c r="M281" s="647">
        <f t="shared" si="113"/>
        <v>226942</v>
      </c>
      <c r="N281" s="647">
        <f t="shared" si="113"/>
        <v>2294</v>
      </c>
      <c r="O281" s="647">
        <f t="shared" si="113"/>
        <v>244866</v>
      </c>
    </row>
    <row r="282" spans="1:15" ht="17.25" thickTop="1" thickBot="1" x14ac:dyDescent="0.3">
      <c r="A282" s="638"/>
      <c r="B282" s="647" t="s">
        <v>379</v>
      </c>
      <c r="C282" s="647">
        <f>+C268+C279</f>
        <v>0</v>
      </c>
      <c r="D282" s="647">
        <f t="shared" ref="D282:O282" si="114">+D268+D279</f>
        <v>0</v>
      </c>
      <c r="E282" s="647">
        <f t="shared" si="114"/>
        <v>0</v>
      </c>
      <c r="F282" s="647">
        <f t="shared" si="114"/>
        <v>0</v>
      </c>
      <c r="G282" s="647">
        <f t="shared" si="114"/>
        <v>0</v>
      </c>
      <c r="H282" s="647">
        <f t="shared" si="114"/>
        <v>0</v>
      </c>
      <c r="I282" s="647">
        <f t="shared" si="114"/>
        <v>0</v>
      </c>
      <c r="J282" s="647">
        <f t="shared" si="114"/>
        <v>0</v>
      </c>
      <c r="K282" s="647">
        <f t="shared" si="114"/>
        <v>0</v>
      </c>
      <c r="L282" s="647">
        <f t="shared" si="114"/>
        <v>0</v>
      </c>
      <c r="M282" s="647">
        <f t="shared" si="114"/>
        <v>1610</v>
      </c>
      <c r="N282" s="647">
        <f t="shared" si="114"/>
        <v>0</v>
      </c>
      <c r="O282" s="647">
        <f t="shared" si="114"/>
        <v>1610</v>
      </c>
    </row>
    <row r="283" spans="1:15" ht="16.5" thickTop="1" x14ac:dyDescent="0.25">
      <c r="A283" s="642" t="s">
        <v>7</v>
      </c>
      <c r="B283" s="670" t="s">
        <v>400</v>
      </c>
      <c r="C283" s="670"/>
      <c r="D283" s="670"/>
      <c r="E283" s="670"/>
      <c r="F283" s="670"/>
      <c r="G283" s="670"/>
      <c r="H283" s="670"/>
      <c r="I283" s="670"/>
      <c r="J283" s="670"/>
      <c r="K283" s="670"/>
      <c r="L283" s="670"/>
      <c r="M283" s="670"/>
      <c r="N283" s="670"/>
      <c r="O283" s="670"/>
    </row>
    <row r="284" spans="1:15" x14ac:dyDescent="0.25">
      <c r="A284" s="642"/>
      <c r="B284" s="671" t="s">
        <v>349</v>
      </c>
      <c r="C284" s="671"/>
      <c r="D284" s="671"/>
      <c r="E284" s="671"/>
      <c r="F284" s="671">
        <f>SUM(F285:F286)</f>
        <v>1894</v>
      </c>
      <c r="G284" s="671"/>
      <c r="H284" s="671"/>
      <c r="I284" s="671"/>
      <c r="J284" s="671">
        <f>SUM(C284+E284+F284+H284)</f>
        <v>1894</v>
      </c>
      <c r="K284" s="671">
        <f>SUM(D284+G284+I284)</f>
        <v>0</v>
      </c>
      <c r="L284" s="671">
        <f>SUM(J284:K284)</f>
        <v>1894</v>
      </c>
      <c r="M284" s="671">
        <f>SUM(M285:M286)</f>
        <v>78697</v>
      </c>
      <c r="N284" s="671"/>
      <c r="O284" s="671">
        <f>SUM(L284:N284)</f>
        <v>80591</v>
      </c>
    </row>
    <row r="285" spans="1:15" s="672" customFormat="1" x14ac:dyDescent="0.25">
      <c r="A285" s="643"/>
      <c r="B285" s="644" t="s">
        <v>383</v>
      </c>
      <c r="C285" s="644"/>
      <c r="D285" s="644"/>
      <c r="E285" s="644"/>
      <c r="F285" s="644">
        <v>1894</v>
      </c>
      <c r="G285" s="644"/>
      <c r="H285" s="644"/>
      <c r="I285" s="644"/>
      <c r="J285" s="645">
        <f>SUM(C285+E285+F285+H285)</f>
        <v>1894</v>
      </c>
      <c r="K285" s="645">
        <f>SUM(D285+G285+I285)</f>
        <v>0</v>
      </c>
      <c r="L285" s="645">
        <f>SUM(J285:K285)</f>
        <v>1894</v>
      </c>
      <c r="M285" s="645">
        <v>78697</v>
      </c>
      <c r="N285" s="645"/>
      <c r="O285" s="645">
        <f>SUM(L285:N285)</f>
        <v>80591</v>
      </c>
    </row>
    <row r="286" spans="1:15" s="672" customFormat="1" x14ac:dyDescent="0.25">
      <c r="A286" s="643"/>
      <c r="B286" s="644" t="s">
        <v>382</v>
      </c>
      <c r="C286" s="644"/>
      <c r="D286" s="644"/>
      <c r="E286" s="644"/>
      <c r="F286" s="644"/>
      <c r="G286" s="644"/>
      <c r="H286" s="644"/>
      <c r="I286" s="644"/>
      <c r="J286" s="645">
        <f>SUM(C286+E286+F286+H286)</f>
        <v>0</v>
      </c>
      <c r="K286" s="645">
        <f>SUM(D286+G286+I286)</f>
        <v>0</v>
      </c>
      <c r="L286" s="645">
        <f>SUM(J286:K286)</f>
        <v>0</v>
      </c>
      <c r="M286" s="645"/>
      <c r="N286" s="645"/>
      <c r="O286" s="645">
        <f>SUM(L286:N286)</f>
        <v>0</v>
      </c>
    </row>
    <row r="287" spans="1:15" s="672" customFormat="1" x14ac:dyDescent="0.25">
      <c r="A287" s="643"/>
      <c r="B287" s="644" t="s">
        <v>132</v>
      </c>
      <c r="C287" s="646"/>
      <c r="D287" s="646"/>
      <c r="E287" s="646"/>
      <c r="F287" s="646"/>
      <c r="G287" s="646"/>
      <c r="H287" s="646"/>
      <c r="I287" s="646"/>
      <c r="J287" s="646"/>
      <c r="K287" s="646"/>
      <c r="L287" s="646"/>
      <c r="M287" s="646"/>
      <c r="N287" s="646"/>
      <c r="O287" s="646"/>
    </row>
    <row r="288" spans="1:15" s="672" customFormat="1" ht="34.5" customHeight="1" x14ac:dyDescent="0.25">
      <c r="A288" s="643"/>
      <c r="B288" s="646" t="s">
        <v>1196</v>
      </c>
      <c r="C288" s="646">
        <v>4492</v>
      </c>
      <c r="D288" s="646"/>
      <c r="E288" s="646"/>
      <c r="F288" s="646"/>
      <c r="G288" s="646"/>
      <c r="H288" s="646"/>
      <c r="I288" s="646"/>
      <c r="J288" s="646">
        <f t="shared" ref="J288:J296" si="115">SUM(C288+E288+F288+H288)</f>
        <v>4492</v>
      </c>
      <c r="K288" s="646">
        <f t="shared" ref="K288:K296" si="116">SUM(D288+G288+I288)</f>
        <v>0</v>
      </c>
      <c r="L288" s="646">
        <f t="shared" ref="L288:L296" si="117">SUM(J288:K288)</f>
        <v>4492</v>
      </c>
      <c r="M288" s="646"/>
      <c r="N288" s="646">
        <v>1595</v>
      </c>
      <c r="O288" s="646">
        <f t="shared" ref="O288:O296" si="118">SUM(L288:N288)</f>
        <v>6087</v>
      </c>
    </row>
    <row r="289" spans="1:15" s="672" customFormat="1" ht="31.5" x14ac:dyDescent="0.25">
      <c r="A289" s="643"/>
      <c r="B289" s="673" t="s">
        <v>1198</v>
      </c>
      <c r="C289" s="646"/>
      <c r="D289" s="646"/>
      <c r="E289" s="646"/>
      <c r="F289" s="646"/>
      <c r="G289" s="646"/>
      <c r="H289" s="646"/>
      <c r="I289" s="646"/>
      <c r="J289" s="646">
        <f t="shared" si="115"/>
        <v>0</v>
      </c>
      <c r="K289" s="646">
        <f t="shared" si="116"/>
        <v>0</v>
      </c>
      <c r="L289" s="646">
        <f t="shared" si="117"/>
        <v>0</v>
      </c>
      <c r="M289" s="646">
        <v>-523</v>
      </c>
      <c r="N289" s="646"/>
      <c r="O289" s="646">
        <f t="shared" si="118"/>
        <v>-523</v>
      </c>
    </row>
    <row r="290" spans="1:15" s="672" customFormat="1" x14ac:dyDescent="0.25">
      <c r="A290" s="643"/>
      <c r="B290" s="646" t="s">
        <v>1199</v>
      </c>
      <c r="C290" s="646"/>
      <c r="D290" s="646"/>
      <c r="E290" s="646"/>
      <c r="F290" s="646"/>
      <c r="G290" s="646"/>
      <c r="H290" s="646"/>
      <c r="I290" s="646"/>
      <c r="J290" s="646">
        <f t="shared" si="115"/>
        <v>0</v>
      </c>
      <c r="K290" s="646">
        <f t="shared" si="116"/>
        <v>0</v>
      </c>
      <c r="L290" s="646">
        <f t="shared" si="117"/>
        <v>0</v>
      </c>
      <c r="M290" s="646">
        <v>-179</v>
      </c>
      <c r="N290" s="646"/>
      <c r="O290" s="646">
        <f t="shared" si="118"/>
        <v>-179</v>
      </c>
    </row>
    <row r="291" spans="1:15" s="672" customFormat="1" ht="31.5" x14ac:dyDescent="0.25">
      <c r="A291" s="643"/>
      <c r="B291" s="646" t="s">
        <v>1207</v>
      </c>
      <c r="C291" s="646"/>
      <c r="D291" s="646"/>
      <c r="E291" s="646"/>
      <c r="F291" s="646"/>
      <c r="G291" s="646"/>
      <c r="H291" s="646"/>
      <c r="I291" s="646"/>
      <c r="J291" s="646">
        <f t="shared" si="115"/>
        <v>0</v>
      </c>
      <c r="K291" s="646">
        <f t="shared" si="116"/>
        <v>0</v>
      </c>
      <c r="L291" s="646">
        <f t="shared" si="117"/>
        <v>0</v>
      </c>
      <c r="M291" s="646">
        <v>93</v>
      </c>
      <c r="N291" s="646"/>
      <c r="O291" s="646">
        <f t="shared" si="118"/>
        <v>93</v>
      </c>
    </row>
    <row r="292" spans="1:15" s="672" customFormat="1" ht="47.25" x14ac:dyDescent="0.25">
      <c r="A292" s="643"/>
      <c r="B292" s="646" t="s">
        <v>1200</v>
      </c>
      <c r="C292" s="646"/>
      <c r="D292" s="646"/>
      <c r="E292" s="646"/>
      <c r="F292" s="646"/>
      <c r="G292" s="646"/>
      <c r="H292" s="646"/>
      <c r="I292" s="646"/>
      <c r="J292" s="646">
        <f t="shared" si="115"/>
        <v>0</v>
      </c>
      <c r="K292" s="646">
        <f t="shared" si="116"/>
        <v>0</v>
      </c>
      <c r="L292" s="646">
        <f t="shared" si="117"/>
        <v>0</v>
      </c>
      <c r="M292" s="646">
        <v>666</v>
      </c>
      <c r="N292" s="646"/>
      <c r="O292" s="646">
        <f t="shared" si="118"/>
        <v>666</v>
      </c>
    </row>
    <row r="293" spans="1:15" s="672" customFormat="1" x14ac:dyDescent="0.25">
      <c r="A293" s="643"/>
      <c r="B293" s="646" t="s">
        <v>1201</v>
      </c>
      <c r="C293" s="646"/>
      <c r="D293" s="646"/>
      <c r="E293" s="646"/>
      <c r="F293" s="646"/>
      <c r="G293" s="646"/>
      <c r="H293" s="646"/>
      <c r="I293" s="646"/>
      <c r="J293" s="646">
        <f t="shared" si="115"/>
        <v>0</v>
      </c>
      <c r="K293" s="646">
        <f t="shared" si="116"/>
        <v>0</v>
      </c>
      <c r="L293" s="646">
        <f t="shared" si="117"/>
        <v>0</v>
      </c>
      <c r="M293" s="646">
        <v>-1444</v>
      </c>
      <c r="N293" s="646"/>
      <c r="O293" s="646">
        <f t="shared" si="118"/>
        <v>-1444</v>
      </c>
    </row>
    <row r="294" spans="1:15" s="672" customFormat="1" ht="31.5" x14ac:dyDescent="0.25">
      <c r="A294" s="643"/>
      <c r="B294" s="646" t="s">
        <v>1202</v>
      </c>
      <c r="C294" s="646"/>
      <c r="D294" s="646"/>
      <c r="E294" s="646"/>
      <c r="F294" s="646"/>
      <c r="G294" s="646"/>
      <c r="H294" s="646"/>
      <c r="I294" s="646"/>
      <c r="J294" s="646">
        <f t="shared" si="115"/>
        <v>0</v>
      </c>
      <c r="K294" s="646">
        <f t="shared" si="116"/>
        <v>0</v>
      </c>
      <c r="L294" s="646">
        <f t="shared" si="117"/>
        <v>0</v>
      </c>
      <c r="M294" s="646">
        <v>118</v>
      </c>
      <c r="N294" s="646"/>
      <c r="O294" s="646">
        <f t="shared" si="118"/>
        <v>118</v>
      </c>
    </row>
    <row r="295" spans="1:15" s="672" customFormat="1" x14ac:dyDescent="0.25">
      <c r="A295" s="643"/>
      <c r="B295" s="644" t="s">
        <v>133</v>
      </c>
      <c r="C295" s="646"/>
      <c r="D295" s="646"/>
      <c r="E295" s="646"/>
      <c r="F295" s="646"/>
      <c r="G295" s="646"/>
      <c r="H295" s="646"/>
      <c r="I295" s="646"/>
      <c r="J295" s="646"/>
      <c r="K295" s="646"/>
      <c r="L295" s="646"/>
      <c r="M295" s="646"/>
      <c r="N295" s="646"/>
      <c r="O295" s="646"/>
    </row>
    <row r="296" spans="1:15" s="672" customFormat="1" ht="16.5" thickBot="1" x14ac:dyDescent="0.3">
      <c r="A296" s="643"/>
      <c r="B296" s="646" t="s">
        <v>1204</v>
      </c>
      <c r="C296" s="646"/>
      <c r="D296" s="646"/>
      <c r="E296" s="646"/>
      <c r="F296" s="646"/>
      <c r="G296" s="646"/>
      <c r="H296" s="646"/>
      <c r="I296" s="646"/>
      <c r="J296" s="646">
        <f t="shared" si="115"/>
        <v>0</v>
      </c>
      <c r="K296" s="646">
        <f t="shared" si="116"/>
        <v>0</v>
      </c>
      <c r="L296" s="646">
        <f t="shared" si="117"/>
        <v>0</v>
      </c>
      <c r="M296" s="646">
        <v>701</v>
      </c>
      <c r="N296" s="646"/>
      <c r="O296" s="646">
        <f t="shared" si="118"/>
        <v>701</v>
      </c>
    </row>
    <row r="297" spans="1:15" ht="17.25" thickTop="1" thickBot="1" x14ac:dyDescent="0.3">
      <c r="A297" s="638"/>
      <c r="B297" s="647" t="s">
        <v>381</v>
      </c>
      <c r="C297" s="647">
        <f>+C284+C288+C296+C289+C290+C291+C292+C293+C294</f>
        <v>4492</v>
      </c>
      <c r="D297" s="647">
        <f t="shared" ref="D297:O297" si="119">+D284+D288+D296+D289+D290+D291+D292+D293+D294</f>
        <v>0</v>
      </c>
      <c r="E297" s="647">
        <f t="shared" si="119"/>
        <v>0</v>
      </c>
      <c r="F297" s="647">
        <f t="shared" si="119"/>
        <v>1894</v>
      </c>
      <c r="G297" s="647">
        <f t="shared" si="119"/>
        <v>0</v>
      </c>
      <c r="H297" s="647">
        <f t="shared" si="119"/>
        <v>0</v>
      </c>
      <c r="I297" s="647">
        <f t="shared" si="119"/>
        <v>0</v>
      </c>
      <c r="J297" s="647">
        <f t="shared" si="119"/>
        <v>6386</v>
      </c>
      <c r="K297" s="647">
        <f t="shared" si="119"/>
        <v>0</v>
      </c>
      <c r="L297" s="647">
        <f t="shared" si="119"/>
        <v>6386</v>
      </c>
      <c r="M297" s="647">
        <f t="shared" si="119"/>
        <v>78129</v>
      </c>
      <c r="N297" s="647">
        <f t="shared" si="119"/>
        <v>1595</v>
      </c>
      <c r="O297" s="647">
        <f t="shared" si="119"/>
        <v>86110</v>
      </c>
    </row>
    <row r="298" spans="1:15" ht="17.25" thickTop="1" thickBot="1" x14ac:dyDescent="0.3">
      <c r="A298" s="638"/>
      <c r="B298" s="647" t="s">
        <v>380</v>
      </c>
      <c r="C298" s="647">
        <f t="shared" ref="C298:O298" si="120">+C285+C288+C289+C290+C291+C292+C293+C294</f>
        <v>4492</v>
      </c>
      <c r="D298" s="647">
        <f t="shared" si="120"/>
        <v>0</v>
      </c>
      <c r="E298" s="647">
        <f t="shared" si="120"/>
        <v>0</v>
      </c>
      <c r="F298" s="647">
        <f t="shared" si="120"/>
        <v>1894</v>
      </c>
      <c r="G298" s="647">
        <f t="shared" si="120"/>
        <v>0</v>
      </c>
      <c r="H298" s="647">
        <f t="shared" si="120"/>
        <v>0</v>
      </c>
      <c r="I298" s="647">
        <f t="shared" si="120"/>
        <v>0</v>
      </c>
      <c r="J298" s="647">
        <f t="shared" si="120"/>
        <v>6386</v>
      </c>
      <c r="K298" s="647">
        <f t="shared" si="120"/>
        <v>0</v>
      </c>
      <c r="L298" s="647">
        <f t="shared" si="120"/>
        <v>6386</v>
      </c>
      <c r="M298" s="647">
        <f t="shared" si="120"/>
        <v>77428</v>
      </c>
      <c r="N298" s="647">
        <f t="shared" si="120"/>
        <v>1595</v>
      </c>
      <c r="O298" s="647">
        <f t="shared" si="120"/>
        <v>85409</v>
      </c>
    </row>
    <row r="299" spans="1:15" ht="17.25" thickTop="1" thickBot="1" x14ac:dyDescent="0.3">
      <c r="A299" s="638"/>
      <c r="B299" s="647" t="s">
        <v>379</v>
      </c>
      <c r="C299" s="647">
        <f>+C286+C296</f>
        <v>0</v>
      </c>
      <c r="D299" s="647">
        <f t="shared" ref="D299:O299" si="121">+D286+D296</f>
        <v>0</v>
      </c>
      <c r="E299" s="647">
        <f t="shared" si="121"/>
        <v>0</v>
      </c>
      <c r="F299" s="647">
        <f t="shared" si="121"/>
        <v>0</v>
      </c>
      <c r="G299" s="647">
        <f t="shared" si="121"/>
        <v>0</v>
      </c>
      <c r="H299" s="647">
        <f t="shared" si="121"/>
        <v>0</v>
      </c>
      <c r="I299" s="647">
        <f t="shared" si="121"/>
        <v>0</v>
      </c>
      <c r="J299" s="647">
        <f t="shared" si="121"/>
        <v>0</v>
      </c>
      <c r="K299" s="647">
        <f t="shared" si="121"/>
        <v>0</v>
      </c>
      <c r="L299" s="647">
        <f t="shared" si="121"/>
        <v>0</v>
      </c>
      <c r="M299" s="647">
        <f t="shared" si="121"/>
        <v>701</v>
      </c>
      <c r="N299" s="647">
        <f t="shared" si="121"/>
        <v>0</v>
      </c>
      <c r="O299" s="647">
        <f t="shared" si="121"/>
        <v>701</v>
      </c>
    </row>
    <row r="300" spans="1:15" ht="16.5" thickTop="1" x14ac:dyDescent="0.25">
      <c r="A300" s="648" t="s">
        <v>8</v>
      </c>
      <c r="B300" s="670" t="s">
        <v>447</v>
      </c>
      <c r="C300" s="670"/>
      <c r="D300" s="670"/>
      <c r="E300" s="670"/>
      <c r="F300" s="670"/>
      <c r="G300" s="670"/>
      <c r="H300" s="670"/>
      <c r="I300" s="670"/>
      <c r="J300" s="670"/>
      <c r="K300" s="670"/>
      <c r="L300" s="670"/>
      <c r="M300" s="670"/>
      <c r="N300" s="670"/>
      <c r="O300" s="670"/>
    </row>
    <row r="301" spans="1:15" x14ac:dyDescent="0.25">
      <c r="A301" s="648"/>
      <c r="B301" s="670" t="s">
        <v>349</v>
      </c>
      <c r="C301" s="670"/>
      <c r="D301" s="670"/>
      <c r="E301" s="670"/>
      <c r="F301" s="670">
        <f>SUM(F302:F303)</f>
        <v>7688</v>
      </c>
      <c r="G301" s="670"/>
      <c r="H301" s="670"/>
      <c r="I301" s="670"/>
      <c r="J301" s="671">
        <f>SUM(C301+E301+F301+H301)</f>
        <v>7688</v>
      </c>
      <c r="K301" s="671">
        <f>SUM(D301+G301+I301)</f>
        <v>0</v>
      </c>
      <c r="L301" s="671">
        <f>SUM(J301:K301)</f>
        <v>7688</v>
      </c>
      <c r="M301" s="671">
        <f>SUM(M302:M303)</f>
        <v>289134</v>
      </c>
      <c r="N301" s="671"/>
      <c r="O301" s="671">
        <f>SUM(L301:N301)</f>
        <v>296822</v>
      </c>
    </row>
    <row r="302" spans="1:15" s="672" customFormat="1" x14ac:dyDescent="0.25">
      <c r="A302" s="649"/>
      <c r="B302" s="650" t="s">
        <v>383</v>
      </c>
      <c r="C302" s="650"/>
      <c r="D302" s="650"/>
      <c r="E302" s="650"/>
      <c r="F302" s="650">
        <v>7688</v>
      </c>
      <c r="G302" s="650"/>
      <c r="H302" s="650"/>
      <c r="I302" s="650"/>
      <c r="J302" s="651">
        <f>SUM(C302+E302+F302+H302)</f>
        <v>7688</v>
      </c>
      <c r="K302" s="651">
        <f>SUM(D302+G302+I302)</f>
        <v>0</v>
      </c>
      <c r="L302" s="651">
        <f>SUM(J302:K302)</f>
        <v>7688</v>
      </c>
      <c r="M302" s="651">
        <v>289134</v>
      </c>
      <c r="N302" s="651"/>
      <c r="O302" s="651">
        <f>SUM(L302:N302)</f>
        <v>296822</v>
      </c>
    </row>
    <row r="303" spans="1:15" s="672" customFormat="1" x14ac:dyDescent="0.25">
      <c r="A303" s="643"/>
      <c r="B303" s="644" t="s">
        <v>382</v>
      </c>
      <c r="C303" s="644"/>
      <c r="D303" s="644"/>
      <c r="E303" s="644"/>
      <c r="F303" s="644"/>
      <c r="G303" s="644"/>
      <c r="H303" s="644"/>
      <c r="I303" s="644"/>
      <c r="J303" s="645">
        <f>SUM(C303+E303+F303+H303)</f>
        <v>0</v>
      </c>
      <c r="K303" s="645">
        <f>SUM(D303+G303+I303)</f>
        <v>0</v>
      </c>
      <c r="L303" s="645">
        <f>SUM(J303:K303)</f>
        <v>0</v>
      </c>
      <c r="M303" s="645"/>
      <c r="N303" s="645"/>
      <c r="O303" s="645">
        <f>SUM(L303:N303)</f>
        <v>0</v>
      </c>
    </row>
    <row r="304" spans="1:15" s="672" customFormat="1" x14ac:dyDescent="0.25">
      <c r="A304" s="643"/>
      <c r="B304" s="644" t="s">
        <v>132</v>
      </c>
      <c r="C304" s="646"/>
      <c r="D304" s="646"/>
      <c r="E304" s="646"/>
      <c r="F304" s="646"/>
      <c r="G304" s="646"/>
      <c r="H304" s="646"/>
      <c r="I304" s="646"/>
      <c r="J304" s="646"/>
      <c r="K304" s="646"/>
      <c r="L304" s="646"/>
      <c r="M304" s="646"/>
      <c r="N304" s="646"/>
      <c r="O304" s="646"/>
    </row>
    <row r="305" spans="1:15" s="672" customFormat="1" ht="33" customHeight="1" x14ac:dyDescent="0.25">
      <c r="A305" s="643"/>
      <c r="B305" s="646" t="s">
        <v>1196</v>
      </c>
      <c r="C305" s="646">
        <v>16828</v>
      </c>
      <c r="D305" s="646"/>
      <c r="E305" s="646"/>
      <c r="F305" s="646"/>
      <c r="G305" s="646"/>
      <c r="H305" s="646"/>
      <c r="I305" s="646"/>
      <c r="J305" s="646">
        <f t="shared" ref="J305:J314" si="122">SUM(C305+E305+F305+H305)</f>
        <v>16828</v>
      </c>
      <c r="K305" s="646">
        <f t="shared" ref="K305:K314" si="123">SUM(D305+G305+I305)</f>
        <v>0</v>
      </c>
      <c r="L305" s="646">
        <f t="shared" ref="L305:L314" si="124">SUM(J305:K305)</f>
        <v>16828</v>
      </c>
      <c r="M305" s="646"/>
      <c r="N305" s="646">
        <v>1226</v>
      </c>
      <c r="O305" s="646">
        <f t="shared" ref="O305:O314" si="125">SUM(L305:N305)</f>
        <v>18054</v>
      </c>
    </row>
    <row r="306" spans="1:15" s="672" customFormat="1" ht="31.5" x14ac:dyDescent="0.25">
      <c r="A306" s="643"/>
      <c r="B306" s="673" t="s">
        <v>1198</v>
      </c>
      <c r="C306" s="646"/>
      <c r="D306" s="646"/>
      <c r="E306" s="646"/>
      <c r="F306" s="646"/>
      <c r="G306" s="646"/>
      <c r="H306" s="646"/>
      <c r="I306" s="646"/>
      <c r="J306" s="646">
        <f t="shared" si="122"/>
        <v>0</v>
      </c>
      <c r="K306" s="646">
        <f t="shared" si="123"/>
        <v>0</v>
      </c>
      <c r="L306" s="646">
        <f t="shared" si="124"/>
        <v>0</v>
      </c>
      <c r="M306" s="646">
        <v>-1849</v>
      </c>
      <c r="N306" s="646"/>
      <c r="O306" s="646">
        <f t="shared" si="125"/>
        <v>-1849</v>
      </c>
    </row>
    <row r="307" spans="1:15" s="672" customFormat="1" x14ac:dyDescent="0.25">
      <c r="A307" s="643"/>
      <c r="B307" s="646" t="s">
        <v>1199</v>
      </c>
      <c r="C307" s="646"/>
      <c r="D307" s="646"/>
      <c r="E307" s="646"/>
      <c r="F307" s="646"/>
      <c r="G307" s="646"/>
      <c r="H307" s="646"/>
      <c r="I307" s="646"/>
      <c r="J307" s="646">
        <f t="shared" si="122"/>
        <v>0</v>
      </c>
      <c r="K307" s="646">
        <f t="shared" si="123"/>
        <v>0</v>
      </c>
      <c r="L307" s="646">
        <f t="shared" si="124"/>
        <v>0</v>
      </c>
      <c r="M307" s="646">
        <v>-699</v>
      </c>
      <c r="N307" s="646"/>
      <c r="O307" s="646">
        <f t="shared" si="125"/>
        <v>-699</v>
      </c>
    </row>
    <row r="308" spans="1:15" s="672" customFormat="1" ht="31.5" x14ac:dyDescent="0.25">
      <c r="A308" s="643"/>
      <c r="B308" s="646" t="s">
        <v>1207</v>
      </c>
      <c r="C308" s="646"/>
      <c r="D308" s="646"/>
      <c r="E308" s="646"/>
      <c r="F308" s="646"/>
      <c r="G308" s="646"/>
      <c r="H308" s="646"/>
      <c r="I308" s="646"/>
      <c r="J308" s="646">
        <f t="shared" si="122"/>
        <v>0</v>
      </c>
      <c r="K308" s="646">
        <f t="shared" si="123"/>
        <v>0</v>
      </c>
      <c r="L308" s="646">
        <f t="shared" si="124"/>
        <v>0</v>
      </c>
      <c r="M308" s="646">
        <v>187</v>
      </c>
      <c r="N308" s="646"/>
      <c r="O308" s="646">
        <f t="shared" si="125"/>
        <v>187</v>
      </c>
    </row>
    <row r="309" spans="1:15" s="672" customFormat="1" ht="47.25" x14ac:dyDescent="0.25">
      <c r="A309" s="643"/>
      <c r="B309" s="646" t="s">
        <v>1200</v>
      </c>
      <c r="C309" s="646"/>
      <c r="D309" s="646"/>
      <c r="E309" s="646"/>
      <c r="F309" s="646"/>
      <c r="G309" s="646"/>
      <c r="H309" s="646"/>
      <c r="I309" s="646"/>
      <c r="J309" s="646">
        <f t="shared" si="122"/>
        <v>0</v>
      </c>
      <c r="K309" s="646">
        <f t="shared" si="123"/>
        <v>0</v>
      </c>
      <c r="L309" s="646">
        <f t="shared" si="124"/>
        <v>0</v>
      </c>
      <c r="M309" s="646">
        <v>1052</v>
      </c>
      <c r="N309" s="646"/>
      <c r="O309" s="646">
        <f t="shared" si="125"/>
        <v>1052</v>
      </c>
    </row>
    <row r="310" spans="1:15" s="672" customFormat="1" x14ac:dyDescent="0.25">
      <c r="A310" s="643"/>
      <c r="B310" s="646" t="s">
        <v>1201</v>
      </c>
      <c r="C310" s="646"/>
      <c r="D310" s="646"/>
      <c r="E310" s="646"/>
      <c r="F310" s="646"/>
      <c r="G310" s="646"/>
      <c r="H310" s="646"/>
      <c r="I310" s="646"/>
      <c r="J310" s="646">
        <f t="shared" si="122"/>
        <v>0</v>
      </c>
      <c r="K310" s="646">
        <f t="shared" si="123"/>
        <v>0</v>
      </c>
      <c r="L310" s="646">
        <f t="shared" si="124"/>
        <v>0</v>
      </c>
      <c r="M310" s="646">
        <v>-5379</v>
      </c>
      <c r="N310" s="646"/>
      <c r="O310" s="646">
        <f t="shared" si="125"/>
        <v>-5379</v>
      </c>
    </row>
    <row r="311" spans="1:15" s="672" customFormat="1" ht="33.75" customHeight="1" x14ac:dyDescent="0.25">
      <c r="A311" s="643"/>
      <c r="B311" s="646" t="s">
        <v>1210</v>
      </c>
      <c r="C311" s="646"/>
      <c r="D311" s="646"/>
      <c r="E311" s="646"/>
      <c r="F311" s="646"/>
      <c r="G311" s="646"/>
      <c r="H311" s="646"/>
      <c r="I311" s="646"/>
      <c r="J311" s="646">
        <f t="shared" si="122"/>
        <v>0</v>
      </c>
      <c r="K311" s="646">
        <f t="shared" si="123"/>
        <v>0</v>
      </c>
      <c r="L311" s="646">
        <f t="shared" si="124"/>
        <v>0</v>
      </c>
      <c r="M311" s="646">
        <v>1000</v>
      </c>
      <c r="N311" s="646"/>
      <c r="O311" s="646">
        <f t="shared" si="125"/>
        <v>1000</v>
      </c>
    </row>
    <row r="312" spans="1:15" s="672" customFormat="1" ht="33.75" customHeight="1" x14ac:dyDescent="0.25">
      <c r="A312" s="643"/>
      <c r="B312" s="646" t="s">
        <v>1208</v>
      </c>
      <c r="C312" s="646"/>
      <c r="D312" s="646"/>
      <c r="E312" s="646"/>
      <c r="F312" s="646"/>
      <c r="G312" s="646"/>
      <c r="H312" s="646"/>
      <c r="I312" s="646"/>
      <c r="J312" s="646">
        <f t="shared" si="122"/>
        <v>0</v>
      </c>
      <c r="K312" s="646">
        <f t="shared" si="123"/>
        <v>0</v>
      </c>
      <c r="L312" s="646">
        <f t="shared" si="124"/>
        <v>0</v>
      </c>
      <c r="M312" s="646">
        <v>460</v>
      </c>
      <c r="N312" s="646"/>
      <c r="O312" s="646">
        <f t="shared" si="125"/>
        <v>460</v>
      </c>
    </row>
    <row r="313" spans="1:15" s="672" customFormat="1" x14ac:dyDescent="0.25">
      <c r="A313" s="643"/>
      <c r="B313" s="644" t="s">
        <v>133</v>
      </c>
      <c r="C313" s="646"/>
      <c r="D313" s="646"/>
      <c r="E313" s="646"/>
      <c r="F313" s="646"/>
      <c r="G313" s="646"/>
      <c r="H313" s="646"/>
      <c r="I313" s="646"/>
      <c r="J313" s="646"/>
      <c r="K313" s="646"/>
      <c r="L313" s="646"/>
      <c r="M313" s="646"/>
      <c r="N313" s="646"/>
      <c r="O313" s="646"/>
    </row>
    <row r="314" spans="1:15" s="672" customFormat="1" ht="16.5" thickBot="1" x14ac:dyDescent="0.3">
      <c r="A314" s="643"/>
      <c r="B314" s="646" t="s">
        <v>1204</v>
      </c>
      <c r="C314" s="646"/>
      <c r="D314" s="646"/>
      <c r="E314" s="646"/>
      <c r="F314" s="646"/>
      <c r="G314" s="646"/>
      <c r="H314" s="646"/>
      <c r="I314" s="646"/>
      <c r="J314" s="646">
        <f t="shared" si="122"/>
        <v>0</v>
      </c>
      <c r="K314" s="646">
        <f t="shared" si="123"/>
        <v>0</v>
      </c>
      <c r="L314" s="646">
        <f t="shared" si="124"/>
        <v>0</v>
      </c>
      <c r="M314" s="646">
        <v>2415</v>
      </c>
      <c r="N314" s="646"/>
      <c r="O314" s="646">
        <f t="shared" si="125"/>
        <v>2415</v>
      </c>
    </row>
    <row r="315" spans="1:15" ht="17.25" thickTop="1" thickBot="1" x14ac:dyDescent="0.3">
      <c r="A315" s="638"/>
      <c r="B315" s="647" t="s">
        <v>381</v>
      </c>
      <c r="C315" s="647">
        <f>+C301+C305+C314+C306+C307+C308+C309+C310+C311+C312</f>
        <v>16828</v>
      </c>
      <c r="D315" s="647">
        <f t="shared" ref="D315:O315" si="126">+D301+D305+D314+D306+D307+D308+D309+D310+D311+D312</f>
        <v>0</v>
      </c>
      <c r="E315" s="647">
        <f t="shared" si="126"/>
        <v>0</v>
      </c>
      <c r="F315" s="647">
        <f t="shared" si="126"/>
        <v>7688</v>
      </c>
      <c r="G315" s="647">
        <f t="shared" si="126"/>
        <v>0</v>
      </c>
      <c r="H315" s="647">
        <f t="shared" si="126"/>
        <v>0</v>
      </c>
      <c r="I315" s="647">
        <f t="shared" si="126"/>
        <v>0</v>
      </c>
      <c r="J315" s="647">
        <f t="shared" si="126"/>
        <v>24516</v>
      </c>
      <c r="K315" s="647">
        <f t="shared" si="126"/>
        <v>0</v>
      </c>
      <c r="L315" s="647">
        <f t="shared" si="126"/>
        <v>24516</v>
      </c>
      <c r="M315" s="647">
        <f t="shared" si="126"/>
        <v>286321</v>
      </c>
      <c r="N315" s="647">
        <f t="shared" si="126"/>
        <v>1226</v>
      </c>
      <c r="O315" s="647">
        <f t="shared" si="126"/>
        <v>312063</v>
      </c>
    </row>
    <row r="316" spans="1:15" ht="17.25" thickTop="1" thickBot="1" x14ac:dyDescent="0.3">
      <c r="A316" s="638"/>
      <c r="B316" s="647" t="s">
        <v>380</v>
      </c>
      <c r="C316" s="647">
        <f t="shared" ref="C316:O316" si="127">+C302+C305+C306+C307+C308+C309+C310+C311+C312</f>
        <v>16828</v>
      </c>
      <c r="D316" s="647">
        <f t="shared" si="127"/>
        <v>0</v>
      </c>
      <c r="E316" s="647">
        <f t="shared" si="127"/>
        <v>0</v>
      </c>
      <c r="F316" s="647">
        <f t="shared" si="127"/>
        <v>7688</v>
      </c>
      <c r="G316" s="647">
        <f t="shared" si="127"/>
        <v>0</v>
      </c>
      <c r="H316" s="647">
        <f t="shared" si="127"/>
        <v>0</v>
      </c>
      <c r="I316" s="647">
        <f t="shared" si="127"/>
        <v>0</v>
      </c>
      <c r="J316" s="647">
        <f t="shared" si="127"/>
        <v>24516</v>
      </c>
      <c r="K316" s="647">
        <f t="shared" si="127"/>
        <v>0</v>
      </c>
      <c r="L316" s="647">
        <f t="shared" si="127"/>
        <v>24516</v>
      </c>
      <c r="M316" s="647">
        <f t="shared" si="127"/>
        <v>283906</v>
      </c>
      <c r="N316" s="647">
        <f t="shared" si="127"/>
        <v>1226</v>
      </c>
      <c r="O316" s="647">
        <f t="shared" si="127"/>
        <v>309648</v>
      </c>
    </row>
    <row r="317" spans="1:15" ht="17.25" thickTop="1" thickBot="1" x14ac:dyDescent="0.3">
      <c r="A317" s="638"/>
      <c r="B317" s="647" t="s">
        <v>379</v>
      </c>
      <c r="C317" s="647">
        <f>+C303+C314</f>
        <v>0</v>
      </c>
      <c r="D317" s="647">
        <f t="shared" ref="D317:O317" si="128">+D303+D314</f>
        <v>0</v>
      </c>
      <c r="E317" s="647">
        <f t="shared" si="128"/>
        <v>0</v>
      </c>
      <c r="F317" s="647">
        <f t="shared" si="128"/>
        <v>0</v>
      </c>
      <c r="G317" s="647">
        <f t="shared" si="128"/>
        <v>0</v>
      </c>
      <c r="H317" s="647">
        <f t="shared" si="128"/>
        <v>0</v>
      </c>
      <c r="I317" s="647">
        <f t="shared" si="128"/>
        <v>0</v>
      </c>
      <c r="J317" s="647">
        <f t="shared" si="128"/>
        <v>0</v>
      </c>
      <c r="K317" s="647">
        <f t="shared" si="128"/>
        <v>0</v>
      </c>
      <c r="L317" s="647">
        <f t="shared" si="128"/>
        <v>0</v>
      </c>
      <c r="M317" s="647">
        <f t="shared" si="128"/>
        <v>2415</v>
      </c>
      <c r="N317" s="647">
        <f t="shared" si="128"/>
        <v>0</v>
      </c>
      <c r="O317" s="647">
        <f t="shared" si="128"/>
        <v>2415</v>
      </c>
    </row>
    <row r="318" spans="1:15" ht="16.5" thickTop="1" x14ac:dyDescent="0.25">
      <c r="A318" s="642" t="s">
        <v>9</v>
      </c>
      <c r="B318" s="670" t="s">
        <v>399</v>
      </c>
      <c r="C318" s="670"/>
      <c r="D318" s="670"/>
      <c r="E318" s="670"/>
      <c r="F318" s="670"/>
      <c r="G318" s="670"/>
      <c r="H318" s="670"/>
      <c r="I318" s="670"/>
      <c r="J318" s="670"/>
      <c r="K318" s="670"/>
      <c r="L318" s="670"/>
      <c r="M318" s="670"/>
      <c r="N318" s="670"/>
      <c r="O318" s="670"/>
    </row>
    <row r="319" spans="1:15" x14ac:dyDescent="0.25">
      <c r="A319" s="642"/>
      <c r="B319" s="671" t="s">
        <v>349</v>
      </c>
      <c r="C319" s="671"/>
      <c r="D319" s="671"/>
      <c r="E319" s="671"/>
      <c r="F319" s="671">
        <f>SUM(F320:F321)</f>
        <v>9766</v>
      </c>
      <c r="G319" s="671"/>
      <c r="H319" s="671"/>
      <c r="I319" s="671"/>
      <c r="J319" s="671">
        <f>SUM(C319+E319+F319+H319)</f>
        <v>9766</v>
      </c>
      <c r="K319" s="671">
        <f>SUM(D319+G319+I319)</f>
        <v>0</v>
      </c>
      <c r="L319" s="671">
        <f>SUM(J319:K319)</f>
        <v>9766</v>
      </c>
      <c r="M319" s="671">
        <f>SUM(M320:M321)</f>
        <v>204841</v>
      </c>
      <c r="N319" s="671"/>
      <c r="O319" s="671">
        <f>SUM(L319:N319)</f>
        <v>214607</v>
      </c>
    </row>
    <row r="320" spans="1:15" s="672" customFormat="1" x14ac:dyDescent="0.25">
      <c r="A320" s="643"/>
      <c r="B320" s="644" t="s">
        <v>383</v>
      </c>
      <c r="C320" s="644"/>
      <c r="D320" s="644"/>
      <c r="E320" s="644"/>
      <c r="F320" s="644">
        <v>9766</v>
      </c>
      <c r="G320" s="644"/>
      <c r="H320" s="644"/>
      <c r="I320" s="655"/>
      <c r="J320" s="653">
        <f>SUM(C320+E320+F320+H320)</f>
        <v>9766</v>
      </c>
      <c r="K320" s="653">
        <f>SUM(D320+G320+I320)</f>
        <v>0</v>
      </c>
      <c r="L320" s="645">
        <f>SUM(J320:K320)</f>
        <v>9766</v>
      </c>
      <c r="M320" s="645">
        <v>204841</v>
      </c>
      <c r="N320" s="645"/>
      <c r="O320" s="645">
        <f>SUM(L320:N320)</f>
        <v>214607</v>
      </c>
    </row>
    <row r="321" spans="1:15" s="672" customFormat="1" x14ac:dyDescent="0.25">
      <c r="A321" s="643"/>
      <c r="B321" s="644" t="s">
        <v>382</v>
      </c>
      <c r="C321" s="644"/>
      <c r="D321" s="644"/>
      <c r="E321" s="644"/>
      <c r="F321" s="644"/>
      <c r="G321" s="644"/>
      <c r="H321" s="644"/>
      <c r="I321" s="655"/>
      <c r="J321" s="655">
        <f>SUM(C321+E321+F321+H321)</f>
        <v>0</v>
      </c>
      <c r="K321" s="655">
        <f>SUM(D321+G321+I321)</f>
        <v>0</v>
      </c>
      <c r="L321" s="644">
        <f>SUM(J321:K321)</f>
        <v>0</v>
      </c>
      <c r="M321" s="644"/>
      <c r="N321" s="644"/>
      <c r="O321" s="644">
        <f>SUM(L321:N321)</f>
        <v>0</v>
      </c>
    </row>
    <row r="322" spans="1:15" s="672" customFormat="1" x14ac:dyDescent="0.25">
      <c r="A322" s="649"/>
      <c r="B322" s="656" t="s">
        <v>132</v>
      </c>
      <c r="C322" s="658"/>
      <c r="D322" s="658"/>
      <c r="E322" s="658"/>
      <c r="F322" s="658"/>
      <c r="G322" s="658"/>
      <c r="H322" s="658"/>
      <c r="I322" s="658"/>
      <c r="J322" s="658"/>
      <c r="K322" s="658"/>
      <c r="L322" s="658"/>
      <c r="M322" s="658"/>
      <c r="N322" s="658"/>
      <c r="O322" s="658"/>
    </row>
    <row r="323" spans="1:15" s="672" customFormat="1" ht="35.25" customHeight="1" x14ac:dyDescent="0.25">
      <c r="A323" s="649"/>
      <c r="B323" s="658" t="s">
        <v>1196</v>
      </c>
      <c r="C323" s="658">
        <v>9777</v>
      </c>
      <c r="D323" s="658"/>
      <c r="E323" s="658"/>
      <c r="F323" s="658"/>
      <c r="G323" s="658"/>
      <c r="H323" s="658"/>
      <c r="I323" s="658"/>
      <c r="J323" s="658">
        <f t="shared" ref="J323:J331" si="129">SUM(C323+E323+F323+H323)</f>
        <v>9777</v>
      </c>
      <c r="K323" s="658">
        <f t="shared" ref="K323:K331" si="130">SUM(D323+G323+I323)</f>
        <v>0</v>
      </c>
      <c r="L323" s="658">
        <f t="shared" ref="L323:L331" si="131">SUM(J323:K323)</f>
        <v>9777</v>
      </c>
      <c r="M323" s="658"/>
      <c r="N323" s="658">
        <v>6047</v>
      </c>
      <c r="O323" s="658">
        <f t="shared" ref="O323:O331" si="132">SUM(L323:N323)</f>
        <v>15824</v>
      </c>
    </row>
    <row r="324" spans="1:15" s="672" customFormat="1" ht="31.5" x14ac:dyDescent="0.25">
      <c r="A324" s="643"/>
      <c r="B324" s="646" t="s">
        <v>1197</v>
      </c>
      <c r="C324" s="646"/>
      <c r="D324" s="646"/>
      <c r="E324" s="646"/>
      <c r="F324" s="646"/>
      <c r="G324" s="646"/>
      <c r="H324" s="646"/>
      <c r="I324" s="654"/>
      <c r="J324" s="654">
        <f t="shared" si="129"/>
        <v>0</v>
      </c>
      <c r="K324" s="654">
        <f t="shared" si="130"/>
        <v>0</v>
      </c>
      <c r="L324" s="646">
        <f t="shared" si="131"/>
        <v>0</v>
      </c>
      <c r="M324" s="646">
        <v>30</v>
      </c>
      <c r="N324" s="646"/>
      <c r="O324" s="646">
        <f t="shared" si="132"/>
        <v>30</v>
      </c>
    </row>
    <row r="325" spans="1:15" s="672" customFormat="1" ht="31.5" x14ac:dyDescent="0.25">
      <c r="A325" s="643"/>
      <c r="B325" s="673" t="s">
        <v>1198</v>
      </c>
      <c r="C325" s="646"/>
      <c r="D325" s="646"/>
      <c r="E325" s="646"/>
      <c r="F325" s="646"/>
      <c r="G325" s="646"/>
      <c r="H325" s="646"/>
      <c r="I325" s="654"/>
      <c r="J325" s="654">
        <f t="shared" si="129"/>
        <v>0</v>
      </c>
      <c r="K325" s="654">
        <f t="shared" si="130"/>
        <v>0</v>
      </c>
      <c r="L325" s="646">
        <f t="shared" si="131"/>
        <v>0</v>
      </c>
      <c r="M325" s="646">
        <v>-1234</v>
      </c>
      <c r="N325" s="646"/>
      <c r="O325" s="646">
        <f t="shared" si="132"/>
        <v>-1234</v>
      </c>
    </row>
    <row r="326" spans="1:15" s="672" customFormat="1" x14ac:dyDescent="0.25">
      <c r="A326" s="643"/>
      <c r="B326" s="646" t="s">
        <v>1199</v>
      </c>
      <c r="C326" s="646"/>
      <c r="D326" s="646"/>
      <c r="E326" s="646"/>
      <c r="F326" s="646"/>
      <c r="G326" s="646"/>
      <c r="H326" s="646"/>
      <c r="I326" s="654"/>
      <c r="J326" s="654">
        <f t="shared" si="129"/>
        <v>0</v>
      </c>
      <c r="K326" s="654">
        <f t="shared" si="130"/>
        <v>0</v>
      </c>
      <c r="L326" s="646">
        <f t="shared" si="131"/>
        <v>0</v>
      </c>
      <c r="M326" s="646">
        <v>-432</v>
      </c>
      <c r="N326" s="646"/>
      <c r="O326" s="646">
        <f t="shared" si="132"/>
        <v>-432</v>
      </c>
    </row>
    <row r="327" spans="1:15" s="672" customFormat="1" ht="31.5" x14ac:dyDescent="0.25">
      <c r="A327" s="643"/>
      <c r="B327" s="646" t="s">
        <v>1207</v>
      </c>
      <c r="C327" s="646"/>
      <c r="D327" s="646"/>
      <c r="E327" s="646"/>
      <c r="F327" s="646"/>
      <c r="G327" s="646"/>
      <c r="H327" s="646"/>
      <c r="I327" s="654"/>
      <c r="J327" s="654">
        <f t="shared" si="129"/>
        <v>0</v>
      </c>
      <c r="K327" s="654">
        <f t="shared" si="130"/>
        <v>0</v>
      </c>
      <c r="L327" s="646">
        <f t="shared" si="131"/>
        <v>0</v>
      </c>
      <c r="M327" s="646">
        <v>283</v>
      </c>
      <c r="N327" s="646"/>
      <c r="O327" s="646">
        <f t="shared" si="132"/>
        <v>283</v>
      </c>
    </row>
    <row r="328" spans="1:15" s="672" customFormat="1" ht="47.25" x14ac:dyDescent="0.25">
      <c r="A328" s="643"/>
      <c r="B328" s="646" t="s">
        <v>1200</v>
      </c>
      <c r="C328" s="646"/>
      <c r="D328" s="646"/>
      <c r="E328" s="646"/>
      <c r="F328" s="646"/>
      <c r="G328" s="646"/>
      <c r="H328" s="646"/>
      <c r="I328" s="654"/>
      <c r="J328" s="654">
        <f t="shared" si="129"/>
        <v>0</v>
      </c>
      <c r="K328" s="654">
        <f t="shared" si="130"/>
        <v>0</v>
      </c>
      <c r="L328" s="646">
        <f t="shared" si="131"/>
        <v>0</v>
      </c>
      <c r="M328" s="646">
        <v>3406</v>
      </c>
      <c r="N328" s="646"/>
      <c r="O328" s="646">
        <f t="shared" si="132"/>
        <v>3406</v>
      </c>
    </row>
    <row r="329" spans="1:15" s="672" customFormat="1" x14ac:dyDescent="0.25">
      <c r="A329" s="643"/>
      <c r="B329" s="646" t="s">
        <v>1201</v>
      </c>
      <c r="C329" s="646"/>
      <c r="D329" s="646"/>
      <c r="E329" s="646"/>
      <c r="F329" s="646"/>
      <c r="G329" s="646"/>
      <c r="H329" s="646"/>
      <c r="I329" s="654"/>
      <c r="J329" s="654">
        <f t="shared" si="129"/>
        <v>0</v>
      </c>
      <c r="K329" s="654">
        <f t="shared" si="130"/>
        <v>0</v>
      </c>
      <c r="L329" s="646">
        <f t="shared" si="131"/>
        <v>0</v>
      </c>
      <c r="M329" s="646">
        <v>-3887</v>
      </c>
      <c r="N329" s="646"/>
      <c r="O329" s="646">
        <f t="shared" si="132"/>
        <v>-3887</v>
      </c>
    </row>
    <row r="330" spans="1:15" s="672" customFormat="1" x14ac:dyDescent="0.25">
      <c r="A330" s="643"/>
      <c r="B330" s="644" t="s">
        <v>133</v>
      </c>
      <c r="C330" s="646"/>
      <c r="D330" s="646"/>
      <c r="E330" s="646"/>
      <c r="F330" s="646"/>
      <c r="G330" s="646"/>
      <c r="H330" s="646"/>
      <c r="I330" s="654"/>
      <c r="J330" s="654"/>
      <c r="K330" s="654"/>
      <c r="L330" s="646"/>
      <c r="M330" s="646"/>
      <c r="N330" s="646"/>
      <c r="O330" s="646"/>
    </row>
    <row r="331" spans="1:15" s="672" customFormat="1" ht="16.5" thickBot="1" x14ac:dyDescent="0.3">
      <c r="A331" s="643"/>
      <c r="B331" s="646" t="s">
        <v>1204</v>
      </c>
      <c r="C331" s="646"/>
      <c r="D331" s="646"/>
      <c r="E331" s="646"/>
      <c r="F331" s="646"/>
      <c r="G331" s="646"/>
      <c r="H331" s="646"/>
      <c r="I331" s="654"/>
      <c r="J331" s="654">
        <f t="shared" si="129"/>
        <v>0</v>
      </c>
      <c r="K331" s="654">
        <f t="shared" si="130"/>
        <v>0</v>
      </c>
      <c r="L331" s="646">
        <f t="shared" si="131"/>
        <v>0</v>
      </c>
      <c r="M331" s="646">
        <v>1852</v>
      </c>
      <c r="N331" s="646"/>
      <c r="O331" s="646">
        <f t="shared" si="132"/>
        <v>1852</v>
      </c>
    </row>
    <row r="332" spans="1:15" ht="17.25" thickTop="1" thickBot="1" x14ac:dyDescent="0.3">
      <c r="A332" s="638"/>
      <c r="B332" s="647" t="s">
        <v>381</v>
      </c>
      <c r="C332" s="647">
        <f>+C319+C323+C331+C324+C325+C326+C327+C328+C329</f>
        <v>9777</v>
      </c>
      <c r="D332" s="647">
        <f t="shared" ref="D332:O332" si="133">+D319+D323+D331+D324+D325+D326+D327+D328+D329</f>
        <v>0</v>
      </c>
      <c r="E332" s="647">
        <f t="shared" si="133"/>
        <v>0</v>
      </c>
      <c r="F332" s="647">
        <f t="shared" si="133"/>
        <v>9766</v>
      </c>
      <c r="G332" s="647">
        <f t="shared" si="133"/>
        <v>0</v>
      </c>
      <c r="H332" s="647">
        <f t="shared" si="133"/>
        <v>0</v>
      </c>
      <c r="I332" s="647">
        <f t="shared" si="133"/>
        <v>0</v>
      </c>
      <c r="J332" s="647">
        <f t="shared" si="133"/>
        <v>19543</v>
      </c>
      <c r="K332" s="647">
        <f t="shared" si="133"/>
        <v>0</v>
      </c>
      <c r="L332" s="647">
        <f t="shared" si="133"/>
        <v>19543</v>
      </c>
      <c r="M332" s="647">
        <f t="shared" si="133"/>
        <v>204859</v>
      </c>
      <c r="N332" s="647">
        <f t="shared" si="133"/>
        <v>6047</v>
      </c>
      <c r="O332" s="647">
        <f t="shared" si="133"/>
        <v>230449</v>
      </c>
    </row>
    <row r="333" spans="1:15" ht="17.25" thickTop="1" thickBot="1" x14ac:dyDescent="0.3">
      <c r="A333" s="638"/>
      <c r="B333" s="647" t="s">
        <v>380</v>
      </c>
      <c r="C333" s="647">
        <f t="shared" ref="C333:O333" si="134">+C320+C323+C324+C325+C326+C327+C328+C329</f>
        <v>9777</v>
      </c>
      <c r="D333" s="647">
        <f t="shared" si="134"/>
        <v>0</v>
      </c>
      <c r="E333" s="647">
        <f t="shared" si="134"/>
        <v>0</v>
      </c>
      <c r="F333" s="647">
        <f t="shared" si="134"/>
        <v>9766</v>
      </c>
      <c r="G333" s="647">
        <f t="shared" si="134"/>
        <v>0</v>
      </c>
      <c r="H333" s="647">
        <f t="shared" si="134"/>
        <v>0</v>
      </c>
      <c r="I333" s="647">
        <f t="shared" si="134"/>
        <v>0</v>
      </c>
      <c r="J333" s="647">
        <f t="shared" si="134"/>
        <v>19543</v>
      </c>
      <c r="K333" s="647">
        <f t="shared" si="134"/>
        <v>0</v>
      </c>
      <c r="L333" s="647">
        <f t="shared" si="134"/>
        <v>19543</v>
      </c>
      <c r="M333" s="647">
        <f t="shared" si="134"/>
        <v>203007</v>
      </c>
      <c r="N333" s="647">
        <f t="shared" si="134"/>
        <v>6047</v>
      </c>
      <c r="O333" s="647">
        <f t="shared" si="134"/>
        <v>228597</v>
      </c>
    </row>
    <row r="334" spans="1:15" ht="17.25" thickTop="1" thickBot="1" x14ac:dyDescent="0.3">
      <c r="A334" s="638"/>
      <c r="B334" s="647" t="s">
        <v>379</v>
      </c>
      <c r="C334" s="647">
        <f>+C321+C331</f>
        <v>0</v>
      </c>
      <c r="D334" s="647">
        <f t="shared" ref="D334:O334" si="135">+D321+D331</f>
        <v>0</v>
      </c>
      <c r="E334" s="647">
        <f t="shared" si="135"/>
        <v>0</v>
      </c>
      <c r="F334" s="647">
        <f t="shared" si="135"/>
        <v>0</v>
      </c>
      <c r="G334" s="647">
        <f t="shared" si="135"/>
        <v>0</v>
      </c>
      <c r="H334" s="647">
        <f t="shared" si="135"/>
        <v>0</v>
      </c>
      <c r="I334" s="647">
        <f t="shared" si="135"/>
        <v>0</v>
      </c>
      <c r="J334" s="647">
        <f t="shared" si="135"/>
        <v>0</v>
      </c>
      <c r="K334" s="647">
        <f t="shared" si="135"/>
        <v>0</v>
      </c>
      <c r="L334" s="647">
        <f t="shared" si="135"/>
        <v>0</v>
      </c>
      <c r="M334" s="647">
        <f t="shared" si="135"/>
        <v>1852</v>
      </c>
      <c r="N334" s="647">
        <f t="shared" si="135"/>
        <v>0</v>
      </c>
      <c r="O334" s="647">
        <f t="shared" si="135"/>
        <v>1852</v>
      </c>
    </row>
    <row r="335" spans="1:15" ht="16.5" thickTop="1" x14ac:dyDescent="0.25">
      <c r="A335" s="648" t="s">
        <v>10</v>
      </c>
      <c r="B335" s="677" t="s">
        <v>398</v>
      </c>
      <c r="C335" s="677"/>
      <c r="D335" s="677"/>
      <c r="E335" s="677"/>
      <c r="F335" s="677"/>
      <c r="G335" s="677"/>
      <c r="H335" s="677"/>
      <c r="I335" s="677"/>
      <c r="J335" s="677"/>
      <c r="K335" s="677"/>
      <c r="L335" s="677"/>
      <c r="M335" s="677"/>
      <c r="N335" s="677"/>
      <c r="O335" s="677"/>
    </row>
    <row r="336" spans="1:15" x14ac:dyDescent="0.25">
      <c r="A336" s="642"/>
      <c r="B336" s="670" t="s">
        <v>1212</v>
      </c>
      <c r="C336" s="670"/>
      <c r="D336" s="670"/>
      <c r="E336" s="670"/>
      <c r="F336" s="670">
        <f>SUM(F337:F338)</f>
        <v>6314</v>
      </c>
      <c r="G336" s="670"/>
      <c r="H336" s="670"/>
      <c r="I336" s="670"/>
      <c r="J336" s="676">
        <f>SUM(C336+E336+F336+H336)</f>
        <v>6314</v>
      </c>
      <c r="K336" s="676">
        <f>SUM(D336+G336+I336)</f>
        <v>0</v>
      </c>
      <c r="L336" s="671">
        <f>SUM(J336:K336)</f>
        <v>6314</v>
      </c>
      <c r="M336" s="671">
        <f>SUM(M337:M338)</f>
        <v>239943</v>
      </c>
      <c r="N336" s="676"/>
      <c r="O336" s="671">
        <f>SUM(L336:N336)</f>
        <v>246257</v>
      </c>
    </row>
    <row r="337" spans="1:15" s="672" customFormat="1" x14ac:dyDescent="0.25">
      <c r="A337" s="649"/>
      <c r="B337" s="650" t="s">
        <v>383</v>
      </c>
      <c r="C337" s="650"/>
      <c r="D337" s="650"/>
      <c r="E337" s="650"/>
      <c r="F337" s="650">
        <v>6314</v>
      </c>
      <c r="G337" s="650"/>
      <c r="H337" s="650"/>
      <c r="I337" s="656"/>
      <c r="J337" s="657">
        <f>SUM(C337+E337+F337+H337)</f>
        <v>6314</v>
      </c>
      <c r="K337" s="657">
        <f>SUM(D337+G337+I337)</f>
        <v>0</v>
      </c>
      <c r="L337" s="651">
        <f>SUM(J337:K337)</f>
        <v>6314</v>
      </c>
      <c r="M337" s="651">
        <v>239943</v>
      </c>
      <c r="N337" s="657"/>
      <c r="O337" s="651">
        <f>SUM(L337:N337)</f>
        <v>246257</v>
      </c>
    </row>
    <row r="338" spans="1:15" s="672" customFormat="1" x14ac:dyDescent="0.25">
      <c r="A338" s="649"/>
      <c r="B338" s="650" t="s">
        <v>382</v>
      </c>
      <c r="C338" s="650"/>
      <c r="D338" s="650"/>
      <c r="E338" s="650"/>
      <c r="F338" s="650"/>
      <c r="G338" s="650"/>
      <c r="H338" s="650"/>
      <c r="I338" s="656"/>
      <c r="J338" s="656">
        <f>SUM(C338+E338+F338+H338)</f>
        <v>0</v>
      </c>
      <c r="K338" s="656">
        <f>SUM(D338+G338+I338)</f>
        <v>0</v>
      </c>
      <c r="L338" s="650">
        <f>SUM(J338:K338)</f>
        <v>0</v>
      </c>
      <c r="M338" s="650"/>
      <c r="N338" s="656"/>
      <c r="O338" s="650">
        <f>SUM(L338:N338)</f>
        <v>0</v>
      </c>
    </row>
    <row r="339" spans="1:15" s="672" customFormat="1" x14ac:dyDescent="0.25">
      <c r="A339" s="649"/>
      <c r="B339" s="650" t="s">
        <v>132</v>
      </c>
      <c r="C339" s="652"/>
      <c r="D339" s="652"/>
      <c r="E339" s="652"/>
      <c r="F339" s="652"/>
      <c r="G339" s="652"/>
      <c r="H339" s="652"/>
      <c r="I339" s="658"/>
      <c r="J339" s="658"/>
      <c r="K339" s="658"/>
      <c r="L339" s="652"/>
      <c r="M339" s="652"/>
      <c r="N339" s="658"/>
      <c r="O339" s="652"/>
    </row>
    <row r="340" spans="1:15" s="672" customFormat="1" ht="30" customHeight="1" x14ac:dyDescent="0.25">
      <c r="A340" s="649"/>
      <c r="B340" s="646" t="s">
        <v>1196</v>
      </c>
      <c r="C340" s="652">
        <v>12294</v>
      </c>
      <c r="D340" s="652"/>
      <c r="E340" s="652"/>
      <c r="F340" s="652"/>
      <c r="G340" s="652"/>
      <c r="H340" s="652"/>
      <c r="I340" s="658"/>
      <c r="J340" s="658">
        <f t="shared" ref="J340:J348" si="136">SUM(C340+E340+F340+H340)</f>
        <v>12294</v>
      </c>
      <c r="K340" s="658">
        <f t="shared" ref="K340:K348" si="137">SUM(D340+G340+I340)</f>
        <v>0</v>
      </c>
      <c r="L340" s="652">
        <f t="shared" ref="L340:L348" si="138">SUM(J340:K340)</f>
        <v>12294</v>
      </c>
      <c r="M340" s="652"/>
      <c r="N340" s="658">
        <v>877</v>
      </c>
      <c r="O340" s="652">
        <f t="shared" ref="O340:O348" si="139">SUM(L340:N340)</f>
        <v>13171</v>
      </c>
    </row>
    <row r="341" spans="1:15" s="672" customFormat="1" ht="31.5" x14ac:dyDescent="0.25">
      <c r="A341" s="649"/>
      <c r="B341" s="646" t="s">
        <v>1197</v>
      </c>
      <c r="C341" s="652"/>
      <c r="D341" s="652"/>
      <c r="E341" s="652"/>
      <c r="F341" s="652"/>
      <c r="G341" s="652"/>
      <c r="H341" s="652"/>
      <c r="I341" s="658"/>
      <c r="J341" s="658">
        <f t="shared" si="136"/>
        <v>0</v>
      </c>
      <c r="K341" s="658">
        <f t="shared" si="137"/>
        <v>0</v>
      </c>
      <c r="L341" s="652">
        <f t="shared" si="138"/>
        <v>0</v>
      </c>
      <c r="M341" s="652">
        <v>47</v>
      </c>
      <c r="N341" s="658"/>
      <c r="O341" s="652">
        <f t="shared" si="139"/>
        <v>47</v>
      </c>
    </row>
    <row r="342" spans="1:15" s="672" customFormat="1" ht="31.5" x14ac:dyDescent="0.25">
      <c r="A342" s="649"/>
      <c r="B342" s="673" t="s">
        <v>1198</v>
      </c>
      <c r="C342" s="652"/>
      <c r="D342" s="652"/>
      <c r="E342" s="652"/>
      <c r="F342" s="652"/>
      <c r="G342" s="652"/>
      <c r="H342" s="652"/>
      <c r="I342" s="658"/>
      <c r="J342" s="658">
        <f t="shared" si="136"/>
        <v>0</v>
      </c>
      <c r="K342" s="658">
        <f t="shared" si="137"/>
        <v>0</v>
      </c>
      <c r="L342" s="652">
        <f t="shared" si="138"/>
        <v>0</v>
      </c>
      <c r="M342" s="652">
        <v>-1499</v>
      </c>
      <c r="N342" s="658"/>
      <c r="O342" s="652">
        <f t="shared" si="139"/>
        <v>-1499</v>
      </c>
    </row>
    <row r="343" spans="1:15" s="672" customFormat="1" x14ac:dyDescent="0.25">
      <c r="A343" s="649"/>
      <c r="B343" s="646" t="s">
        <v>1199</v>
      </c>
      <c r="C343" s="652"/>
      <c r="D343" s="652"/>
      <c r="E343" s="652"/>
      <c r="F343" s="652"/>
      <c r="G343" s="652"/>
      <c r="H343" s="652"/>
      <c r="I343" s="658"/>
      <c r="J343" s="658">
        <f t="shared" si="136"/>
        <v>0</v>
      </c>
      <c r="K343" s="658">
        <f t="shared" si="137"/>
        <v>0</v>
      </c>
      <c r="L343" s="652">
        <f t="shared" si="138"/>
        <v>0</v>
      </c>
      <c r="M343" s="652">
        <v>-553</v>
      </c>
      <c r="N343" s="658"/>
      <c r="O343" s="652">
        <f t="shared" si="139"/>
        <v>-553</v>
      </c>
    </row>
    <row r="344" spans="1:15" s="672" customFormat="1" ht="31.5" x14ac:dyDescent="0.25">
      <c r="A344" s="649"/>
      <c r="B344" s="646" t="s">
        <v>1207</v>
      </c>
      <c r="C344" s="652"/>
      <c r="D344" s="652"/>
      <c r="E344" s="652"/>
      <c r="F344" s="652"/>
      <c r="G344" s="652"/>
      <c r="H344" s="652"/>
      <c r="I344" s="658"/>
      <c r="J344" s="658">
        <f t="shared" si="136"/>
        <v>0</v>
      </c>
      <c r="K344" s="658">
        <f t="shared" si="137"/>
        <v>0</v>
      </c>
      <c r="L344" s="652">
        <f t="shared" si="138"/>
        <v>0</v>
      </c>
      <c r="M344" s="652">
        <v>29</v>
      </c>
      <c r="N344" s="658"/>
      <c r="O344" s="652">
        <f t="shared" si="139"/>
        <v>29</v>
      </c>
    </row>
    <row r="345" spans="1:15" s="672" customFormat="1" ht="47.25" x14ac:dyDescent="0.25">
      <c r="A345" s="649"/>
      <c r="B345" s="646" t="s">
        <v>1200</v>
      </c>
      <c r="C345" s="652"/>
      <c r="D345" s="652"/>
      <c r="E345" s="652"/>
      <c r="F345" s="652"/>
      <c r="G345" s="652"/>
      <c r="H345" s="652"/>
      <c r="I345" s="658"/>
      <c r="J345" s="658">
        <f t="shared" si="136"/>
        <v>0</v>
      </c>
      <c r="K345" s="658">
        <f t="shared" si="137"/>
        <v>0</v>
      </c>
      <c r="L345" s="652">
        <f t="shared" si="138"/>
        <v>0</v>
      </c>
      <c r="M345" s="652">
        <v>2941</v>
      </c>
      <c r="N345" s="658"/>
      <c r="O345" s="652">
        <f t="shared" si="139"/>
        <v>2941</v>
      </c>
    </row>
    <row r="346" spans="1:15" s="672" customFormat="1" x14ac:dyDescent="0.25">
      <c r="A346" s="649"/>
      <c r="B346" s="646" t="s">
        <v>1201</v>
      </c>
      <c r="C346" s="652"/>
      <c r="D346" s="652"/>
      <c r="E346" s="652"/>
      <c r="F346" s="652"/>
      <c r="G346" s="652"/>
      <c r="H346" s="652"/>
      <c r="I346" s="658"/>
      <c r="J346" s="658">
        <f t="shared" si="136"/>
        <v>0</v>
      </c>
      <c r="K346" s="658">
        <f t="shared" si="137"/>
        <v>0</v>
      </c>
      <c r="L346" s="652">
        <f t="shared" si="138"/>
        <v>0</v>
      </c>
      <c r="M346" s="652">
        <v>-4500</v>
      </c>
      <c r="N346" s="658"/>
      <c r="O346" s="652">
        <f t="shared" si="139"/>
        <v>-4500</v>
      </c>
    </row>
    <row r="347" spans="1:15" s="672" customFormat="1" x14ac:dyDescent="0.25">
      <c r="A347" s="649"/>
      <c r="B347" s="650" t="s">
        <v>133</v>
      </c>
      <c r="C347" s="652"/>
      <c r="D347" s="652"/>
      <c r="E347" s="652"/>
      <c r="F347" s="652"/>
      <c r="G347" s="652"/>
      <c r="H347" s="652"/>
      <c r="I347" s="658"/>
      <c r="J347" s="658"/>
      <c r="K347" s="658"/>
      <c r="L347" s="652"/>
      <c r="M347" s="652"/>
      <c r="N347" s="658"/>
      <c r="O347" s="652"/>
    </row>
    <row r="348" spans="1:15" s="672" customFormat="1" ht="16.5" thickBot="1" x14ac:dyDescent="0.3">
      <c r="A348" s="649"/>
      <c r="B348" s="646" t="s">
        <v>1204</v>
      </c>
      <c r="C348" s="652"/>
      <c r="D348" s="652"/>
      <c r="E348" s="652"/>
      <c r="F348" s="652"/>
      <c r="G348" s="652"/>
      <c r="H348" s="652"/>
      <c r="I348" s="658"/>
      <c r="J348" s="658">
        <f t="shared" si="136"/>
        <v>0</v>
      </c>
      <c r="K348" s="658">
        <f t="shared" si="137"/>
        <v>0</v>
      </c>
      <c r="L348" s="652">
        <f t="shared" si="138"/>
        <v>0</v>
      </c>
      <c r="M348" s="652">
        <v>1961</v>
      </c>
      <c r="N348" s="658"/>
      <c r="O348" s="652">
        <f t="shared" si="139"/>
        <v>1961</v>
      </c>
    </row>
    <row r="349" spans="1:15" ht="17.25" thickTop="1" thickBot="1" x14ac:dyDescent="0.3">
      <c r="A349" s="638"/>
      <c r="B349" s="647" t="s">
        <v>381</v>
      </c>
      <c r="C349" s="647">
        <f>+C336+C340+C348+C341+C342+C343+C344+C345+C346</f>
        <v>12294</v>
      </c>
      <c r="D349" s="647">
        <f t="shared" ref="D349:O349" si="140">+D336+D340+D348+D341+D342+D343+D344+D345+D346</f>
        <v>0</v>
      </c>
      <c r="E349" s="647">
        <f t="shared" si="140"/>
        <v>0</v>
      </c>
      <c r="F349" s="647">
        <f t="shared" si="140"/>
        <v>6314</v>
      </c>
      <c r="G349" s="647">
        <f t="shared" si="140"/>
        <v>0</v>
      </c>
      <c r="H349" s="647">
        <f t="shared" si="140"/>
        <v>0</v>
      </c>
      <c r="I349" s="647">
        <f t="shared" si="140"/>
        <v>0</v>
      </c>
      <c r="J349" s="647">
        <f t="shared" si="140"/>
        <v>18608</v>
      </c>
      <c r="K349" s="647">
        <f t="shared" si="140"/>
        <v>0</v>
      </c>
      <c r="L349" s="647">
        <f t="shared" si="140"/>
        <v>18608</v>
      </c>
      <c r="M349" s="647">
        <f t="shared" si="140"/>
        <v>238369</v>
      </c>
      <c r="N349" s="647">
        <f t="shared" si="140"/>
        <v>877</v>
      </c>
      <c r="O349" s="647">
        <f t="shared" si="140"/>
        <v>257854</v>
      </c>
    </row>
    <row r="350" spans="1:15" ht="17.25" thickTop="1" thickBot="1" x14ac:dyDescent="0.3">
      <c r="A350" s="638"/>
      <c r="B350" s="647" t="s">
        <v>380</v>
      </c>
      <c r="C350" s="647">
        <f t="shared" ref="C350:O350" si="141">+C337+C340+C341+C342+C343+C344+C345+C346</f>
        <v>12294</v>
      </c>
      <c r="D350" s="647">
        <f t="shared" si="141"/>
        <v>0</v>
      </c>
      <c r="E350" s="647">
        <f t="shared" si="141"/>
        <v>0</v>
      </c>
      <c r="F350" s="647">
        <f t="shared" si="141"/>
        <v>6314</v>
      </c>
      <c r="G350" s="647">
        <f t="shared" si="141"/>
        <v>0</v>
      </c>
      <c r="H350" s="647">
        <f t="shared" si="141"/>
        <v>0</v>
      </c>
      <c r="I350" s="647">
        <f t="shared" si="141"/>
        <v>0</v>
      </c>
      <c r="J350" s="647">
        <f t="shared" si="141"/>
        <v>18608</v>
      </c>
      <c r="K350" s="647">
        <f t="shared" si="141"/>
        <v>0</v>
      </c>
      <c r="L350" s="647">
        <f t="shared" si="141"/>
        <v>18608</v>
      </c>
      <c r="M350" s="647">
        <f t="shared" si="141"/>
        <v>236408</v>
      </c>
      <c r="N350" s="647">
        <f t="shared" si="141"/>
        <v>877</v>
      </c>
      <c r="O350" s="647">
        <f t="shared" si="141"/>
        <v>255893</v>
      </c>
    </row>
    <row r="351" spans="1:15" ht="17.25" thickTop="1" thickBot="1" x14ac:dyDescent="0.3">
      <c r="A351" s="638"/>
      <c r="B351" s="647" t="s">
        <v>379</v>
      </c>
      <c r="C351" s="647">
        <f>+C338+C348</f>
        <v>0</v>
      </c>
      <c r="D351" s="647">
        <f t="shared" ref="D351:O351" si="142">+D338+D348</f>
        <v>0</v>
      </c>
      <c r="E351" s="647">
        <f t="shared" si="142"/>
        <v>0</v>
      </c>
      <c r="F351" s="647">
        <f t="shared" si="142"/>
        <v>0</v>
      </c>
      <c r="G351" s="647">
        <f t="shared" si="142"/>
        <v>0</v>
      </c>
      <c r="H351" s="647">
        <f t="shared" si="142"/>
        <v>0</v>
      </c>
      <c r="I351" s="647">
        <f t="shared" si="142"/>
        <v>0</v>
      </c>
      <c r="J351" s="647">
        <f t="shared" si="142"/>
        <v>0</v>
      </c>
      <c r="K351" s="647">
        <f t="shared" si="142"/>
        <v>0</v>
      </c>
      <c r="L351" s="647">
        <f t="shared" si="142"/>
        <v>0</v>
      </c>
      <c r="M351" s="647">
        <f t="shared" si="142"/>
        <v>1961</v>
      </c>
      <c r="N351" s="647">
        <f t="shared" si="142"/>
        <v>0</v>
      </c>
      <c r="O351" s="647">
        <f t="shared" si="142"/>
        <v>1961</v>
      </c>
    </row>
    <row r="352" spans="1:15" ht="17.25" thickTop="1" thickBot="1" x14ac:dyDescent="0.3">
      <c r="A352" s="638"/>
      <c r="B352" s="647" t="s">
        <v>397</v>
      </c>
      <c r="C352" s="647">
        <f t="shared" ref="C352:O352" si="143">SUM(C161+C178+C195+C212+C229+C244+C262+C280+C297+C315+C332+C349)</f>
        <v>144876</v>
      </c>
      <c r="D352" s="647">
        <f t="shared" si="143"/>
        <v>0</v>
      </c>
      <c r="E352" s="647">
        <f t="shared" si="143"/>
        <v>0</v>
      </c>
      <c r="F352" s="647">
        <f t="shared" si="143"/>
        <v>91573</v>
      </c>
      <c r="G352" s="647">
        <f t="shared" si="143"/>
        <v>0</v>
      </c>
      <c r="H352" s="647">
        <f t="shared" si="143"/>
        <v>0</v>
      </c>
      <c r="I352" s="647">
        <f t="shared" si="143"/>
        <v>0</v>
      </c>
      <c r="J352" s="647">
        <f t="shared" si="143"/>
        <v>236449</v>
      </c>
      <c r="K352" s="647">
        <f t="shared" si="143"/>
        <v>0</v>
      </c>
      <c r="L352" s="647">
        <f t="shared" si="143"/>
        <v>236449</v>
      </c>
      <c r="M352" s="647">
        <f t="shared" si="143"/>
        <v>2671181</v>
      </c>
      <c r="N352" s="647">
        <f t="shared" si="143"/>
        <v>31291</v>
      </c>
      <c r="O352" s="647">
        <f t="shared" si="143"/>
        <v>2938921</v>
      </c>
    </row>
    <row r="353" spans="1:15" ht="17.25" thickTop="1" thickBot="1" x14ac:dyDescent="0.3">
      <c r="A353" s="638"/>
      <c r="B353" s="647" t="s">
        <v>396</v>
      </c>
      <c r="C353" s="647">
        <f t="shared" ref="C353:O353" si="144">SUM(C40+C145+C352)</f>
        <v>765542</v>
      </c>
      <c r="D353" s="647">
        <f t="shared" si="144"/>
        <v>0</v>
      </c>
      <c r="E353" s="647">
        <f t="shared" si="144"/>
        <v>0</v>
      </c>
      <c r="F353" s="647">
        <f t="shared" si="144"/>
        <v>117560</v>
      </c>
      <c r="G353" s="647">
        <f t="shared" si="144"/>
        <v>0</v>
      </c>
      <c r="H353" s="647">
        <f t="shared" si="144"/>
        <v>0</v>
      </c>
      <c r="I353" s="647">
        <f t="shared" si="144"/>
        <v>0</v>
      </c>
      <c r="J353" s="647">
        <f t="shared" si="144"/>
        <v>883102</v>
      </c>
      <c r="K353" s="647">
        <f t="shared" si="144"/>
        <v>0</v>
      </c>
      <c r="L353" s="647">
        <f t="shared" si="144"/>
        <v>883102</v>
      </c>
      <c r="M353" s="647">
        <f t="shared" si="144"/>
        <v>3890199</v>
      </c>
      <c r="N353" s="647">
        <f t="shared" si="144"/>
        <v>140287</v>
      </c>
      <c r="O353" s="647">
        <f t="shared" si="144"/>
        <v>4913588</v>
      </c>
    </row>
    <row r="354" spans="1:15" ht="16.5" thickTop="1" x14ac:dyDescent="0.25">
      <c r="A354" s="642" t="s">
        <v>11</v>
      </c>
      <c r="B354" s="670" t="s">
        <v>769</v>
      </c>
      <c r="C354" s="670"/>
      <c r="D354" s="670"/>
      <c r="E354" s="670"/>
      <c r="F354" s="670"/>
      <c r="G354" s="670"/>
      <c r="H354" s="670"/>
      <c r="I354" s="670"/>
      <c r="J354" s="670"/>
      <c r="K354" s="670"/>
      <c r="L354" s="670"/>
      <c r="M354" s="670"/>
      <c r="N354" s="670"/>
      <c r="O354" s="670"/>
    </row>
    <row r="355" spans="1:15" x14ac:dyDescent="0.25">
      <c r="A355" s="642"/>
      <c r="B355" s="671" t="s">
        <v>349</v>
      </c>
      <c r="C355" s="671"/>
      <c r="D355" s="671"/>
      <c r="E355" s="671"/>
      <c r="F355" s="671">
        <f>SUM(F356:F357)</f>
        <v>321985</v>
      </c>
      <c r="G355" s="671"/>
      <c r="H355" s="671"/>
      <c r="I355" s="671"/>
      <c r="J355" s="676">
        <f>SUM(C355+E355+F355+H355)</f>
        <v>321985</v>
      </c>
      <c r="K355" s="676">
        <f>SUM(D355+G355+I355)</f>
        <v>0</v>
      </c>
      <c r="L355" s="671">
        <f>SUM(J355:K355)</f>
        <v>321985</v>
      </c>
      <c r="M355" s="671">
        <f>SUM(M356:M357)</f>
        <v>938719</v>
      </c>
      <c r="N355" s="676"/>
      <c r="O355" s="671">
        <f>SUM(L355:N355)</f>
        <v>1260704</v>
      </c>
    </row>
    <row r="356" spans="1:15" s="672" customFormat="1" x14ac:dyDescent="0.25">
      <c r="A356" s="643"/>
      <c r="B356" s="644" t="s">
        <v>383</v>
      </c>
      <c r="C356" s="644"/>
      <c r="D356" s="644"/>
      <c r="E356" s="644"/>
      <c r="F356" s="644">
        <v>321985</v>
      </c>
      <c r="G356" s="644"/>
      <c r="H356" s="644"/>
      <c r="I356" s="655"/>
      <c r="J356" s="653">
        <f>SUM(C356+E356+F356+H356)</f>
        <v>321985</v>
      </c>
      <c r="K356" s="653">
        <f>SUM(D356+G356+I356)</f>
        <v>0</v>
      </c>
      <c r="L356" s="645">
        <f>SUM(J356:K356)</f>
        <v>321985</v>
      </c>
      <c r="M356" s="645">
        <v>938719</v>
      </c>
      <c r="N356" s="653"/>
      <c r="O356" s="645">
        <f>SUM(L356:N356)</f>
        <v>1260704</v>
      </c>
    </row>
    <row r="357" spans="1:15" s="672" customFormat="1" x14ac:dyDescent="0.25">
      <c r="A357" s="643"/>
      <c r="B357" s="644" t="s">
        <v>382</v>
      </c>
      <c r="C357" s="644"/>
      <c r="D357" s="644"/>
      <c r="E357" s="644"/>
      <c r="F357" s="644"/>
      <c r="G357" s="644"/>
      <c r="H357" s="644"/>
      <c r="I357" s="655"/>
      <c r="J357" s="655">
        <f>SUM(C357+E357+F357+H357)</f>
        <v>0</v>
      </c>
      <c r="K357" s="655">
        <f>SUM(D357+G357+I357)</f>
        <v>0</v>
      </c>
      <c r="L357" s="644">
        <f>SUM(J357:K357)</f>
        <v>0</v>
      </c>
      <c r="M357" s="644"/>
      <c r="N357" s="655"/>
      <c r="O357" s="644">
        <f>SUM(L357:N357)</f>
        <v>0</v>
      </c>
    </row>
    <row r="358" spans="1:15" s="672" customFormat="1" x14ac:dyDescent="0.25">
      <c r="A358" s="643"/>
      <c r="B358" s="644" t="s">
        <v>132</v>
      </c>
      <c r="C358" s="646"/>
      <c r="D358" s="646"/>
      <c r="E358" s="646"/>
      <c r="F358" s="646"/>
      <c r="G358" s="646"/>
      <c r="H358" s="646"/>
      <c r="I358" s="654"/>
      <c r="J358" s="654"/>
      <c r="K358" s="654"/>
      <c r="L358" s="646"/>
      <c r="M358" s="646"/>
      <c r="N358" s="654"/>
      <c r="O358" s="646"/>
    </row>
    <row r="359" spans="1:15" s="672" customFormat="1" ht="30.75" customHeight="1" x14ac:dyDescent="0.25">
      <c r="A359" s="643"/>
      <c r="B359" s="646" t="s">
        <v>1196</v>
      </c>
      <c r="C359" s="646">
        <v>105471</v>
      </c>
      <c r="D359" s="646"/>
      <c r="E359" s="646"/>
      <c r="F359" s="646"/>
      <c r="G359" s="646"/>
      <c r="H359" s="646"/>
      <c r="I359" s="654"/>
      <c r="J359" s="654">
        <f t="shared" ref="J359:J370" si="145">SUM(C359+E359+F359+H359)</f>
        <v>105471</v>
      </c>
      <c r="K359" s="654">
        <f t="shared" ref="K359:K370" si="146">SUM(D359+G359+I359)</f>
        <v>0</v>
      </c>
      <c r="L359" s="646">
        <f t="shared" ref="L359:L370" si="147">SUM(J359:K359)</f>
        <v>105471</v>
      </c>
      <c r="M359" s="646"/>
      <c r="N359" s="654">
        <v>11193</v>
      </c>
      <c r="O359" s="646">
        <f t="shared" ref="O359:O370" si="148">SUM(L359:N359)</f>
        <v>116664</v>
      </c>
    </row>
    <row r="360" spans="1:15" s="672" customFormat="1" ht="31.5" x14ac:dyDescent="0.25">
      <c r="A360" s="643"/>
      <c r="B360" s="646" t="s">
        <v>1197</v>
      </c>
      <c r="C360" s="646"/>
      <c r="D360" s="646"/>
      <c r="E360" s="646"/>
      <c r="F360" s="646"/>
      <c r="G360" s="646"/>
      <c r="H360" s="646"/>
      <c r="I360" s="654"/>
      <c r="J360" s="654">
        <f t="shared" si="145"/>
        <v>0</v>
      </c>
      <c r="K360" s="654">
        <f t="shared" si="146"/>
        <v>0</v>
      </c>
      <c r="L360" s="646">
        <f t="shared" si="147"/>
        <v>0</v>
      </c>
      <c r="M360" s="646">
        <v>275</v>
      </c>
      <c r="N360" s="654"/>
      <c r="O360" s="646">
        <f t="shared" si="148"/>
        <v>275</v>
      </c>
    </row>
    <row r="361" spans="1:15" s="672" customFormat="1" ht="31.5" x14ac:dyDescent="0.25">
      <c r="A361" s="643"/>
      <c r="B361" s="646" t="s">
        <v>1205</v>
      </c>
      <c r="C361" s="646"/>
      <c r="D361" s="646"/>
      <c r="E361" s="646"/>
      <c r="F361" s="646"/>
      <c r="G361" s="646"/>
      <c r="H361" s="646"/>
      <c r="I361" s="654"/>
      <c r="J361" s="654">
        <f t="shared" si="145"/>
        <v>0</v>
      </c>
      <c r="K361" s="654">
        <f t="shared" si="146"/>
        <v>0</v>
      </c>
      <c r="L361" s="646">
        <f t="shared" si="147"/>
        <v>0</v>
      </c>
      <c r="M361" s="646">
        <v>32752</v>
      </c>
      <c r="N361" s="654"/>
      <c r="O361" s="646">
        <f t="shared" si="148"/>
        <v>32752</v>
      </c>
    </row>
    <row r="362" spans="1:15" s="672" customFormat="1" ht="31.5" x14ac:dyDescent="0.25">
      <c r="A362" s="649"/>
      <c r="B362" s="658" t="s">
        <v>1213</v>
      </c>
      <c r="C362" s="658"/>
      <c r="D362" s="658"/>
      <c r="E362" s="658"/>
      <c r="F362" s="658"/>
      <c r="G362" s="658"/>
      <c r="H362" s="658"/>
      <c r="I362" s="658"/>
      <c r="J362" s="658">
        <f t="shared" si="145"/>
        <v>0</v>
      </c>
      <c r="K362" s="658">
        <f t="shared" si="146"/>
        <v>0</v>
      </c>
      <c r="L362" s="658">
        <f t="shared" si="147"/>
        <v>0</v>
      </c>
      <c r="M362" s="658">
        <v>3542</v>
      </c>
      <c r="N362" s="658"/>
      <c r="O362" s="658">
        <f t="shared" si="148"/>
        <v>3542</v>
      </c>
    </row>
    <row r="363" spans="1:15" s="672" customFormat="1" ht="31.5" x14ac:dyDescent="0.25">
      <c r="A363" s="649"/>
      <c r="B363" s="949" t="s">
        <v>1198</v>
      </c>
      <c r="C363" s="658"/>
      <c r="D363" s="658"/>
      <c r="E363" s="658"/>
      <c r="F363" s="658"/>
      <c r="G363" s="658"/>
      <c r="H363" s="658"/>
      <c r="I363" s="658"/>
      <c r="J363" s="658">
        <f t="shared" si="145"/>
        <v>0</v>
      </c>
      <c r="K363" s="658">
        <f t="shared" si="146"/>
        <v>0</v>
      </c>
      <c r="L363" s="658">
        <f t="shared" si="147"/>
        <v>0</v>
      </c>
      <c r="M363" s="658">
        <v>-5742</v>
      </c>
      <c r="N363" s="658"/>
      <c r="O363" s="658">
        <f t="shared" si="148"/>
        <v>-5742</v>
      </c>
    </row>
    <row r="364" spans="1:15" s="672" customFormat="1" x14ac:dyDescent="0.25">
      <c r="A364" s="643"/>
      <c r="B364" s="646" t="s">
        <v>1199</v>
      </c>
      <c r="C364" s="646"/>
      <c r="D364" s="646"/>
      <c r="E364" s="646"/>
      <c r="F364" s="646"/>
      <c r="G364" s="646"/>
      <c r="H364" s="646"/>
      <c r="I364" s="654"/>
      <c r="J364" s="654">
        <f t="shared" si="145"/>
        <v>0</v>
      </c>
      <c r="K364" s="654">
        <f t="shared" si="146"/>
        <v>0</v>
      </c>
      <c r="L364" s="646">
        <f t="shared" si="147"/>
        <v>0</v>
      </c>
      <c r="M364" s="646">
        <v>-6285</v>
      </c>
      <c r="N364" s="654"/>
      <c r="O364" s="646">
        <f t="shared" si="148"/>
        <v>-6285</v>
      </c>
    </row>
    <row r="365" spans="1:15" s="672" customFormat="1" x14ac:dyDescent="0.25">
      <c r="A365" s="643"/>
      <c r="B365" s="646" t="s">
        <v>1201</v>
      </c>
      <c r="C365" s="646"/>
      <c r="D365" s="646"/>
      <c r="E365" s="646"/>
      <c r="F365" s="646"/>
      <c r="G365" s="646"/>
      <c r="H365" s="646"/>
      <c r="I365" s="654"/>
      <c r="J365" s="654">
        <f t="shared" si="145"/>
        <v>0</v>
      </c>
      <c r="K365" s="654">
        <f t="shared" si="146"/>
        <v>0</v>
      </c>
      <c r="L365" s="646">
        <f t="shared" si="147"/>
        <v>0</v>
      </c>
      <c r="M365" s="646">
        <v>-16476</v>
      </c>
      <c r="N365" s="654"/>
      <c r="O365" s="646">
        <f t="shared" si="148"/>
        <v>-16476</v>
      </c>
    </row>
    <row r="366" spans="1:15" s="672" customFormat="1" x14ac:dyDescent="0.25">
      <c r="A366" s="643"/>
      <c r="B366" s="646" t="s">
        <v>1214</v>
      </c>
      <c r="C366" s="646"/>
      <c r="D366" s="646"/>
      <c r="E366" s="646"/>
      <c r="F366" s="646"/>
      <c r="G366" s="646"/>
      <c r="H366" s="646"/>
      <c r="I366" s="654"/>
      <c r="J366" s="654">
        <f t="shared" si="145"/>
        <v>0</v>
      </c>
      <c r="K366" s="654">
        <f t="shared" si="146"/>
        <v>0</v>
      </c>
      <c r="L366" s="646">
        <f t="shared" si="147"/>
        <v>0</v>
      </c>
      <c r="M366" s="646">
        <v>2789</v>
      </c>
      <c r="N366" s="654"/>
      <c r="O366" s="646">
        <f t="shared" si="148"/>
        <v>2789</v>
      </c>
    </row>
    <row r="367" spans="1:15" s="672" customFormat="1" ht="31.5" x14ac:dyDescent="0.25">
      <c r="A367" s="643"/>
      <c r="B367" s="646" t="s">
        <v>1202</v>
      </c>
      <c r="C367" s="646"/>
      <c r="D367" s="646"/>
      <c r="E367" s="646"/>
      <c r="F367" s="646"/>
      <c r="G367" s="646"/>
      <c r="H367" s="646"/>
      <c r="I367" s="654"/>
      <c r="J367" s="654">
        <f t="shared" si="145"/>
        <v>0</v>
      </c>
      <c r="K367" s="654">
        <f t="shared" si="146"/>
        <v>0</v>
      </c>
      <c r="L367" s="646">
        <f t="shared" si="147"/>
        <v>0</v>
      </c>
      <c r="M367" s="646">
        <v>13910</v>
      </c>
      <c r="N367" s="654"/>
      <c r="O367" s="646">
        <f t="shared" si="148"/>
        <v>13910</v>
      </c>
    </row>
    <row r="368" spans="1:15" s="672" customFormat="1" ht="108" customHeight="1" x14ac:dyDescent="0.25">
      <c r="A368" s="643"/>
      <c r="B368" s="646" t="s">
        <v>1203</v>
      </c>
      <c r="C368" s="646"/>
      <c r="D368" s="646"/>
      <c r="E368" s="646"/>
      <c r="F368" s="646"/>
      <c r="G368" s="646"/>
      <c r="H368" s="646"/>
      <c r="I368" s="654"/>
      <c r="J368" s="654">
        <f t="shared" si="145"/>
        <v>0</v>
      </c>
      <c r="K368" s="654">
        <f t="shared" si="146"/>
        <v>0</v>
      </c>
      <c r="L368" s="646">
        <f t="shared" si="147"/>
        <v>0</v>
      </c>
      <c r="M368" s="646">
        <v>-30000</v>
      </c>
      <c r="N368" s="654"/>
      <c r="O368" s="646">
        <f t="shared" si="148"/>
        <v>-30000</v>
      </c>
    </row>
    <row r="369" spans="1:15" s="672" customFormat="1" x14ac:dyDescent="0.25">
      <c r="A369" s="643"/>
      <c r="B369" s="644" t="s">
        <v>133</v>
      </c>
      <c r="C369" s="646"/>
      <c r="D369" s="646"/>
      <c r="E369" s="646"/>
      <c r="F369" s="646"/>
      <c r="G369" s="646"/>
      <c r="H369" s="646"/>
      <c r="I369" s="654"/>
      <c r="J369" s="654"/>
      <c r="K369" s="654"/>
      <c r="L369" s="646"/>
      <c r="M369" s="646"/>
      <c r="N369" s="654"/>
      <c r="O369" s="646"/>
    </row>
    <row r="370" spans="1:15" s="672" customFormat="1" ht="16.5" thickBot="1" x14ac:dyDescent="0.3">
      <c r="A370" s="643"/>
      <c r="B370" s="646" t="s">
        <v>1204</v>
      </c>
      <c r="C370" s="646"/>
      <c r="D370" s="646"/>
      <c r="E370" s="646"/>
      <c r="F370" s="646"/>
      <c r="G370" s="646"/>
      <c r="H370" s="646"/>
      <c r="I370" s="654"/>
      <c r="J370" s="654">
        <f t="shared" si="145"/>
        <v>0</v>
      </c>
      <c r="K370" s="654">
        <f t="shared" si="146"/>
        <v>0</v>
      </c>
      <c r="L370" s="646">
        <f t="shared" si="147"/>
        <v>0</v>
      </c>
      <c r="M370" s="646">
        <v>10034</v>
      </c>
      <c r="N370" s="654"/>
      <c r="O370" s="646">
        <f t="shared" si="148"/>
        <v>10034</v>
      </c>
    </row>
    <row r="371" spans="1:15" ht="17.25" thickTop="1" thickBot="1" x14ac:dyDescent="0.3">
      <c r="A371" s="638"/>
      <c r="B371" s="647" t="s">
        <v>381</v>
      </c>
      <c r="C371" s="647">
        <f>+C355+C359+C370+C360+C361+C362+C363+C364+C365+C366+C367+C368</f>
        <v>105471</v>
      </c>
      <c r="D371" s="647">
        <f t="shared" ref="D371:O371" si="149">+D355+D359+D370+D360+D361+D362+D363+D364+D365+D366+D367+D368</f>
        <v>0</v>
      </c>
      <c r="E371" s="647">
        <f t="shared" si="149"/>
        <v>0</v>
      </c>
      <c r="F371" s="647">
        <f t="shared" si="149"/>
        <v>321985</v>
      </c>
      <c r="G371" s="647">
        <f t="shared" si="149"/>
        <v>0</v>
      </c>
      <c r="H371" s="647">
        <f t="shared" si="149"/>
        <v>0</v>
      </c>
      <c r="I371" s="647">
        <f t="shared" si="149"/>
        <v>0</v>
      </c>
      <c r="J371" s="647">
        <f t="shared" si="149"/>
        <v>427456</v>
      </c>
      <c r="K371" s="647">
        <f t="shared" si="149"/>
        <v>0</v>
      </c>
      <c r="L371" s="647">
        <f t="shared" si="149"/>
        <v>427456</v>
      </c>
      <c r="M371" s="647">
        <f t="shared" si="149"/>
        <v>943518</v>
      </c>
      <c r="N371" s="647">
        <f t="shared" si="149"/>
        <v>11193</v>
      </c>
      <c r="O371" s="647">
        <f t="shared" si="149"/>
        <v>1382167</v>
      </c>
    </row>
    <row r="372" spans="1:15" ht="17.25" thickTop="1" thickBot="1" x14ac:dyDescent="0.3">
      <c r="A372" s="638"/>
      <c r="B372" s="647" t="s">
        <v>380</v>
      </c>
      <c r="C372" s="647">
        <f t="shared" ref="C372:O372" si="150">+C356+C359+C360+C361+C362+C363+C364+C365+C366+C367+C368</f>
        <v>105471</v>
      </c>
      <c r="D372" s="647">
        <f t="shared" si="150"/>
        <v>0</v>
      </c>
      <c r="E372" s="647">
        <f t="shared" si="150"/>
        <v>0</v>
      </c>
      <c r="F372" s="647">
        <f t="shared" si="150"/>
        <v>321985</v>
      </c>
      <c r="G372" s="647">
        <f t="shared" si="150"/>
        <v>0</v>
      </c>
      <c r="H372" s="647">
        <f t="shared" si="150"/>
        <v>0</v>
      </c>
      <c r="I372" s="647">
        <f t="shared" si="150"/>
        <v>0</v>
      </c>
      <c r="J372" s="647">
        <f t="shared" si="150"/>
        <v>427456</v>
      </c>
      <c r="K372" s="647">
        <f t="shared" si="150"/>
        <v>0</v>
      </c>
      <c r="L372" s="647">
        <f t="shared" si="150"/>
        <v>427456</v>
      </c>
      <c r="M372" s="647">
        <f t="shared" si="150"/>
        <v>933484</v>
      </c>
      <c r="N372" s="647">
        <f t="shared" si="150"/>
        <v>11193</v>
      </c>
      <c r="O372" s="647">
        <f t="shared" si="150"/>
        <v>1372133</v>
      </c>
    </row>
    <row r="373" spans="1:15" ht="17.25" thickTop="1" thickBot="1" x14ac:dyDescent="0.3">
      <c r="A373" s="638"/>
      <c r="B373" s="647" t="s">
        <v>379</v>
      </c>
      <c r="C373" s="647">
        <f>+C357+C370</f>
        <v>0</v>
      </c>
      <c r="D373" s="647">
        <f t="shared" ref="D373:O373" si="151">+D357+D370</f>
        <v>0</v>
      </c>
      <c r="E373" s="647">
        <f t="shared" si="151"/>
        <v>0</v>
      </c>
      <c r="F373" s="647">
        <f t="shared" si="151"/>
        <v>0</v>
      </c>
      <c r="G373" s="647">
        <f t="shared" si="151"/>
        <v>0</v>
      </c>
      <c r="H373" s="647">
        <f t="shared" si="151"/>
        <v>0</v>
      </c>
      <c r="I373" s="647">
        <f t="shared" si="151"/>
        <v>0</v>
      </c>
      <c r="J373" s="647">
        <f t="shared" si="151"/>
        <v>0</v>
      </c>
      <c r="K373" s="647">
        <f t="shared" si="151"/>
        <v>0</v>
      </c>
      <c r="L373" s="647">
        <f t="shared" si="151"/>
        <v>0</v>
      </c>
      <c r="M373" s="647">
        <f t="shared" si="151"/>
        <v>10034</v>
      </c>
      <c r="N373" s="647">
        <f t="shared" si="151"/>
        <v>0</v>
      </c>
      <c r="O373" s="647">
        <f t="shared" si="151"/>
        <v>10034</v>
      </c>
    </row>
    <row r="374" spans="1:15" ht="32.25" thickTop="1" x14ac:dyDescent="0.25">
      <c r="A374" s="642" t="s">
        <v>12</v>
      </c>
      <c r="B374" s="670" t="s">
        <v>824</v>
      </c>
      <c r="C374" s="670"/>
      <c r="D374" s="670"/>
      <c r="E374" s="670"/>
      <c r="F374" s="670"/>
      <c r="G374" s="670"/>
      <c r="H374" s="670"/>
      <c r="I374" s="670"/>
      <c r="J374" s="670"/>
      <c r="K374" s="670"/>
      <c r="L374" s="670"/>
      <c r="M374" s="670"/>
      <c r="N374" s="670"/>
      <c r="O374" s="670"/>
    </row>
    <row r="375" spans="1:15" x14ac:dyDescent="0.25">
      <c r="A375" s="642"/>
      <c r="B375" s="671" t="s">
        <v>349</v>
      </c>
      <c r="C375" s="671"/>
      <c r="D375" s="671"/>
      <c r="E375" s="671"/>
      <c r="F375" s="671">
        <f>SUM(F376:F377)</f>
        <v>1440</v>
      </c>
      <c r="G375" s="671"/>
      <c r="H375" s="671"/>
      <c r="I375" s="671"/>
      <c r="J375" s="676">
        <f>SUM(C375+E375+F375+H375)</f>
        <v>1440</v>
      </c>
      <c r="K375" s="676">
        <f>SUM(D375+G375+I375)</f>
        <v>0</v>
      </c>
      <c r="L375" s="671">
        <f>SUM(J375:K375)</f>
        <v>1440</v>
      </c>
      <c r="M375" s="671">
        <f>SUM(M376:M377)</f>
        <v>378132</v>
      </c>
      <c r="N375" s="676"/>
      <c r="O375" s="671">
        <f>SUM(L375:N375)</f>
        <v>379572</v>
      </c>
    </row>
    <row r="376" spans="1:15" s="672" customFormat="1" x14ac:dyDescent="0.25">
      <c r="A376" s="643"/>
      <c r="B376" s="644" t="s">
        <v>383</v>
      </c>
      <c r="C376" s="644"/>
      <c r="D376" s="644"/>
      <c r="E376" s="644"/>
      <c r="F376" s="644">
        <v>1440</v>
      </c>
      <c r="G376" s="644"/>
      <c r="H376" s="644"/>
      <c r="I376" s="655"/>
      <c r="J376" s="653">
        <f>SUM(C376+E376+F376+H376)</f>
        <v>1440</v>
      </c>
      <c r="K376" s="653">
        <f>SUM(D376+G376+I376)</f>
        <v>0</v>
      </c>
      <c r="L376" s="645">
        <f>SUM(J376:K376)</f>
        <v>1440</v>
      </c>
      <c r="M376" s="645">
        <v>378132</v>
      </c>
      <c r="N376" s="653"/>
      <c r="O376" s="645">
        <f>SUM(L376:N376)</f>
        <v>379572</v>
      </c>
    </row>
    <row r="377" spans="1:15" s="672" customFormat="1" x14ac:dyDescent="0.25">
      <c r="A377" s="643"/>
      <c r="B377" s="644" t="s">
        <v>382</v>
      </c>
      <c r="C377" s="644"/>
      <c r="D377" s="644"/>
      <c r="E377" s="644"/>
      <c r="F377" s="644"/>
      <c r="G377" s="644"/>
      <c r="H377" s="644"/>
      <c r="I377" s="655"/>
      <c r="J377" s="655">
        <f>SUM(C377+E377+F377+H377)</f>
        <v>0</v>
      </c>
      <c r="K377" s="655">
        <f>SUM(D377+G377+I377)</f>
        <v>0</v>
      </c>
      <c r="L377" s="644">
        <f>SUM(J377:K377)</f>
        <v>0</v>
      </c>
      <c r="M377" s="644"/>
      <c r="N377" s="655"/>
      <c r="O377" s="644">
        <f>SUM(L377:N377)</f>
        <v>0</v>
      </c>
    </row>
    <row r="378" spans="1:15" s="672" customFormat="1" x14ac:dyDescent="0.25">
      <c r="A378" s="643"/>
      <c r="B378" s="644" t="s">
        <v>132</v>
      </c>
      <c r="C378" s="646"/>
      <c r="D378" s="646"/>
      <c r="E378" s="646"/>
      <c r="F378" s="646"/>
      <c r="G378" s="646"/>
      <c r="H378" s="646"/>
      <c r="I378" s="654"/>
      <c r="J378" s="654"/>
      <c r="K378" s="654"/>
      <c r="L378" s="646"/>
      <c r="M378" s="646"/>
      <c r="N378" s="654"/>
      <c r="O378" s="646"/>
    </row>
    <row r="379" spans="1:15" s="672" customFormat="1" ht="38.25" customHeight="1" x14ac:dyDescent="0.25">
      <c r="A379" s="643"/>
      <c r="B379" s="646" t="s">
        <v>1196</v>
      </c>
      <c r="C379" s="646">
        <v>17119</v>
      </c>
      <c r="D379" s="646"/>
      <c r="E379" s="646"/>
      <c r="F379" s="646"/>
      <c r="G379" s="646"/>
      <c r="H379" s="646"/>
      <c r="I379" s="654"/>
      <c r="J379" s="654">
        <f t="shared" ref="J379:J389" si="152">SUM(C379+E379+F379+H379)</f>
        <v>17119</v>
      </c>
      <c r="K379" s="654">
        <f t="shared" ref="K379:K389" si="153">SUM(D379+G379+I379)</f>
        <v>0</v>
      </c>
      <c r="L379" s="646">
        <f t="shared" ref="L379:L389" si="154">SUM(J379:K379)</f>
        <v>17119</v>
      </c>
      <c r="M379" s="646"/>
      <c r="N379" s="654">
        <v>159540</v>
      </c>
      <c r="O379" s="646">
        <f t="shared" ref="O379:O389" si="155">SUM(L379:N379)</f>
        <v>176659</v>
      </c>
    </row>
    <row r="380" spans="1:15" s="672" customFormat="1" ht="31.5" x14ac:dyDescent="0.25">
      <c r="A380" s="643"/>
      <c r="B380" s="646" t="s">
        <v>1197</v>
      </c>
      <c r="C380" s="646"/>
      <c r="D380" s="646"/>
      <c r="E380" s="646"/>
      <c r="F380" s="646"/>
      <c r="G380" s="646"/>
      <c r="H380" s="646"/>
      <c r="I380" s="654"/>
      <c r="J380" s="654">
        <f t="shared" si="152"/>
        <v>0</v>
      </c>
      <c r="K380" s="654">
        <f t="shared" si="153"/>
        <v>0</v>
      </c>
      <c r="L380" s="646">
        <f t="shared" si="154"/>
        <v>0</v>
      </c>
      <c r="M380" s="646">
        <v>216</v>
      </c>
      <c r="N380" s="654"/>
      <c r="O380" s="646">
        <f t="shared" si="155"/>
        <v>216</v>
      </c>
    </row>
    <row r="381" spans="1:15" s="672" customFormat="1" ht="31.5" x14ac:dyDescent="0.25">
      <c r="A381" s="643"/>
      <c r="B381" s="646" t="s">
        <v>1205</v>
      </c>
      <c r="C381" s="646"/>
      <c r="D381" s="646"/>
      <c r="E381" s="646"/>
      <c r="F381" s="646"/>
      <c r="G381" s="646"/>
      <c r="H381" s="646"/>
      <c r="I381" s="654"/>
      <c r="J381" s="654">
        <f t="shared" si="152"/>
        <v>0</v>
      </c>
      <c r="K381" s="654">
        <f t="shared" si="153"/>
        <v>0</v>
      </c>
      <c r="L381" s="646">
        <f t="shared" si="154"/>
        <v>0</v>
      </c>
      <c r="M381" s="646">
        <v>23782</v>
      </c>
      <c r="N381" s="654"/>
      <c r="O381" s="646">
        <f t="shared" si="155"/>
        <v>23782</v>
      </c>
    </row>
    <row r="382" spans="1:15" s="672" customFormat="1" ht="31.5" x14ac:dyDescent="0.25">
      <c r="A382" s="643"/>
      <c r="B382" s="673" t="s">
        <v>1198</v>
      </c>
      <c r="C382" s="646"/>
      <c r="D382" s="646"/>
      <c r="E382" s="646"/>
      <c r="F382" s="646"/>
      <c r="G382" s="646"/>
      <c r="H382" s="646"/>
      <c r="I382" s="654"/>
      <c r="J382" s="654">
        <f t="shared" si="152"/>
        <v>0</v>
      </c>
      <c r="K382" s="654">
        <f t="shared" si="153"/>
        <v>0</v>
      </c>
      <c r="L382" s="646">
        <f t="shared" si="154"/>
        <v>0</v>
      </c>
      <c r="M382" s="646">
        <v>-1935</v>
      </c>
      <c r="N382" s="654"/>
      <c r="O382" s="646">
        <f t="shared" si="155"/>
        <v>-1935</v>
      </c>
    </row>
    <row r="383" spans="1:15" s="672" customFormat="1" x14ac:dyDescent="0.25">
      <c r="A383" s="643"/>
      <c r="B383" s="646" t="s">
        <v>1199</v>
      </c>
      <c r="C383" s="646"/>
      <c r="D383" s="646"/>
      <c r="E383" s="646"/>
      <c r="F383" s="646"/>
      <c r="G383" s="646"/>
      <c r="H383" s="646"/>
      <c r="I383" s="654"/>
      <c r="J383" s="654">
        <f t="shared" si="152"/>
        <v>0</v>
      </c>
      <c r="K383" s="654">
        <f t="shared" si="153"/>
        <v>0</v>
      </c>
      <c r="L383" s="646">
        <f t="shared" si="154"/>
        <v>0</v>
      </c>
      <c r="M383" s="646">
        <v>-2132</v>
      </c>
      <c r="N383" s="654"/>
      <c r="O383" s="646">
        <f t="shared" si="155"/>
        <v>-2132</v>
      </c>
    </row>
    <row r="384" spans="1:15" s="672" customFormat="1" x14ac:dyDescent="0.25">
      <c r="A384" s="643"/>
      <c r="B384" s="646" t="s">
        <v>1201</v>
      </c>
      <c r="C384" s="646"/>
      <c r="D384" s="646"/>
      <c r="E384" s="646"/>
      <c r="F384" s="646"/>
      <c r="G384" s="646"/>
      <c r="H384" s="646"/>
      <c r="I384" s="654"/>
      <c r="J384" s="654">
        <f t="shared" si="152"/>
        <v>0</v>
      </c>
      <c r="K384" s="654">
        <f t="shared" si="153"/>
        <v>0</v>
      </c>
      <c r="L384" s="646">
        <f t="shared" si="154"/>
        <v>0</v>
      </c>
      <c r="M384" s="646">
        <v>-19193</v>
      </c>
      <c r="N384" s="654"/>
      <c r="O384" s="646">
        <f t="shared" si="155"/>
        <v>-19193</v>
      </c>
    </row>
    <row r="385" spans="1:15" s="672" customFormat="1" ht="31.5" x14ac:dyDescent="0.25">
      <c r="A385" s="643"/>
      <c r="B385" s="646" t="s">
        <v>1202</v>
      </c>
      <c r="C385" s="646"/>
      <c r="D385" s="646"/>
      <c r="E385" s="646"/>
      <c r="F385" s="646"/>
      <c r="G385" s="646"/>
      <c r="H385" s="646"/>
      <c r="I385" s="654"/>
      <c r="J385" s="654">
        <f t="shared" si="152"/>
        <v>0</v>
      </c>
      <c r="K385" s="654">
        <f t="shared" si="153"/>
        <v>0</v>
      </c>
      <c r="L385" s="646">
        <f t="shared" si="154"/>
        <v>0</v>
      </c>
      <c r="M385" s="646">
        <v>793</v>
      </c>
      <c r="N385" s="654"/>
      <c r="O385" s="646">
        <f t="shared" si="155"/>
        <v>793</v>
      </c>
    </row>
    <row r="386" spans="1:15" s="672" customFormat="1" ht="111" customHeight="1" x14ac:dyDescent="0.25">
      <c r="A386" s="643"/>
      <c r="B386" s="646" t="s">
        <v>1203</v>
      </c>
      <c r="C386" s="646"/>
      <c r="D386" s="646"/>
      <c r="E386" s="646"/>
      <c r="F386" s="646"/>
      <c r="G386" s="646"/>
      <c r="H386" s="646"/>
      <c r="I386" s="654"/>
      <c r="J386" s="654">
        <f t="shared" si="152"/>
        <v>0</v>
      </c>
      <c r="K386" s="654">
        <f t="shared" si="153"/>
        <v>0</v>
      </c>
      <c r="L386" s="646">
        <f t="shared" si="154"/>
        <v>0</v>
      </c>
      <c r="M386" s="646">
        <v>-90000</v>
      </c>
      <c r="N386" s="654"/>
      <c r="O386" s="646">
        <f t="shared" si="155"/>
        <v>-90000</v>
      </c>
    </row>
    <row r="387" spans="1:15" s="672" customFormat="1" ht="33.75" customHeight="1" x14ac:dyDescent="0.25">
      <c r="A387" s="643"/>
      <c r="B387" s="646" t="s">
        <v>1215</v>
      </c>
      <c r="C387" s="646"/>
      <c r="D387" s="646"/>
      <c r="E387" s="646"/>
      <c r="F387" s="646"/>
      <c r="G387" s="646"/>
      <c r="H387" s="646"/>
      <c r="I387" s="654"/>
      <c r="J387" s="654">
        <f t="shared" si="152"/>
        <v>0</v>
      </c>
      <c r="K387" s="654">
        <f t="shared" si="153"/>
        <v>0</v>
      </c>
      <c r="L387" s="646">
        <f t="shared" si="154"/>
        <v>0</v>
      </c>
      <c r="M387" s="646">
        <v>6400</v>
      </c>
      <c r="N387" s="654"/>
      <c r="O387" s="646">
        <f t="shared" si="155"/>
        <v>6400</v>
      </c>
    </row>
    <row r="388" spans="1:15" s="672" customFormat="1" x14ac:dyDescent="0.25">
      <c r="A388" s="643"/>
      <c r="B388" s="644" t="s">
        <v>133</v>
      </c>
      <c r="C388" s="646"/>
      <c r="D388" s="646"/>
      <c r="E388" s="646"/>
      <c r="F388" s="646"/>
      <c r="G388" s="646"/>
      <c r="H388" s="646"/>
      <c r="I388" s="654"/>
      <c r="J388" s="654"/>
      <c r="K388" s="654"/>
      <c r="L388" s="646"/>
      <c r="M388" s="646"/>
      <c r="N388" s="654"/>
      <c r="O388" s="646"/>
    </row>
    <row r="389" spans="1:15" s="672" customFormat="1" ht="16.5" thickBot="1" x14ac:dyDescent="0.3">
      <c r="A389" s="643"/>
      <c r="B389" s="646" t="s">
        <v>1204</v>
      </c>
      <c r="C389" s="646"/>
      <c r="D389" s="646"/>
      <c r="E389" s="646"/>
      <c r="F389" s="646"/>
      <c r="G389" s="646"/>
      <c r="H389" s="646"/>
      <c r="I389" s="654"/>
      <c r="J389" s="654">
        <f t="shared" si="152"/>
        <v>0</v>
      </c>
      <c r="K389" s="654">
        <f t="shared" si="153"/>
        <v>0</v>
      </c>
      <c r="L389" s="646">
        <f t="shared" si="154"/>
        <v>0</v>
      </c>
      <c r="M389" s="646">
        <v>3080</v>
      </c>
      <c r="N389" s="654"/>
      <c r="O389" s="646">
        <f t="shared" si="155"/>
        <v>3080</v>
      </c>
    </row>
    <row r="390" spans="1:15" ht="17.25" thickTop="1" thickBot="1" x14ac:dyDescent="0.3">
      <c r="A390" s="638"/>
      <c r="B390" s="647" t="s">
        <v>381</v>
      </c>
      <c r="C390" s="647">
        <f>+C375+C379+C389+C380+C381+C382+C383+C384+C385+C386+C387</f>
        <v>17119</v>
      </c>
      <c r="D390" s="647">
        <f t="shared" ref="D390:O390" si="156">+D375+D379+D389+D380+D381+D382+D383+D384+D385+D386+D387</f>
        <v>0</v>
      </c>
      <c r="E390" s="647">
        <f t="shared" si="156"/>
        <v>0</v>
      </c>
      <c r="F390" s="647">
        <f t="shared" si="156"/>
        <v>1440</v>
      </c>
      <c r="G390" s="647">
        <f t="shared" si="156"/>
        <v>0</v>
      </c>
      <c r="H390" s="647">
        <f t="shared" si="156"/>
        <v>0</v>
      </c>
      <c r="I390" s="647">
        <f t="shared" si="156"/>
        <v>0</v>
      </c>
      <c r="J390" s="647">
        <f t="shared" si="156"/>
        <v>18559</v>
      </c>
      <c r="K390" s="647">
        <f t="shared" si="156"/>
        <v>0</v>
      </c>
      <c r="L390" s="647">
        <f t="shared" si="156"/>
        <v>18559</v>
      </c>
      <c r="M390" s="647">
        <f t="shared" si="156"/>
        <v>299143</v>
      </c>
      <c r="N390" s="647">
        <f t="shared" si="156"/>
        <v>159540</v>
      </c>
      <c r="O390" s="647">
        <f t="shared" si="156"/>
        <v>477242</v>
      </c>
    </row>
    <row r="391" spans="1:15" ht="17.25" thickTop="1" thickBot="1" x14ac:dyDescent="0.3">
      <c r="A391" s="638"/>
      <c r="B391" s="647" t="s">
        <v>380</v>
      </c>
      <c r="C391" s="647">
        <f>+C376+C379+C380+C381+C382+C383+C384+C385+C386+C387</f>
        <v>17119</v>
      </c>
      <c r="D391" s="647">
        <f t="shared" ref="D391:O391" si="157">+D376+D379+D380+D381+D382+D383+D384+D385+D386+D387</f>
        <v>0</v>
      </c>
      <c r="E391" s="647">
        <f t="shared" si="157"/>
        <v>0</v>
      </c>
      <c r="F391" s="647">
        <f t="shared" si="157"/>
        <v>1440</v>
      </c>
      <c r="G391" s="647">
        <f t="shared" si="157"/>
        <v>0</v>
      </c>
      <c r="H391" s="647">
        <f t="shared" si="157"/>
        <v>0</v>
      </c>
      <c r="I391" s="647">
        <f t="shared" si="157"/>
        <v>0</v>
      </c>
      <c r="J391" s="647">
        <f t="shared" si="157"/>
        <v>18559</v>
      </c>
      <c r="K391" s="647">
        <f t="shared" si="157"/>
        <v>0</v>
      </c>
      <c r="L391" s="647">
        <f t="shared" si="157"/>
        <v>18559</v>
      </c>
      <c r="M391" s="647">
        <f t="shared" si="157"/>
        <v>296063</v>
      </c>
      <c r="N391" s="647">
        <f t="shared" si="157"/>
        <v>159540</v>
      </c>
      <c r="O391" s="647">
        <f t="shared" si="157"/>
        <v>474162</v>
      </c>
    </row>
    <row r="392" spans="1:15" ht="17.25" thickTop="1" thickBot="1" x14ac:dyDescent="0.3">
      <c r="A392" s="638"/>
      <c r="B392" s="647" t="s">
        <v>379</v>
      </c>
      <c r="C392" s="647">
        <f>+C377+C389</f>
        <v>0</v>
      </c>
      <c r="D392" s="647">
        <f t="shared" ref="D392:O392" si="158">+D377+D389</f>
        <v>0</v>
      </c>
      <c r="E392" s="647">
        <f t="shared" si="158"/>
        <v>0</v>
      </c>
      <c r="F392" s="647">
        <f t="shared" si="158"/>
        <v>0</v>
      </c>
      <c r="G392" s="647">
        <f t="shared" si="158"/>
        <v>0</v>
      </c>
      <c r="H392" s="647">
        <f t="shared" si="158"/>
        <v>0</v>
      </c>
      <c r="I392" s="647">
        <f t="shared" si="158"/>
        <v>0</v>
      </c>
      <c r="J392" s="647">
        <f t="shared" si="158"/>
        <v>0</v>
      </c>
      <c r="K392" s="647">
        <f t="shared" si="158"/>
        <v>0</v>
      </c>
      <c r="L392" s="647">
        <f t="shared" si="158"/>
        <v>0</v>
      </c>
      <c r="M392" s="647">
        <f t="shared" si="158"/>
        <v>3080</v>
      </c>
      <c r="N392" s="647">
        <f t="shared" si="158"/>
        <v>0</v>
      </c>
      <c r="O392" s="647">
        <f t="shared" si="158"/>
        <v>3080</v>
      </c>
    </row>
    <row r="393" spans="1:15" ht="16.5" thickTop="1" x14ac:dyDescent="0.25">
      <c r="A393" s="642" t="s">
        <v>13</v>
      </c>
      <c r="B393" s="670" t="s">
        <v>378</v>
      </c>
      <c r="C393" s="670"/>
      <c r="D393" s="670"/>
      <c r="E393" s="670"/>
      <c r="F393" s="670"/>
      <c r="G393" s="670"/>
      <c r="H393" s="670"/>
      <c r="I393" s="670"/>
      <c r="J393" s="670"/>
      <c r="K393" s="670"/>
      <c r="L393" s="670"/>
      <c r="M393" s="670"/>
      <c r="N393" s="670"/>
      <c r="O393" s="670"/>
    </row>
    <row r="394" spans="1:15" x14ac:dyDescent="0.25">
      <c r="A394" s="642"/>
      <c r="B394" s="671" t="s">
        <v>349</v>
      </c>
      <c r="C394" s="671"/>
      <c r="D394" s="671"/>
      <c r="E394" s="671"/>
      <c r="F394" s="671">
        <f>SUM(F395:F396)</f>
        <v>9200</v>
      </c>
      <c r="G394" s="671"/>
      <c r="H394" s="671"/>
      <c r="I394" s="671"/>
      <c r="J394" s="671">
        <f>SUM(C394+E394+F394+H394)</f>
        <v>9200</v>
      </c>
      <c r="K394" s="671">
        <f>SUM(D394+G394+I394)</f>
        <v>0</v>
      </c>
      <c r="L394" s="671">
        <f>SUM(J394:K394)</f>
        <v>9200</v>
      </c>
      <c r="M394" s="671">
        <f>SUM(M395:M396)</f>
        <v>271549</v>
      </c>
      <c r="N394" s="671"/>
      <c r="O394" s="671">
        <f>SUM(L394:N394)</f>
        <v>280749</v>
      </c>
    </row>
    <row r="395" spans="1:15" s="672" customFormat="1" x14ac:dyDescent="0.25">
      <c r="A395" s="643"/>
      <c r="B395" s="644" t="s">
        <v>383</v>
      </c>
      <c r="C395" s="644"/>
      <c r="D395" s="644"/>
      <c r="E395" s="644"/>
      <c r="F395" s="644">
        <v>9200</v>
      </c>
      <c r="G395" s="644"/>
      <c r="H395" s="644"/>
      <c r="I395" s="644"/>
      <c r="J395" s="645">
        <f>SUM(C395+E395+F395+H395)</f>
        <v>9200</v>
      </c>
      <c r="K395" s="645">
        <f>SUM(D395+G395+I395)</f>
        <v>0</v>
      </c>
      <c r="L395" s="645">
        <f>SUM(J395:K395)</f>
        <v>9200</v>
      </c>
      <c r="M395" s="645">
        <v>271549</v>
      </c>
      <c r="N395" s="645"/>
      <c r="O395" s="645">
        <f>SUM(L395:N395)</f>
        <v>280749</v>
      </c>
    </row>
    <row r="396" spans="1:15" s="672" customFormat="1" x14ac:dyDescent="0.25">
      <c r="A396" s="643"/>
      <c r="B396" s="644" t="s">
        <v>382</v>
      </c>
      <c r="C396" s="644"/>
      <c r="D396" s="644"/>
      <c r="E396" s="644"/>
      <c r="F396" s="644"/>
      <c r="G396" s="644"/>
      <c r="H396" s="644"/>
      <c r="I396" s="644"/>
      <c r="J396" s="644">
        <f>SUM(C396+E396+F396+H396)</f>
        <v>0</v>
      </c>
      <c r="K396" s="644">
        <f>SUM(D396+G396+I396)</f>
        <v>0</v>
      </c>
      <c r="L396" s="644">
        <f>SUM(J396:K396)</f>
        <v>0</v>
      </c>
      <c r="M396" s="644"/>
      <c r="N396" s="644"/>
      <c r="O396" s="644">
        <f>SUM(L396:N396)</f>
        <v>0</v>
      </c>
    </row>
    <row r="397" spans="1:15" s="672" customFormat="1" x14ac:dyDescent="0.25">
      <c r="A397" s="649"/>
      <c r="B397" s="656" t="s">
        <v>132</v>
      </c>
      <c r="C397" s="658"/>
      <c r="D397" s="658"/>
      <c r="E397" s="658"/>
      <c r="F397" s="658"/>
      <c r="G397" s="658"/>
      <c r="H397" s="658"/>
      <c r="I397" s="658"/>
      <c r="J397" s="658"/>
      <c r="K397" s="658"/>
      <c r="L397" s="658"/>
      <c r="M397" s="658"/>
      <c r="N397" s="658"/>
      <c r="O397" s="658"/>
    </row>
    <row r="398" spans="1:15" s="672" customFormat="1" ht="35.25" customHeight="1" x14ac:dyDescent="0.25">
      <c r="A398" s="649"/>
      <c r="B398" s="658" t="s">
        <v>1196</v>
      </c>
      <c r="C398" s="658">
        <v>20617</v>
      </c>
      <c r="D398" s="658"/>
      <c r="E398" s="658"/>
      <c r="F398" s="658"/>
      <c r="G398" s="658"/>
      <c r="H398" s="658"/>
      <c r="I398" s="658"/>
      <c r="J398" s="658">
        <f t="shared" ref="J398:J406" si="159">SUM(C398+E398+F398+H398)</f>
        <v>20617</v>
      </c>
      <c r="K398" s="658">
        <f t="shared" ref="K398:K406" si="160">SUM(D398+G398+I398)</f>
        <v>0</v>
      </c>
      <c r="L398" s="658">
        <f t="shared" ref="L398:L406" si="161">SUM(J398:K398)</f>
        <v>20617</v>
      </c>
      <c r="M398" s="658"/>
      <c r="N398" s="658">
        <v>92242</v>
      </c>
      <c r="O398" s="658">
        <f t="shared" ref="O398:O406" si="162">SUM(L398:N398)</f>
        <v>112859</v>
      </c>
    </row>
    <row r="399" spans="1:15" s="672" customFormat="1" ht="31.5" x14ac:dyDescent="0.25">
      <c r="A399" s="643"/>
      <c r="B399" s="646" t="s">
        <v>1197</v>
      </c>
      <c r="C399" s="646"/>
      <c r="D399" s="646"/>
      <c r="E399" s="646"/>
      <c r="F399" s="646"/>
      <c r="G399" s="646"/>
      <c r="H399" s="646"/>
      <c r="I399" s="646"/>
      <c r="J399" s="646">
        <f t="shared" si="159"/>
        <v>0</v>
      </c>
      <c r="K399" s="646">
        <f t="shared" si="160"/>
        <v>0</v>
      </c>
      <c r="L399" s="646">
        <f t="shared" si="161"/>
        <v>0</v>
      </c>
      <c r="M399" s="646">
        <v>98</v>
      </c>
      <c r="N399" s="646"/>
      <c r="O399" s="646">
        <f t="shared" si="162"/>
        <v>98</v>
      </c>
    </row>
    <row r="400" spans="1:15" s="672" customFormat="1" ht="31.5" x14ac:dyDescent="0.25">
      <c r="A400" s="643"/>
      <c r="B400" s="646" t="s">
        <v>1205</v>
      </c>
      <c r="C400" s="646"/>
      <c r="D400" s="646"/>
      <c r="E400" s="646"/>
      <c r="F400" s="646"/>
      <c r="G400" s="646"/>
      <c r="H400" s="646"/>
      <c r="I400" s="646"/>
      <c r="J400" s="646">
        <f t="shared" si="159"/>
        <v>0</v>
      </c>
      <c r="K400" s="646">
        <f t="shared" si="160"/>
        <v>0</v>
      </c>
      <c r="L400" s="646">
        <f t="shared" si="161"/>
        <v>0</v>
      </c>
      <c r="M400" s="646">
        <v>13975</v>
      </c>
      <c r="N400" s="646"/>
      <c r="O400" s="646">
        <f t="shared" si="162"/>
        <v>13975</v>
      </c>
    </row>
    <row r="401" spans="1:15" s="672" customFormat="1" ht="31.5" x14ac:dyDescent="0.25">
      <c r="A401" s="643"/>
      <c r="B401" s="673" t="s">
        <v>1198</v>
      </c>
      <c r="C401" s="646"/>
      <c r="D401" s="646"/>
      <c r="E401" s="646"/>
      <c r="F401" s="646"/>
      <c r="G401" s="646"/>
      <c r="H401" s="646"/>
      <c r="I401" s="646"/>
      <c r="J401" s="646">
        <f t="shared" si="159"/>
        <v>0</v>
      </c>
      <c r="K401" s="646">
        <f t="shared" si="160"/>
        <v>0</v>
      </c>
      <c r="L401" s="646">
        <f t="shared" si="161"/>
        <v>0</v>
      </c>
      <c r="M401" s="646">
        <v>-1436</v>
      </c>
      <c r="N401" s="646"/>
      <c r="O401" s="646">
        <f t="shared" si="162"/>
        <v>-1436</v>
      </c>
    </row>
    <row r="402" spans="1:15" s="672" customFormat="1" x14ac:dyDescent="0.25">
      <c r="A402" s="643"/>
      <c r="B402" s="646" t="s">
        <v>1199</v>
      </c>
      <c r="C402" s="646"/>
      <c r="D402" s="646"/>
      <c r="E402" s="646"/>
      <c r="F402" s="646"/>
      <c r="G402" s="646"/>
      <c r="H402" s="646"/>
      <c r="I402" s="646"/>
      <c r="J402" s="646">
        <f t="shared" si="159"/>
        <v>0</v>
      </c>
      <c r="K402" s="646">
        <f t="shared" si="160"/>
        <v>0</v>
      </c>
      <c r="L402" s="646">
        <f t="shared" si="161"/>
        <v>0</v>
      </c>
      <c r="M402" s="646">
        <v>-1570</v>
      </c>
      <c r="N402" s="646"/>
      <c r="O402" s="646">
        <f t="shared" si="162"/>
        <v>-1570</v>
      </c>
    </row>
    <row r="403" spans="1:15" s="672" customFormat="1" x14ac:dyDescent="0.25">
      <c r="A403" s="643"/>
      <c r="B403" s="646" t="s">
        <v>1201</v>
      </c>
      <c r="C403" s="646"/>
      <c r="D403" s="646"/>
      <c r="E403" s="646"/>
      <c r="F403" s="646"/>
      <c r="G403" s="646"/>
      <c r="H403" s="646"/>
      <c r="I403" s="646"/>
      <c r="J403" s="646">
        <f t="shared" si="159"/>
        <v>0</v>
      </c>
      <c r="K403" s="646">
        <f t="shared" si="160"/>
        <v>0</v>
      </c>
      <c r="L403" s="646">
        <f t="shared" si="161"/>
        <v>0</v>
      </c>
      <c r="M403" s="646">
        <v>-4853</v>
      </c>
      <c r="N403" s="646"/>
      <c r="O403" s="646">
        <f t="shared" si="162"/>
        <v>-4853</v>
      </c>
    </row>
    <row r="404" spans="1:15" s="672" customFormat="1" ht="31.5" x14ac:dyDescent="0.25">
      <c r="A404" s="643"/>
      <c r="B404" s="646" t="s">
        <v>1202</v>
      </c>
      <c r="C404" s="646"/>
      <c r="D404" s="646"/>
      <c r="E404" s="646"/>
      <c r="F404" s="646"/>
      <c r="G404" s="646"/>
      <c r="H404" s="646"/>
      <c r="I404" s="646"/>
      <c r="J404" s="646">
        <f t="shared" si="159"/>
        <v>0</v>
      </c>
      <c r="K404" s="646">
        <f t="shared" si="160"/>
        <v>0</v>
      </c>
      <c r="L404" s="646">
        <f t="shared" si="161"/>
        <v>0</v>
      </c>
      <c r="M404" s="646">
        <v>2585</v>
      </c>
      <c r="N404" s="646"/>
      <c r="O404" s="646">
        <f t="shared" si="162"/>
        <v>2585</v>
      </c>
    </row>
    <row r="405" spans="1:15" s="672" customFormat="1" x14ac:dyDescent="0.25">
      <c r="A405" s="643"/>
      <c r="B405" s="644" t="s">
        <v>133</v>
      </c>
      <c r="C405" s="646"/>
      <c r="D405" s="646"/>
      <c r="E405" s="646"/>
      <c r="F405" s="646"/>
      <c r="G405" s="646"/>
      <c r="H405" s="646"/>
      <c r="I405" s="646"/>
      <c r="J405" s="646"/>
      <c r="K405" s="646"/>
      <c r="L405" s="646"/>
      <c r="M405" s="646"/>
      <c r="N405" s="646"/>
      <c r="O405" s="646"/>
    </row>
    <row r="406" spans="1:15" s="672" customFormat="1" ht="16.5" thickBot="1" x14ac:dyDescent="0.3">
      <c r="A406" s="643"/>
      <c r="B406" s="646" t="s">
        <v>1204</v>
      </c>
      <c r="C406" s="646"/>
      <c r="D406" s="646"/>
      <c r="E406" s="646"/>
      <c r="F406" s="646"/>
      <c r="G406" s="646"/>
      <c r="H406" s="646"/>
      <c r="I406" s="646"/>
      <c r="J406" s="646">
        <f t="shared" si="159"/>
        <v>0</v>
      </c>
      <c r="K406" s="646">
        <f t="shared" si="160"/>
        <v>0</v>
      </c>
      <c r="L406" s="646">
        <f t="shared" si="161"/>
        <v>0</v>
      </c>
      <c r="M406" s="646">
        <v>2474</v>
      </c>
      <c r="N406" s="646"/>
      <c r="O406" s="646">
        <f t="shared" si="162"/>
        <v>2474</v>
      </c>
    </row>
    <row r="407" spans="1:15" ht="17.25" thickTop="1" thickBot="1" x14ac:dyDescent="0.3">
      <c r="A407" s="638"/>
      <c r="B407" s="647" t="s">
        <v>381</v>
      </c>
      <c r="C407" s="647">
        <f>+C394+C398+C406+C399+C400+C401+C402+C403+C404</f>
        <v>20617</v>
      </c>
      <c r="D407" s="647">
        <f t="shared" ref="D407:O407" si="163">+D394+D398+D406+D399+D400+D401+D402+D403+D404</f>
        <v>0</v>
      </c>
      <c r="E407" s="647">
        <f t="shared" si="163"/>
        <v>0</v>
      </c>
      <c r="F407" s="647">
        <f t="shared" si="163"/>
        <v>9200</v>
      </c>
      <c r="G407" s="647">
        <f t="shared" si="163"/>
        <v>0</v>
      </c>
      <c r="H407" s="647">
        <f t="shared" si="163"/>
        <v>0</v>
      </c>
      <c r="I407" s="647">
        <f t="shared" si="163"/>
        <v>0</v>
      </c>
      <c r="J407" s="647">
        <f t="shared" si="163"/>
        <v>29817</v>
      </c>
      <c r="K407" s="647">
        <f t="shared" si="163"/>
        <v>0</v>
      </c>
      <c r="L407" s="647">
        <f t="shared" si="163"/>
        <v>29817</v>
      </c>
      <c r="M407" s="647">
        <f t="shared" si="163"/>
        <v>282822</v>
      </c>
      <c r="N407" s="647">
        <f t="shared" si="163"/>
        <v>92242</v>
      </c>
      <c r="O407" s="647">
        <f t="shared" si="163"/>
        <v>404881</v>
      </c>
    </row>
    <row r="408" spans="1:15" ht="17.25" thickTop="1" thickBot="1" x14ac:dyDescent="0.3">
      <c r="A408" s="638"/>
      <c r="B408" s="647" t="s">
        <v>380</v>
      </c>
      <c r="C408" s="647">
        <f t="shared" ref="C408:O408" si="164">+C395+C398+C399+C400+C401+C402+C403+C404</f>
        <v>20617</v>
      </c>
      <c r="D408" s="647">
        <f t="shared" si="164"/>
        <v>0</v>
      </c>
      <c r="E408" s="647">
        <f t="shared" si="164"/>
        <v>0</v>
      </c>
      <c r="F408" s="647">
        <f t="shared" si="164"/>
        <v>9200</v>
      </c>
      <c r="G408" s="647">
        <f t="shared" si="164"/>
        <v>0</v>
      </c>
      <c r="H408" s="647">
        <f t="shared" si="164"/>
        <v>0</v>
      </c>
      <c r="I408" s="647">
        <f t="shared" si="164"/>
        <v>0</v>
      </c>
      <c r="J408" s="647">
        <f t="shared" si="164"/>
        <v>29817</v>
      </c>
      <c r="K408" s="647">
        <f t="shared" si="164"/>
        <v>0</v>
      </c>
      <c r="L408" s="647">
        <f t="shared" si="164"/>
        <v>29817</v>
      </c>
      <c r="M408" s="647">
        <f t="shared" si="164"/>
        <v>280348</v>
      </c>
      <c r="N408" s="647">
        <f t="shared" si="164"/>
        <v>92242</v>
      </c>
      <c r="O408" s="647">
        <f t="shared" si="164"/>
        <v>402407</v>
      </c>
    </row>
    <row r="409" spans="1:15" ht="17.25" thickTop="1" thickBot="1" x14ac:dyDescent="0.3">
      <c r="A409" s="638"/>
      <c r="B409" s="647" t="s">
        <v>379</v>
      </c>
      <c r="C409" s="647">
        <f>+C396+C406</f>
        <v>0</v>
      </c>
      <c r="D409" s="647">
        <f t="shared" ref="D409:O409" si="165">+D396+D406</f>
        <v>0</v>
      </c>
      <c r="E409" s="647">
        <f t="shared" si="165"/>
        <v>0</v>
      </c>
      <c r="F409" s="647">
        <f t="shared" si="165"/>
        <v>0</v>
      </c>
      <c r="G409" s="647">
        <f t="shared" si="165"/>
        <v>0</v>
      </c>
      <c r="H409" s="647">
        <f t="shared" si="165"/>
        <v>0</v>
      </c>
      <c r="I409" s="647">
        <f t="shared" si="165"/>
        <v>0</v>
      </c>
      <c r="J409" s="647">
        <f t="shared" si="165"/>
        <v>0</v>
      </c>
      <c r="K409" s="647">
        <f t="shared" si="165"/>
        <v>0</v>
      </c>
      <c r="L409" s="647">
        <f t="shared" si="165"/>
        <v>0</v>
      </c>
      <c r="M409" s="647">
        <f t="shared" si="165"/>
        <v>2474</v>
      </c>
      <c r="N409" s="647">
        <f t="shared" si="165"/>
        <v>0</v>
      </c>
      <c r="O409" s="647">
        <f t="shared" si="165"/>
        <v>2474</v>
      </c>
    </row>
    <row r="410" spans="1:15" ht="17.25" thickTop="1" thickBot="1" x14ac:dyDescent="0.3">
      <c r="A410" s="638"/>
      <c r="B410" s="647" t="s">
        <v>395</v>
      </c>
      <c r="C410" s="647">
        <f t="shared" ref="C410:O410" si="166">SUM(C371+C390+C407)</f>
        <v>143207</v>
      </c>
      <c r="D410" s="647">
        <f t="shared" si="166"/>
        <v>0</v>
      </c>
      <c r="E410" s="647">
        <f t="shared" si="166"/>
        <v>0</v>
      </c>
      <c r="F410" s="647">
        <f t="shared" si="166"/>
        <v>332625</v>
      </c>
      <c r="G410" s="647">
        <f t="shared" si="166"/>
        <v>0</v>
      </c>
      <c r="H410" s="647">
        <f t="shared" si="166"/>
        <v>0</v>
      </c>
      <c r="I410" s="647">
        <f t="shared" si="166"/>
        <v>0</v>
      </c>
      <c r="J410" s="647">
        <f t="shared" si="166"/>
        <v>475832</v>
      </c>
      <c r="K410" s="647">
        <f t="shared" si="166"/>
        <v>0</v>
      </c>
      <c r="L410" s="647">
        <f t="shared" si="166"/>
        <v>475832</v>
      </c>
      <c r="M410" s="647">
        <f t="shared" si="166"/>
        <v>1525483</v>
      </c>
      <c r="N410" s="647">
        <f t="shared" si="166"/>
        <v>262975</v>
      </c>
      <c r="O410" s="647">
        <f t="shared" si="166"/>
        <v>2264290</v>
      </c>
    </row>
    <row r="411" spans="1:15" ht="16.5" thickTop="1" x14ac:dyDescent="0.25">
      <c r="A411" s="659" t="s">
        <v>14</v>
      </c>
      <c r="B411" s="660" t="s">
        <v>394</v>
      </c>
      <c r="C411" s="660"/>
      <c r="D411" s="660"/>
      <c r="E411" s="660"/>
      <c r="F411" s="660"/>
      <c r="G411" s="660"/>
      <c r="H411" s="660"/>
      <c r="I411" s="660"/>
      <c r="J411" s="660"/>
      <c r="K411" s="660"/>
      <c r="L411" s="660"/>
      <c r="M411" s="660"/>
      <c r="N411" s="660"/>
      <c r="O411" s="660"/>
    </row>
    <row r="412" spans="1:15" x14ac:dyDescent="0.25">
      <c r="A412" s="642"/>
      <c r="B412" s="678" t="s">
        <v>349</v>
      </c>
      <c r="C412" s="678"/>
      <c r="D412" s="678"/>
      <c r="E412" s="678"/>
      <c r="F412" s="678">
        <f>SUM(F413:F414)</f>
        <v>527657</v>
      </c>
      <c r="G412" s="678"/>
      <c r="H412" s="678"/>
      <c r="I412" s="678"/>
      <c r="J412" s="671">
        <f>SUM(C412+E412+F412+H412)</f>
        <v>527657</v>
      </c>
      <c r="K412" s="671">
        <f>SUM(D412+G412+I412)</f>
        <v>0</v>
      </c>
      <c r="L412" s="671">
        <f>SUM(J412:K412)</f>
        <v>527657</v>
      </c>
      <c r="M412" s="671">
        <f>SUM(M413:M414)</f>
        <v>942859</v>
      </c>
      <c r="N412" s="671"/>
      <c r="O412" s="671">
        <f>SUM(L412:N412)</f>
        <v>1470516</v>
      </c>
    </row>
    <row r="413" spans="1:15" s="672" customFormat="1" x14ac:dyDescent="0.25">
      <c r="A413" s="643"/>
      <c r="B413" s="644" t="s">
        <v>383</v>
      </c>
      <c r="C413" s="644"/>
      <c r="D413" s="644"/>
      <c r="E413" s="644"/>
      <c r="F413" s="644">
        <v>527657</v>
      </c>
      <c r="G413" s="644"/>
      <c r="H413" s="644"/>
      <c r="I413" s="644"/>
      <c r="J413" s="645">
        <f>SUM(C413+E413+F413+H413)</f>
        <v>527657</v>
      </c>
      <c r="K413" s="645">
        <f>SUM(D413+G413+I413)</f>
        <v>0</v>
      </c>
      <c r="L413" s="645">
        <f>SUM(J413:K413)</f>
        <v>527657</v>
      </c>
      <c r="M413" s="645">
        <v>942859</v>
      </c>
      <c r="N413" s="645"/>
      <c r="O413" s="645">
        <f>SUM(L413:N413)</f>
        <v>1470516</v>
      </c>
    </row>
    <row r="414" spans="1:15" s="672" customFormat="1" x14ac:dyDescent="0.25">
      <c r="A414" s="643"/>
      <c r="B414" s="644" t="s">
        <v>382</v>
      </c>
      <c r="C414" s="644"/>
      <c r="D414" s="644"/>
      <c r="E414" s="644"/>
      <c r="F414" s="644"/>
      <c r="G414" s="644"/>
      <c r="H414" s="644"/>
      <c r="I414" s="644"/>
      <c r="J414" s="644">
        <f>SUM(C414+E414+F414+H414)</f>
        <v>0</v>
      </c>
      <c r="K414" s="644">
        <f>SUM(D414+G414+I414)</f>
        <v>0</v>
      </c>
      <c r="L414" s="644">
        <f>SUM(J414:K414)</f>
        <v>0</v>
      </c>
      <c r="M414" s="644"/>
      <c r="N414" s="644"/>
      <c r="O414" s="644">
        <f>SUM(L414:N414)</f>
        <v>0</v>
      </c>
    </row>
    <row r="415" spans="1:15" x14ac:dyDescent="0.25">
      <c r="A415" s="642"/>
      <c r="B415" s="644" t="s">
        <v>132</v>
      </c>
      <c r="C415" s="644"/>
      <c r="D415" s="644"/>
      <c r="E415" s="644"/>
      <c r="F415" s="644"/>
      <c r="G415" s="644"/>
      <c r="H415" s="644"/>
      <c r="I415" s="644"/>
      <c r="J415" s="671"/>
      <c r="K415" s="671"/>
      <c r="L415" s="671"/>
      <c r="M415" s="671"/>
      <c r="N415" s="671"/>
      <c r="O415" s="671"/>
    </row>
    <row r="416" spans="1:15" ht="30.75" customHeight="1" x14ac:dyDescent="0.25">
      <c r="A416" s="642"/>
      <c r="B416" s="646" t="s">
        <v>1196</v>
      </c>
      <c r="C416" s="671">
        <v>23559</v>
      </c>
      <c r="D416" s="671"/>
      <c r="E416" s="671"/>
      <c r="F416" s="671"/>
      <c r="G416" s="671"/>
      <c r="H416" s="671"/>
      <c r="I416" s="671"/>
      <c r="J416" s="671">
        <f t="shared" ref="J416:J422" si="167">SUM(C416+E416+F416+H416)</f>
        <v>23559</v>
      </c>
      <c r="K416" s="671">
        <f t="shared" ref="K416:K422" si="168">SUM(D416+G416+I416)</f>
        <v>0</v>
      </c>
      <c r="L416" s="671">
        <f t="shared" ref="L416:L422" si="169">SUM(J416:K416)</f>
        <v>23559</v>
      </c>
      <c r="M416" s="671"/>
      <c r="N416" s="671">
        <v>19086</v>
      </c>
      <c r="O416" s="671">
        <f t="shared" ref="O416:O422" si="170">SUM(L416:N416)</f>
        <v>42645</v>
      </c>
    </row>
    <row r="417" spans="1:15" ht="31.5" x14ac:dyDescent="0.25">
      <c r="A417" s="642"/>
      <c r="B417" s="646" t="s">
        <v>1197</v>
      </c>
      <c r="C417" s="671"/>
      <c r="D417" s="671"/>
      <c r="E417" s="671"/>
      <c r="F417" s="671"/>
      <c r="G417" s="671"/>
      <c r="H417" s="671"/>
      <c r="I417" s="671"/>
      <c r="J417" s="671">
        <f t="shared" si="167"/>
        <v>0</v>
      </c>
      <c r="K417" s="671">
        <f t="shared" si="168"/>
        <v>0</v>
      </c>
      <c r="L417" s="671">
        <f t="shared" si="169"/>
        <v>0</v>
      </c>
      <c r="M417" s="671">
        <v>227</v>
      </c>
      <c r="N417" s="671"/>
      <c r="O417" s="671">
        <f t="shared" si="170"/>
        <v>227</v>
      </c>
    </row>
    <row r="418" spans="1:15" ht="31.5" x14ac:dyDescent="0.25">
      <c r="A418" s="642"/>
      <c r="B418" s="673" t="s">
        <v>1198</v>
      </c>
      <c r="C418" s="671"/>
      <c r="D418" s="671"/>
      <c r="E418" s="671"/>
      <c r="F418" s="671"/>
      <c r="G418" s="671"/>
      <c r="H418" s="671"/>
      <c r="I418" s="671"/>
      <c r="J418" s="671">
        <f t="shared" si="167"/>
        <v>0</v>
      </c>
      <c r="K418" s="671">
        <f t="shared" si="168"/>
        <v>0</v>
      </c>
      <c r="L418" s="671">
        <f t="shared" si="169"/>
        <v>0</v>
      </c>
      <c r="M418" s="671">
        <v>-2072</v>
      </c>
      <c r="N418" s="671"/>
      <c r="O418" s="671">
        <f t="shared" si="170"/>
        <v>-2072</v>
      </c>
    </row>
    <row r="419" spans="1:15" x14ac:dyDescent="0.25">
      <c r="A419" s="642"/>
      <c r="B419" s="646" t="s">
        <v>1199</v>
      </c>
      <c r="C419" s="671"/>
      <c r="D419" s="671"/>
      <c r="E419" s="671"/>
      <c r="F419" s="671"/>
      <c r="G419" s="671"/>
      <c r="H419" s="671"/>
      <c r="I419" s="671"/>
      <c r="J419" s="671">
        <f t="shared" si="167"/>
        <v>0</v>
      </c>
      <c r="K419" s="671">
        <f t="shared" si="168"/>
        <v>0</v>
      </c>
      <c r="L419" s="671">
        <f t="shared" si="169"/>
        <v>0</v>
      </c>
      <c r="M419" s="671">
        <v>-2199</v>
      </c>
      <c r="N419" s="671"/>
      <c r="O419" s="671">
        <f t="shared" si="170"/>
        <v>-2199</v>
      </c>
    </row>
    <row r="420" spans="1:15" x14ac:dyDescent="0.25">
      <c r="A420" s="642"/>
      <c r="B420" s="646" t="s">
        <v>1201</v>
      </c>
      <c r="C420" s="671"/>
      <c r="D420" s="671"/>
      <c r="E420" s="671"/>
      <c r="F420" s="671"/>
      <c r="G420" s="671"/>
      <c r="H420" s="671"/>
      <c r="I420" s="671"/>
      <c r="J420" s="671">
        <f t="shared" si="167"/>
        <v>0</v>
      </c>
      <c r="K420" s="671">
        <f t="shared" si="168"/>
        <v>0</v>
      </c>
      <c r="L420" s="671">
        <f t="shared" si="169"/>
        <v>0</v>
      </c>
      <c r="M420" s="671">
        <v>-21499</v>
      </c>
      <c r="N420" s="671"/>
      <c r="O420" s="671">
        <f t="shared" si="170"/>
        <v>-21499</v>
      </c>
    </row>
    <row r="421" spans="1:15" x14ac:dyDescent="0.25">
      <c r="A421" s="642"/>
      <c r="B421" s="644" t="s">
        <v>133</v>
      </c>
      <c r="C421" s="671"/>
      <c r="D421" s="671"/>
      <c r="E421" s="671"/>
      <c r="F421" s="671"/>
      <c r="G421" s="671"/>
      <c r="H421" s="671"/>
      <c r="I421" s="671"/>
      <c r="J421" s="671"/>
      <c r="K421" s="671"/>
      <c r="L421" s="671"/>
      <c r="M421" s="671"/>
      <c r="N421" s="671"/>
      <c r="O421" s="671"/>
    </row>
    <row r="422" spans="1:15" ht="16.5" thickBot="1" x14ac:dyDescent="0.3">
      <c r="A422" s="642"/>
      <c r="B422" s="646" t="s">
        <v>1204</v>
      </c>
      <c r="C422" s="671"/>
      <c r="D422" s="671"/>
      <c r="E422" s="671"/>
      <c r="F422" s="671"/>
      <c r="G422" s="671"/>
      <c r="H422" s="671"/>
      <c r="I422" s="671"/>
      <c r="J422" s="671">
        <f t="shared" si="167"/>
        <v>0</v>
      </c>
      <c r="K422" s="671">
        <f t="shared" si="168"/>
        <v>0</v>
      </c>
      <c r="L422" s="671">
        <f t="shared" si="169"/>
        <v>0</v>
      </c>
      <c r="M422" s="671">
        <v>2924</v>
      </c>
      <c r="N422" s="671"/>
      <c r="O422" s="671">
        <f t="shared" si="170"/>
        <v>2924</v>
      </c>
    </row>
    <row r="423" spans="1:15" ht="17.25" thickTop="1" thickBot="1" x14ac:dyDescent="0.3">
      <c r="A423" s="638"/>
      <c r="B423" s="647" t="s">
        <v>381</v>
      </c>
      <c r="C423" s="647">
        <f>+C412+C416+C417+C422+C418+C419+C420</f>
        <v>23559</v>
      </c>
      <c r="D423" s="647">
        <f t="shared" ref="D423:O423" si="171">+D412+D416+D417+D422+D418+D419+D420</f>
        <v>0</v>
      </c>
      <c r="E423" s="647">
        <f t="shared" si="171"/>
        <v>0</v>
      </c>
      <c r="F423" s="647">
        <f t="shared" si="171"/>
        <v>527657</v>
      </c>
      <c r="G423" s="647">
        <f t="shared" si="171"/>
        <v>0</v>
      </c>
      <c r="H423" s="647">
        <f t="shared" si="171"/>
        <v>0</v>
      </c>
      <c r="I423" s="647">
        <f t="shared" si="171"/>
        <v>0</v>
      </c>
      <c r="J423" s="647">
        <f t="shared" si="171"/>
        <v>551216</v>
      </c>
      <c r="K423" s="647">
        <f t="shared" si="171"/>
        <v>0</v>
      </c>
      <c r="L423" s="647">
        <f t="shared" si="171"/>
        <v>551216</v>
      </c>
      <c r="M423" s="647">
        <f t="shared" si="171"/>
        <v>920240</v>
      </c>
      <c r="N423" s="647">
        <f t="shared" si="171"/>
        <v>19086</v>
      </c>
      <c r="O423" s="647">
        <f t="shared" si="171"/>
        <v>1490542</v>
      </c>
    </row>
    <row r="424" spans="1:15" ht="17.25" thickTop="1" thickBot="1" x14ac:dyDescent="0.3">
      <c r="A424" s="638"/>
      <c r="B424" s="647" t="s">
        <v>380</v>
      </c>
      <c r="C424" s="647">
        <f t="shared" ref="C424:O424" si="172">+C413+C416+C417+C418+C419+C420</f>
        <v>23559</v>
      </c>
      <c r="D424" s="647">
        <f t="shared" si="172"/>
        <v>0</v>
      </c>
      <c r="E424" s="647">
        <f t="shared" si="172"/>
        <v>0</v>
      </c>
      <c r="F424" s="647">
        <f t="shared" si="172"/>
        <v>527657</v>
      </c>
      <c r="G424" s="647">
        <f t="shared" si="172"/>
        <v>0</v>
      </c>
      <c r="H424" s="647">
        <f t="shared" si="172"/>
        <v>0</v>
      </c>
      <c r="I424" s="647">
        <f t="shared" si="172"/>
        <v>0</v>
      </c>
      <c r="J424" s="647">
        <f t="shared" si="172"/>
        <v>551216</v>
      </c>
      <c r="K424" s="647">
        <f t="shared" si="172"/>
        <v>0</v>
      </c>
      <c r="L424" s="647">
        <f t="shared" si="172"/>
        <v>551216</v>
      </c>
      <c r="M424" s="647">
        <f t="shared" si="172"/>
        <v>917316</v>
      </c>
      <c r="N424" s="647">
        <f t="shared" si="172"/>
        <v>19086</v>
      </c>
      <c r="O424" s="647">
        <f t="shared" si="172"/>
        <v>1487618</v>
      </c>
    </row>
    <row r="425" spans="1:15" ht="17.25" thickTop="1" thickBot="1" x14ac:dyDescent="0.3">
      <c r="A425" s="638"/>
      <c r="B425" s="647" t="s">
        <v>379</v>
      </c>
      <c r="C425" s="647">
        <f>+C414+C422</f>
        <v>0</v>
      </c>
      <c r="D425" s="647">
        <f t="shared" ref="D425:O425" si="173">+D414+D422</f>
        <v>0</v>
      </c>
      <c r="E425" s="647">
        <f t="shared" si="173"/>
        <v>0</v>
      </c>
      <c r="F425" s="647">
        <f t="shared" si="173"/>
        <v>0</v>
      </c>
      <c r="G425" s="647">
        <f t="shared" si="173"/>
        <v>0</v>
      </c>
      <c r="H425" s="647">
        <f t="shared" si="173"/>
        <v>0</v>
      </c>
      <c r="I425" s="647">
        <f t="shared" si="173"/>
        <v>0</v>
      </c>
      <c r="J425" s="647">
        <f t="shared" si="173"/>
        <v>0</v>
      </c>
      <c r="K425" s="647">
        <f t="shared" si="173"/>
        <v>0</v>
      </c>
      <c r="L425" s="647">
        <f t="shared" si="173"/>
        <v>0</v>
      </c>
      <c r="M425" s="647">
        <f t="shared" si="173"/>
        <v>2924</v>
      </c>
      <c r="N425" s="647">
        <f t="shared" si="173"/>
        <v>0</v>
      </c>
      <c r="O425" s="647">
        <f t="shared" si="173"/>
        <v>2924</v>
      </c>
    </row>
    <row r="426" spans="1:15" ht="16.5" thickTop="1" x14ac:dyDescent="0.25">
      <c r="A426" s="642" t="s">
        <v>15</v>
      </c>
      <c r="B426" s="674" t="s">
        <v>393</v>
      </c>
      <c r="C426" s="674"/>
      <c r="D426" s="674"/>
      <c r="E426" s="674"/>
      <c r="F426" s="674"/>
      <c r="G426" s="674"/>
      <c r="H426" s="674"/>
      <c r="I426" s="674"/>
      <c r="J426" s="674"/>
      <c r="K426" s="674"/>
      <c r="L426" s="674"/>
      <c r="M426" s="674"/>
      <c r="N426" s="674"/>
      <c r="O426" s="674"/>
    </row>
    <row r="427" spans="1:15" x14ac:dyDescent="0.25">
      <c r="A427" s="642"/>
      <c r="B427" s="671" t="s">
        <v>349</v>
      </c>
      <c r="C427" s="671"/>
      <c r="D427" s="671"/>
      <c r="E427" s="671"/>
      <c r="F427" s="671">
        <f>SUM(F428)</f>
        <v>350</v>
      </c>
      <c r="G427" s="671"/>
      <c r="H427" s="671"/>
      <c r="I427" s="671"/>
      <c r="J427" s="671">
        <f>SUM(C427+E427+F427+H427)</f>
        <v>350</v>
      </c>
      <c r="K427" s="671">
        <f>SUM(D427+G427+I427)</f>
        <v>0</v>
      </c>
      <c r="L427" s="671">
        <f>SUM(J427:K427)</f>
        <v>350</v>
      </c>
      <c r="M427" s="671">
        <f>SUM(M428)</f>
        <v>83164</v>
      </c>
      <c r="N427" s="671"/>
      <c r="O427" s="671">
        <f>SUM(L427:N427)</f>
        <v>83514</v>
      </c>
    </row>
    <row r="428" spans="1:15" s="672" customFormat="1" x14ac:dyDescent="0.25">
      <c r="A428" s="643"/>
      <c r="B428" s="644" t="s">
        <v>388</v>
      </c>
      <c r="C428" s="644"/>
      <c r="D428" s="644"/>
      <c r="E428" s="644"/>
      <c r="F428" s="644">
        <v>350</v>
      </c>
      <c r="G428" s="644"/>
      <c r="H428" s="644"/>
      <c r="I428" s="644"/>
      <c r="J428" s="645">
        <f>SUM(C428+E428+F428+H428)</f>
        <v>350</v>
      </c>
      <c r="K428" s="645">
        <f>SUM(D428+G428+I428)</f>
        <v>0</v>
      </c>
      <c r="L428" s="645">
        <f>SUM(J428:K428)</f>
        <v>350</v>
      </c>
      <c r="M428" s="645">
        <v>83164</v>
      </c>
      <c r="N428" s="645"/>
      <c r="O428" s="645">
        <f>SUM(L428:N428)</f>
        <v>83514</v>
      </c>
    </row>
    <row r="429" spans="1:15" s="672" customFormat="1" x14ac:dyDescent="0.25">
      <c r="A429" s="643"/>
      <c r="B429" s="644" t="s">
        <v>133</v>
      </c>
      <c r="C429" s="644"/>
      <c r="D429" s="644"/>
      <c r="E429" s="644"/>
      <c r="F429" s="644"/>
      <c r="G429" s="644"/>
      <c r="H429" s="644"/>
      <c r="I429" s="644"/>
      <c r="J429" s="645"/>
      <c r="K429" s="645"/>
      <c r="L429" s="645"/>
      <c r="M429" s="645"/>
      <c r="N429" s="645"/>
      <c r="O429" s="645"/>
    </row>
    <row r="430" spans="1:15" s="672" customFormat="1" ht="33" customHeight="1" x14ac:dyDescent="0.25">
      <c r="A430" s="643"/>
      <c r="B430" s="646" t="s">
        <v>1196</v>
      </c>
      <c r="C430" s="646">
        <v>5166</v>
      </c>
      <c r="D430" s="646"/>
      <c r="E430" s="646"/>
      <c r="F430" s="646"/>
      <c r="G430" s="646"/>
      <c r="H430" s="646"/>
      <c r="I430" s="646"/>
      <c r="J430" s="646">
        <f t="shared" ref="J430:J436" si="174">SUM(C430+E430+F430+H430)</f>
        <v>5166</v>
      </c>
      <c r="K430" s="646">
        <f t="shared" ref="K430:K436" si="175">SUM(D430+G430+I430)</f>
        <v>0</v>
      </c>
      <c r="L430" s="646">
        <f t="shared" ref="L430:L436" si="176">SUM(J430:K430)</f>
        <v>5166</v>
      </c>
      <c r="M430" s="646"/>
      <c r="N430" s="646">
        <v>1505</v>
      </c>
      <c r="O430" s="646">
        <f t="shared" ref="O430:O436" si="177">SUM(L430:N430)</f>
        <v>6671</v>
      </c>
    </row>
    <row r="431" spans="1:15" ht="31.5" x14ac:dyDescent="0.25">
      <c r="A431" s="642"/>
      <c r="B431" s="646" t="s">
        <v>1216</v>
      </c>
      <c r="C431" s="646"/>
      <c r="D431" s="646"/>
      <c r="E431" s="646"/>
      <c r="F431" s="646"/>
      <c r="G431" s="646"/>
      <c r="H431" s="646"/>
      <c r="I431" s="646"/>
      <c r="J431" s="671">
        <f t="shared" si="174"/>
        <v>0</v>
      </c>
      <c r="K431" s="671">
        <f t="shared" si="175"/>
        <v>0</v>
      </c>
      <c r="L431" s="671">
        <f t="shared" si="176"/>
        <v>0</v>
      </c>
      <c r="M431" s="671">
        <v>1279</v>
      </c>
      <c r="N431" s="671"/>
      <c r="O431" s="671">
        <f t="shared" si="177"/>
        <v>1279</v>
      </c>
    </row>
    <row r="432" spans="1:15" ht="63" x14ac:dyDescent="0.25">
      <c r="A432" s="642"/>
      <c r="B432" s="646" t="s">
        <v>1217</v>
      </c>
      <c r="C432" s="646"/>
      <c r="D432" s="646"/>
      <c r="E432" s="646"/>
      <c r="F432" s="646"/>
      <c r="G432" s="646"/>
      <c r="H432" s="646"/>
      <c r="I432" s="646"/>
      <c r="J432" s="671">
        <f t="shared" si="174"/>
        <v>0</v>
      </c>
      <c r="K432" s="671">
        <f t="shared" si="175"/>
        <v>0</v>
      </c>
      <c r="L432" s="671">
        <f t="shared" si="176"/>
        <v>0</v>
      </c>
      <c r="M432" s="671">
        <v>150</v>
      </c>
      <c r="N432" s="671"/>
      <c r="O432" s="671">
        <f t="shared" si="177"/>
        <v>150</v>
      </c>
    </row>
    <row r="433" spans="1:15" x14ac:dyDescent="0.25">
      <c r="A433" s="642"/>
      <c r="B433" s="646" t="s">
        <v>1204</v>
      </c>
      <c r="C433" s="646"/>
      <c r="D433" s="646"/>
      <c r="E433" s="646"/>
      <c r="F433" s="646"/>
      <c r="G433" s="646"/>
      <c r="H433" s="646"/>
      <c r="I433" s="646"/>
      <c r="J433" s="671">
        <f t="shared" si="174"/>
        <v>0</v>
      </c>
      <c r="K433" s="671">
        <f t="shared" si="175"/>
        <v>0</v>
      </c>
      <c r="L433" s="671">
        <f t="shared" si="176"/>
        <v>0</v>
      </c>
      <c r="M433" s="671">
        <v>540</v>
      </c>
      <c r="N433" s="671"/>
      <c r="O433" s="671">
        <f t="shared" si="177"/>
        <v>540</v>
      </c>
    </row>
    <row r="434" spans="1:15" ht="31.5" x14ac:dyDescent="0.25">
      <c r="A434" s="642"/>
      <c r="B434" s="673" t="s">
        <v>1198</v>
      </c>
      <c r="C434" s="646"/>
      <c r="D434" s="646"/>
      <c r="E434" s="646"/>
      <c r="F434" s="646"/>
      <c r="G434" s="646"/>
      <c r="H434" s="646"/>
      <c r="I434" s="646"/>
      <c r="J434" s="671">
        <f t="shared" si="174"/>
        <v>0</v>
      </c>
      <c r="K434" s="671">
        <f t="shared" si="175"/>
        <v>0</v>
      </c>
      <c r="L434" s="671">
        <f t="shared" si="176"/>
        <v>0</v>
      </c>
      <c r="M434" s="671">
        <v>-361</v>
      </c>
      <c r="N434" s="671"/>
      <c r="O434" s="671">
        <f t="shared" si="177"/>
        <v>-361</v>
      </c>
    </row>
    <row r="435" spans="1:15" x14ac:dyDescent="0.25">
      <c r="A435" s="642"/>
      <c r="B435" s="673" t="s">
        <v>1199</v>
      </c>
      <c r="C435" s="646"/>
      <c r="D435" s="646"/>
      <c r="E435" s="646"/>
      <c r="F435" s="646"/>
      <c r="G435" s="646"/>
      <c r="H435" s="646"/>
      <c r="I435" s="646"/>
      <c r="J435" s="671">
        <f t="shared" si="174"/>
        <v>0</v>
      </c>
      <c r="K435" s="671">
        <f t="shared" si="175"/>
        <v>0</v>
      </c>
      <c r="L435" s="671">
        <f t="shared" si="176"/>
        <v>0</v>
      </c>
      <c r="M435" s="671">
        <v>-411</v>
      </c>
      <c r="N435" s="671"/>
      <c r="O435" s="671">
        <f t="shared" si="177"/>
        <v>-411</v>
      </c>
    </row>
    <row r="436" spans="1:15" ht="16.5" thickBot="1" x14ac:dyDescent="0.3">
      <c r="A436" s="642"/>
      <c r="B436" s="646" t="s">
        <v>1201</v>
      </c>
      <c r="C436" s="646"/>
      <c r="D436" s="646"/>
      <c r="E436" s="646"/>
      <c r="F436" s="646"/>
      <c r="G436" s="646"/>
      <c r="H436" s="646"/>
      <c r="I436" s="646"/>
      <c r="J436" s="671">
        <f t="shared" si="174"/>
        <v>0</v>
      </c>
      <c r="K436" s="671">
        <f t="shared" si="175"/>
        <v>0</v>
      </c>
      <c r="L436" s="671">
        <f t="shared" si="176"/>
        <v>0</v>
      </c>
      <c r="M436" s="671">
        <v>-1718</v>
      </c>
      <c r="N436" s="671"/>
      <c r="O436" s="671">
        <f t="shared" si="177"/>
        <v>-1718</v>
      </c>
    </row>
    <row r="437" spans="1:15" ht="17.25" thickTop="1" thickBot="1" x14ac:dyDescent="0.3">
      <c r="A437" s="638"/>
      <c r="B437" s="647" t="s">
        <v>381</v>
      </c>
      <c r="C437" s="647">
        <f>+C427+C430+C431+C432+C433+C434+C435+C436</f>
        <v>5166</v>
      </c>
      <c r="D437" s="647">
        <f t="shared" ref="D437:O437" si="178">+D427+D430+D431+D432+D433+D434+D435+D436</f>
        <v>0</v>
      </c>
      <c r="E437" s="647">
        <f t="shared" si="178"/>
        <v>0</v>
      </c>
      <c r="F437" s="647">
        <f t="shared" si="178"/>
        <v>350</v>
      </c>
      <c r="G437" s="647">
        <f t="shared" si="178"/>
        <v>0</v>
      </c>
      <c r="H437" s="647">
        <f t="shared" si="178"/>
        <v>0</v>
      </c>
      <c r="I437" s="647">
        <f t="shared" si="178"/>
        <v>0</v>
      </c>
      <c r="J437" s="647">
        <f t="shared" si="178"/>
        <v>5516</v>
      </c>
      <c r="K437" s="647">
        <f t="shared" si="178"/>
        <v>0</v>
      </c>
      <c r="L437" s="647">
        <f t="shared" si="178"/>
        <v>5516</v>
      </c>
      <c r="M437" s="647">
        <f t="shared" si="178"/>
        <v>82643</v>
      </c>
      <c r="N437" s="647">
        <f t="shared" si="178"/>
        <v>1505</v>
      </c>
      <c r="O437" s="647">
        <f t="shared" si="178"/>
        <v>89664</v>
      </c>
    </row>
    <row r="438" spans="1:15" ht="17.25" thickTop="1" thickBot="1" x14ac:dyDescent="0.3">
      <c r="A438" s="638"/>
      <c r="B438" s="647" t="s">
        <v>387</v>
      </c>
      <c r="C438" s="647">
        <f>+C428+C430+C431+C432+C433+C434+C435+C436</f>
        <v>5166</v>
      </c>
      <c r="D438" s="647">
        <f t="shared" ref="D438:O438" si="179">+D428+D430+D431+D432+D433+D434+D435+D436</f>
        <v>0</v>
      </c>
      <c r="E438" s="647">
        <f t="shared" si="179"/>
        <v>0</v>
      </c>
      <c r="F438" s="647">
        <f t="shared" si="179"/>
        <v>350</v>
      </c>
      <c r="G438" s="647">
        <f t="shared" si="179"/>
        <v>0</v>
      </c>
      <c r="H438" s="647">
        <f t="shared" si="179"/>
        <v>0</v>
      </c>
      <c r="I438" s="647">
        <f t="shared" si="179"/>
        <v>0</v>
      </c>
      <c r="J438" s="647">
        <f t="shared" si="179"/>
        <v>5516</v>
      </c>
      <c r="K438" s="647">
        <f t="shared" si="179"/>
        <v>0</v>
      </c>
      <c r="L438" s="647">
        <f t="shared" si="179"/>
        <v>5516</v>
      </c>
      <c r="M438" s="647">
        <f t="shared" si="179"/>
        <v>82643</v>
      </c>
      <c r="N438" s="647">
        <f t="shared" si="179"/>
        <v>1505</v>
      </c>
      <c r="O438" s="647">
        <f t="shared" si="179"/>
        <v>89664</v>
      </c>
    </row>
    <row r="439" spans="1:15" ht="16.5" thickTop="1" x14ac:dyDescent="0.25">
      <c r="A439" s="642" t="s">
        <v>16</v>
      </c>
      <c r="B439" s="674" t="s">
        <v>392</v>
      </c>
      <c r="C439" s="674"/>
      <c r="D439" s="674"/>
      <c r="E439" s="674"/>
      <c r="F439" s="674"/>
      <c r="G439" s="674"/>
      <c r="H439" s="674"/>
      <c r="I439" s="674"/>
      <c r="J439" s="674"/>
      <c r="K439" s="674"/>
      <c r="L439" s="674"/>
      <c r="M439" s="674"/>
      <c r="N439" s="674"/>
      <c r="O439" s="674"/>
    </row>
    <row r="440" spans="1:15" x14ac:dyDescent="0.25">
      <c r="A440" s="642"/>
      <c r="B440" s="950" t="s">
        <v>349</v>
      </c>
      <c r="C440" s="950"/>
      <c r="D440" s="950"/>
      <c r="E440" s="950"/>
      <c r="F440" s="950">
        <f>SUM(F441:F442)</f>
        <v>8970</v>
      </c>
      <c r="G440" s="950"/>
      <c r="H440" s="950"/>
      <c r="I440" s="950"/>
      <c r="J440" s="950">
        <f>SUM(C440+E440+F440+H440)</f>
        <v>8970</v>
      </c>
      <c r="K440" s="950">
        <f>SUM(D440+G440+I440)</f>
        <v>0</v>
      </c>
      <c r="L440" s="950">
        <f>SUM(J440:K440)</f>
        <v>8970</v>
      </c>
      <c r="M440" s="950">
        <f>SUM(M441:M442)</f>
        <v>353219</v>
      </c>
      <c r="N440" s="950">
        <f>SUM(N441:N442)</f>
        <v>20164</v>
      </c>
      <c r="O440" s="950">
        <f>SUM(L440:N440)</f>
        <v>382353</v>
      </c>
    </row>
    <row r="441" spans="1:15" s="672" customFormat="1" x14ac:dyDescent="0.25">
      <c r="A441" s="643"/>
      <c r="B441" s="656" t="s">
        <v>383</v>
      </c>
      <c r="C441" s="656"/>
      <c r="D441" s="656"/>
      <c r="E441" s="656"/>
      <c r="F441" s="656">
        <v>8970</v>
      </c>
      <c r="G441" s="656"/>
      <c r="H441" s="656"/>
      <c r="I441" s="656"/>
      <c r="J441" s="657">
        <f>SUM(C441+E441+F441+H441)</f>
        <v>8970</v>
      </c>
      <c r="K441" s="657">
        <f>SUM(D441+G441+I441)</f>
        <v>0</v>
      </c>
      <c r="L441" s="657">
        <f>SUM(J441:K441)</f>
        <v>8970</v>
      </c>
      <c r="M441" s="657">
        <v>353219</v>
      </c>
      <c r="N441" s="657">
        <v>20164</v>
      </c>
      <c r="O441" s="657">
        <f>SUM(L441:N441)</f>
        <v>382353</v>
      </c>
    </row>
    <row r="442" spans="1:15" s="672" customFormat="1" x14ac:dyDescent="0.25">
      <c r="A442" s="643"/>
      <c r="B442" s="644" t="s">
        <v>382</v>
      </c>
      <c r="C442" s="644"/>
      <c r="D442" s="644"/>
      <c r="E442" s="644"/>
      <c r="F442" s="644"/>
      <c r="G442" s="644"/>
      <c r="H442" s="644"/>
      <c r="I442" s="644"/>
      <c r="J442" s="644">
        <f>SUM(C442+E442+F442+H442)</f>
        <v>0</v>
      </c>
      <c r="K442" s="644">
        <f>SUM(D442+G442+I442)</f>
        <v>0</v>
      </c>
      <c r="L442" s="644">
        <f>SUM(J442:K442)</f>
        <v>0</v>
      </c>
      <c r="M442" s="644"/>
      <c r="N442" s="644"/>
      <c r="O442" s="644">
        <f>SUM(L442:N442)</f>
        <v>0</v>
      </c>
    </row>
    <row r="443" spans="1:15" s="672" customFormat="1" x14ac:dyDescent="0.25">
      <c r="A443" s="643"/>
      <c r="B443" s="644" t="s">
        <v>132</v>
      </c>
      <c r="C443" s="644"/>
      <c r="D443" s="644"/>
      <c r="E443" s="644"/>
      <c r="F443" s="644"/>
      <c r="G443" s="644"/>
      <c r="H443" s="644"/>
      <c r="I443" s="644"/>
      <c r="J443" s="644"/>
      <c r="K443" s="644"/>
      <c r="L443" s="644"/>
      <c r="M443" s="644"/>
      <c r="N443" s="644"/>
      <c r="O443" s="644"/>
    </row>
    <row r="444" spans="1:15" s="672" customFormat="1" ht="33.75" customHeight="1" x14ac:dyDescent="0.25">
      <c r="A444" s="643"/>
      <c r="B444" s="646" t="s">
        <v>1196</v>
      </c>
      <c r="C444" s="646">
        <v>23716</v>
      </c>
      <c r="D444" s="644"/>
      <c r="E444" s="644"/>
      <c r="F444" s="644"/>
      <c r="G444" s="644"/>
      <c r="H444" s="644"/>
      <c r="I444" s="644"/>
      <c r="J444" s="646">
        <f t="shared" ref="J444:J456" si="180">SUM(C444+E444+F444+H444)</f>
        <v>23716</v>
      </c>
      <c r="K444" s="646">
        <f t="shared" ref="K444:K456" si="181">SUM(D444+G444+I444)</f>
        <v>0</v>
      </c>
      <c r="L444" s="646">
        <f t="shared" ref="L444:L456" si="182">SUM(J444:K444)</f>
        <v>23716</v>
      </c>
      <c r="M444" s="646"/>
      <c r="N444" s="646">
        <v>7745</v>
      </c>
      <c r="O444" s="646">
        <f t="shared" ref="O444:O456" si="183">SUM(L444:N444)</f>
        <v>31461</v>
      </c>
    </row>
    <row r="445" spans="1:15" s="672" customFormat="1" ht="31.5" x14ac:dyDescent="0.25">
      <c r="A445" s="643"/>
      <c r="B445" s="646" t="s">
        <v>1197</v>
      </c>
      <c r="C445" s="644"/>
      <c r="D445" s="644"/>
      <c r="E445" s="644"/>
      <c r="F445" s="644"/>
      <c r="G445" s="644"/>
      <c r="H445" s="644"/>
      <c r="I445" s="644"/>
      <c r="J445" s="646">
        <f t="shared" si="180"/>
        <v>0</v>
      </c>
      <c r="K445" s="646">
        <f t="shared" si="181"/>
        <v>0</v>
      </c>
      <c r="L445" s="646">
        <f t="shared" si="182"/>
        <v>0</v>
      </c>
      <c r="M445" s="646">
        <v>120</v>
      </c>
      <c r="N445" s="646"/>
      <c r="O445" s="646">
        <f t="shared" si="183"/>
        <v>120</v>
      </c>
    </row>
    <row r="446" spans="1:15" s="672" customFormat="1" ht="31.5" x14ac:dyDescent="0.25">
      <c r="A446" s="643"/>
      <c r="B446" s="646" t="s">
        <v>1216</v>
      </c>
      <c r="C446" s="644"/>
      <c r="D446" s="644"/>
      <c r="E446" s="644"/>
      <c r="F446" s="644"/>
      <c r="G446" s="644"/>
      <c r="H446" s="644"/>
      <c r="I446" s="644"/>
      <c r="J446" s="646">
        <f t="shared" si="180"/>
        <v>0</v>
      </c>
      <c r="K446" s="646">
        <f t="shared" si="181"/>
        <v>0</v>
      </c>
      <c r="L446" s="646">
        <f t="shared" si="182"/>
        <v>0</v>
      </c>
      <c r="M446" s="646">
        <v>8047</v>
      </c>
      <c r="N446" s="646"/>
      <c r="O446" s="646">
        <f t="shared" si="183"/>
        <v>8047</v>
      </c>
    </row>
    <row r="447" spans="1:15" s="672" customFormat="1" ht="31.5" x14ac:dyDescent="0.25">
      <c r="A447" s="643"/>
      <c r="B447" s="673" t="s">
        <v>1198</v>
      </c>
      <c r="C447" s="646"/>
      <c r="D447" s="644"/>
      <c r="E447" s="644"/>
      <c r="F447" s="646"/>
      <c r="G447" s="644"/>
      <c r="H447" s="646"/>
      <c r="I447" s="644"/>
      <c r="J447" s="646">
        <f t="shared" si="180"/>
        <v>0</v>
      </c>
      <c r="K447" s="646">
        <f t="shared" si="181"/>
        <v>0</v>
      </c>
      <c r="L447" s="646">
        <f t="shared" si="182"/>
        <v>0</v>
      </c>
      <c r="M447" s="646">
        <v>-2141</v>
      </c>
      <c r="N447" s="646"/>
      <c r="O447" s="646">
        <f t="shared" si="183"/>
        <v>-2141</v>
      </c>
    </row>
    <row r="448" spans="1:15" s="672" customFormat="1" x14ac:dyDescent="0.25">
      <c r="A448" s="643"/>
      <c r="B448" s="673" t="s">
        <v>1199</v>
      </c>
      <c r="C448" s="646"/>
      <c r="D448" s="644"/>
      <c r="E448" s="644"/>
      <c r="F448" s="646"/>
      <c r="G448" s="644"/>
      <c r="H448" s="646"/>
      <c r="I448" s="644"/>
      <c r="J448" s="646">
        <f t="shared" si="180"/>
        <v>0</v>
      </c>
      <c r="K448" s="646">
        <f t="shared" si="181"/>
        <v>0</v>
      </c>
      <c r="L448" s="646">
        <f t="shared" si="182"/>
        <v>0</v>
      </c>
      <c r="M448" s="646">
        <v>-2378</v>
      </c>
      <c r="N448" s="646"/>
      <c r="O448" s="646">
        <f t="shared" si="183"/>
        <v>-2378</v>
      </c>
    </row>
    <row r="449" spans="1:15" s="672" customFormat="1" ht="31.5" x14ac:dyDescent="0.25">
      <c r="A449" s="643"/>
      <c r="B449" s="646" t="s">
        <v>1218</v>
      </c>
      <c r="C449" s="646"/>
      <c r="D449" s="644"/>
      <c r="E449" s="644"/>
      <c r="F449" s="646"/>
      <c r="G449" s="644"/>
      <c r="H449" s="646"/>
      <c r="I449" s="644"/>
      <c r="J449" s="646">
        <f t="shared" si="180"/>
        <v>0</v>
      </c>
      <c r="K449" s="646">
        <f t="shared" si="181"/>
        <v>0</v>
      </c>
      <c r="L449" s="646">
        <f t="shared" si="182"/>
        <v>0</v>
      </c>
      <c r="M449" s="646">
        <v>12490</v>
      </c>
      <c r="N449" s="646"/>
      <c r="O449" s="646">
        <f t="shared" si="183"/>
        <v>12490</v>
      </c>
    </row>
    <row r="450" spans="1:15" s="672" customFormat="1" x14ac:dyDescent="0.25">
      <c r="A450" s="643"/>
      <c r="B450" s="646" t="s">
        <v>1201</v>
      </c>
      <c r="C450" s="646"/>
      <c r="D450" s="644"/>
      <c r="E450" s="644"/>
      <c r="F450" s="646"/>
      <c r="G450" s="644"/>
      <c r="H450" s="646"/>
      <c r="I450" s="644"/>
      <c r="J450" s="646">
        <f t="shared" si="180"/>
        <v>0</v>
      </c>
      <c r="K450" s="646">
        <f>SUM(D450+G450+I450)</f>
        <v>0</v>
      </c>
      <c r="L450" s="646">
        <f t="shared" si="182"/>
        <v>0</v>
      </c>
      <c r="M450" s="646">
        <v>-6689</v>
      </c>
      <c r="N450" s="646"/>
      <c r="O450" s="646">
        <f t="shared" si="183"/>
        <v>-6689</v>
      </c>
    </row>
    <row r="451" spans="1:15" s="672" customFormat="1" x14ac:dyDescent="0.25">
      <c r="A451" s="643"/>
      <c r="B451" s="646" t="s">
        <v>1219</v>
      </c>
      <c r="C451" s="646"/>
      <c r="D451" s="644"/>
      <c r="E451" s="644"/>
      <c r="F451" s="646"/>
      <c r="G451" s="644"/>
      <c r="H451" s="646"/>
      <c r="I451" s="644"/>
      <c r="J451" s="646">
        <f t="shared" si="180"/>
        <v>0</v>
      </c>
      <c r="K451" s="646">
        <f>SUM(D451+G451+I451)</f>
        <v>0</v>
      </c>
      <c r="L451" s="646">
        <f t="shared" si="182"/>
        <v>0</v>
      </c>
      <c r="M451" s="646">
        <v>2100</v>
      </c>
      <c r="N451" s="646"/>
      <c r="O451" s="646">
        <f t="shared" si="183"/>
        <v>2100</v>
      </c>
    </row>
    <row r="452" spans="1:15" s="672" customFormat="1" x14ac:dyDescent="0.25">
      <c r="A452" s="643"/>
      <c r="B452" s="644" t="s">
        <v>133</v>
      </c>
      <c r="C452" s="644"/>
      <c r="D452" s="644"/>
      <c r="E452" s="644"/>
      <c r="F452" s="644"/>
      <c r="G452" s="644"/>
      <c r="H452" s="644"/>
      <c r="I452" s="644"/>
      <c r="J452" s="644"/>
      <c r="K452" s="644"/>
      <c r="L452" s="644"/>
      <c r="M452" s="644"/>
      <c r="N452" s="644"/>
      <c r="O452" s="644"/>
    </row>
    <row r="453" spans="1:15" s="672" customFormat="1" ht="63" x14ac:dyDescent="0.25">
      <c r="A453" s="643"/>
      <c r="B453" s="646" t="s">
        <v>1220</v>
      </c>
      <c r="C453" s="644"/>
      <c r="D453" s="644"/>
      <c r="E453" s="644"/>
      <c r="F453" s="644"/>
      <c r="G453" s="644"/>
      <c r="H453" s="644"/>
      <c r="I453" s="644"/>
      <c r="J453" s="646">
        <f t="shared" si="180"/>
        <v>0</v>
      </c>
      <c r="K453" s="646">
        <f t="shared" si="181"/>
        <v>0</v>
      </c>
      <c r="L453" s="646">
        <f t="shared" si="182"/>
        <v>0</v>
      </c>
      <c r="M453" s="646">
        <v>50</v>
      </c>
      <c r="N453" s="646"/>
      <c r="O453" s="646">
        <f t="shared" si="183"/>
        <v>50</v>
      </c>
    </row>
    <row r="454" spans="1:15" s="672" customFormat="1" ht="63" x14ac:dyDescent="0.25">
      <c r="A454" s="643"/>
      <c r="B454" s="646" t="s">
        <v>1221</v>
      </c>
      <c r="C454" s="644"/>
      <c r="D454" s="644"/>
      <c r="E454" s="644"/>
      <c r="F454" s="644"/>
      <c r="G454" s="644"/>
      <c r="H454" s="644"/>
      <c r="I454" s="644"/>
      <c r="J454" s="646">
        <f t="shared" si="180"/>
        <v>0</v>
      </c>
      <c r="K454" s="646">
        <f t="shared" si="181"/>
        <v>0</v>
      </c>
      <c r="L454" s="646">
        <f t="shared" si="182"/>
        <v>0</v>
      </c>
      <c r="M454" s="646">
        <v>150</v>
      </c>
      <c r="N454" s="646"/>
      <c r="O454" s="646">
        <f t="shared" si="183"/>
        <v>150</v>
      </c>
    </row>
    <row r="455" spans="1:15" s="672" customFormat="1" x14ac:dyDescent="0.25">
      <c r="A455" s="643"/>
      <c r="B455" s="646" t="s">
        <v>1204</v>
      </c>
      <c r="C455" s="644"/>
      <c r="D455" s="644"/>
      <c r="E455" s="644"/>
      <c r="F455" s="644"/>
      <c r="G455" s="644"/>
      <c r="H455" s="644"/>
      <c r="I455" s="644"/>
      <c r="J455" s="646">
        <f t="shared" si="180"/>
        <v>0</v>
      </c>
      <c r="K455" s="646">
        <f t="shared" si="181"/>
        <v>0</v>
      </c>
      <c r="L455" s="646">
        <f t="shared" si="182"/>
        <v>0</v>
      </c>
      <c r="M455" s="646">
        <v>4029</v>
      </c>
      <c r="N455" s="646"/>
      <c r="O455" s="646">
        <f t="shared" si="183"/>
        <v>4029</v>
      </c>
    </row>
    <row r="456" spans="1:15" s="672" customFormat="1" ht="32.25" thickBot="1" x14ac:dyDescent="0.3">
      <c r="A456" s="643"/>
      <c r="B456" s="646" t="s">
        <v>1222</v>
      </c>
      <c r="C456" s="646">
        <v>600</v>
      </c>
      <c r="D456" s="644"/>
      <c r="E456" s="644"/>
      <c r="F456" s="644"/>
      <c r="G456" s="644"/>
      <c r="H456" s="646">
        <v>50</v>
      </c>
      <c r="I456" s="644"/>
      <c r="J456" s="646">
        <f t="shared" si="180"/>
        <v>650</v>
      </c>
      <c r="K456" s="646">
        <f t="shared" si="181"/>
        <v>0</v>
      </c>
      <c r="L456" s="646">
        <f t="shared" si="182"/>
        <v>650</v>
      </c>
      <c r="M456" s="646"/>
      <c r="N456" s="646"/>
      <c r="O456" s="646">
        <f t="shared" si="183"/>
        <v>650</v>
      </c>
    </row>
    <row r="457" spans="1:15" ht="17.25" thickTop="1" thickBot="1" x14ac:dyDescent="0.3">
      <c r="A457" s="638"/>
      <c r="B457" s="647" t="s">
        <v>381</v>
      </c>
      <c r="C457" s="647">
        <f>+C440+C444+C453+C445+C446+C447+C454+C455+C448+C449+C456+C450+C451</f>
        <v>24316</v>
      </c>
      <c r="D457" s="647">
        <f t="shared" ref="D457:O457" si="184">+D440+D444+D453+D445+D446+D447+D454+D455+D448+D449+D456+D450+D451</f>
        <v>0</v>
      </c>
      <c r="E457" s="647">
        <f t="shared" si="184"/>
        <v>0</v>
      </c>
      <c r="F457" s="647">
        <f t="shared" si="184"/>
        <v>8970</v>
      </c>
      <c r="G457" s="647">
        <f t="shared" si="184"/>
        <v>0</v>
      </c>
      <c r="H457" s="647">
        <f t="shared" si="184"/>
        <v>50</v>
      </c>
      <c r="I457" s="647">
        <f t="shared" si="184"/>
        <v>0</v>
      </c>
      <c r="J457" s="647">
        <f t="shared" si="184"/>
        <v>33336</v>
      </c>
      <c r="K457" s="647">
        <f t="shared" si="184"/>
        <v>0</v>
      </c>
      <c r="L457" s="647">
        <f t="shared" si="184"/>
        <v>33336</v>
      </c>
      <c r="M457" s="647">
        <f t="shared" si="184"/>
        <v>368997</v>
      </c>
      <c r="N457" s="647">
        <f t="shared" si="184"/>
        <v>27909</v>
      </c>
      <c r="O457" s="647">
        <f t="shared" si="184"/>
        <v>430242</v>
      </c>
    </row>
    <row r="458" spans="1:15" ht="17.25" thickTop="1" thickBot="1" x14ac:dyDescent="0.3">
      <c r="A458" s="638"/>
      <c r="B458" s="647" t="s">
        <v>380</v>
      </c>
      <c r="C458" s="647">
        <f>+C441+C444+C445+C446+C447+C448+C449+C450+C451</f>
        <v>23716</v>
      </c>
      <c r="D458" s="647">
        <f t="shared" ref="D458:O458" si="185">+D441+D444+D445+D446+D447+D448+D449+D450+D451</f>
        <v>0</v>
      </c>
      <c r="E458" s="647">
        <f t="shared" si="185"/>
        <v>0</v>
      </c>
      <c r="F458" s="647">
        <f t="shared" si="185"/>
        <v>8970</v>
      </c>
      <c r="G458" s="647">
        <f t="shared" si="185"/>
        <v>0</v>
      </c>
      <c r="H458" s="647">
        <f t="shared" si="185"/>
        <v>0</v>
      </c>
      <c r="I458" s="647">
        <f t="shared" si="185"/>
        <v>0</v>
      </c>
      <c r="J458" s="647">
        <f t="shared" si="185"/>
        <v>32686</v>
      </c>
      <c r="K458" s="647">
        <f t="shared" si="185"/>
        <v>0</v>
      </c>
      <c r="L458" s="647">
        <f t="shared" si="185"/>
        <v>32686</v>
      </c>
      <c r="M458" s="647">
        <f t="shared" si="185"/>
        <v>364768</v>
      </c>
      <c r="N458" s="647">
        <f t="shared" si="185"/>
        <v>27909</v>
      </c>
      <c r="O458" s="647">
        <f t="shared" si="185"/>
        <v>425363</v>
      </c>
    </row>
    <row r="459" spans="1:15" ht="17.25" thickTop="1" thickBot="1" x14ac:dyDescent="0.3">
      <c r="A459" s="638"/>
      <c r="B459" s="647" t="s">
        <v>379</v>
      </c>
      <c r="C459" s="647">
        <f>+C442+C453+C454+C455+C456</f>
        <v>600</v>
      </c>
      <c r="D459" s="647">
        <f t="shared" ref="D459:O459" si="186">+D442+D453+D454+D455+D456</f>
        <v>0</v>
      </c>
      <c r="E459" s="647">
        <f t="shared" si="186"/>
        <v>0</v>
      </c>
      <c r="F459" s="647">
        <f t="shared" si="186"/>
        <v>0</v>
      </c>
      <c r="G459" s="647">
        <f t="shared" si="186"/>
        <v>0</v>
      </c>
      <c r="H459" s="647">
        <f t="shared" si="186"/>
        <v>50</v>
      </c>
      <c r="I459" s="647">
        <f t="shared" si="186"/>
        <v>0</v>
      </c>
      <c r="J459" s="647">
        <f t="shared" si="186"/>
        <v>650</v>
      </c>
      <c r="K459" s="647">
        <f t="shared" si="186"/>
        <v>0</v>
      </c>
      <c r="L459" s="647">
        <f t="shared" si="186"/>
        <v>650</v>
      </c>
      <c r="M459" s="647">
        <f t="shared" si="186"/>
        <v>4229</v>
      </c>
      <c r="N459" s="647">
        <f t="shared" si="186"/>
        <v>0</v>
      </c>
      <c r="O459" s="647">
        <f t="shared" si="186"/>
        <v>4879</v>
      </c>
    </row>
    <row r="460" spans="1:15" ht="16.5" thickTop="1" x14ac:dyDescent="0.25">
      <c r="A460" s="642" t="s">
        <v>17</v>
      </c>
      <c r="B460" s="674" t="s">
        <v>391</v>
      </c>
      <c r="C460" s="674"/>
      <c r="D460" s="674"/>
      <c r="E460" s="674"/>
      <c r="F460" s="674"/>
      <c r="G460" s="674"/>
      <c r="H460" s="674"/>
      <c r="I460" s="674"/>
      <c r="J460" s="674"/>
      <c r="K460" s="674"/>
      <c r="L460" s="674"/>
      <c r="M460" s="674"/>
      <c r="N460" s="674"/>
      <c r="O460" s="674"/>
    </row>
    <row r="461" spans="1:15" x14ac:dyDescent="0.25">
      <c r="A461" s="642"/>
      <c r="B461" s="671" t="s">
        <v>349</v>
      </c>
      <c r="C461" s="671"/>
      <c r="D461" s="671"/>
      <c r="E461" s="671"/>
      <c r="F461" s="671">
        <f>SUM(F462:F463)</f>
        <v>93660</v>
      </c>
      <c r="G461" s="671"/>
      <c r="H461" s="671"/>
      <c r="I461" s="671"/>
      <c r="J461" s="671">
        <f>SUM(C461+E461+F461+H461)</f>
        <v>93660</v>
      </c>
      <c r="K461" s="671">
        <f>SUM(D461+G461+I461)</f>
        <v>0</v>
      </c>
      <c r="L461" s="671">
        <f>SUM(J461:K461)</f>
        <v>93660</v>
      </c>
      <c r="M461" s="671">
        <f>SUM(M462:M463)</f>
        <v>736122</v>
      </c>
      <c r="N461" s="671"/>
      <c r="O461" s="671">
        <f>SUM(L461:N461)</f>
        <v>829782</v>
      </c>
    </row>
    <row r="462" spans="1:15" s="672" customFormat="1" x14ac:dyDescent="0.25">
      <c r="A462" s="643"/>
      <c r="B462" s="644" t="s">
        <v>383</v>
      </c>
      <c r="C462" s="644"/>
      <c r="D462" s="644"/>
      <c r="E462" s="644"/>
      <c r="F462" s="644">
        <v>93660</v>
      </c>
      <c r="G462" s="644"/>
      <c r="H462" s="644"/>
      <c r="I462" s="644"/>
      <c r="J462" s="645">
        <f>SUM(C462+E462+F462+H462)</f>
        <v>93660</v>
      </c>
      <c r="K462" s="645">
        <f>SUM(D462+G462+I462)</f>
        <v>0</v>
      </c>
      <c r="L462" s="645">
        <f>SUM(J462:K462)</f>
        <v>93660</v>
      </c>
      <c r="M462" s="645">
        <v>736122</v>
      </c>
      <c r="N462" s="645"/>
      <c r="O462" s="645">
        <f>SUM(L462:N462)</f>
        <v>829782</v>
      </c>
    </row>
    <row r="463" spans="1:15" s="672" customFormat="1" x14ac:dyDescent="0.25">
      <c r="A463" s="643"/>
      <c r="B463" s="644" t="s">
        <v>382</v>
      </c>
      <c r="C463" s="644"/>
      <c r="D463" s="644"/>
      <c r="E463" s="644"/>
      <c r="F463" s="644"/>
      <c r="G463" s="644"/>
      <c r="H463" s="644"/>
      <c r="I463" s="644"/>
      <c r="J463" s="644">
        <f>SUM(C463+E463+F463+H463)</f>
        <v>0</v>
      </c>
      <c r="K463" s="644">
        <f>SUM(D463+G463+I463)</f>
        <v>0</v>
      </c>
      <c r="L463" s="644">
        <f>SUM(J463:K463)</f>
        <v>0</v>
      </c>
      <c r="M463" s="644"/>
      <c r="N463" s="644"/>
      <c r="O463" s="644">
        <f>SUM(L463:N463)</f>
        <v>0</v>
      </c>
    </row>
    <row r="464" spans="1:15" x14ac:dyDescent="0.25">
      <c r="A464" s="642"/>
      <c r="B464" s="644" t="s">
        <v>132</v>
      </c>
      <c r="C464" s="644"/>
      <c r="D464" s="644"/>
      <c r="E464" s="644"/>
      <c r="F464" s="644"/>
      <c r="G464" s="644"/>
      <c r="H464" s="644"/>
      <c r="I464" s="644"/>
      <c r="J464" s="671"/>
      <c r="K464" s="671"/>
      <c r="L464" s="671"/>
      <c r="M464" s="671"/>
      <c r="N464" s="671"/>
      <c r="O464" s="671"/>
    </row>
    <row r="465" spans="1:15" ht="30.75" customHeight="1" x14ac:dyDescent="0.25">
      <c r="A465" s="642"/>
      <c r="B465" s="646" t="s">
        <v>1196</v>
      </c>
      <c r="C465" s="671">
        <v>55221</v>
      </c>
      <c r="D465" s="671"/>
      <c r="E465" s="671"/>
      <c r="F465" s="671"/>
      <c r="G465" s="671"/>
      <c r="H465" s="671"/>
      <c r="I465" s="671"/>
      <c r="J465" s="671">
        <f t="shared" ref="J465:J470" si="187">SUM(C465+E465+F465+H465)</f>
        <v>55221</v>
      </c>
      <c r="K465" s="671">
        <f t="shared" ref="K465:K470" si="188">SUM(D465+G465+I465)</f>
        <v>0</v>
      </c>
      <c r="L465" s="671">
        <f t="shared" ref="L465:L470" si="189">SUM(J465:K465)</f>
        <v>55221</v>
      </c>
      <c r="M465" s="671"/>
      <c r="N465" s="671">
        <v>105047</v>
      </c>
      <c r="O465" s="671">
        <f t="shared" ref="O465:O470" si="190">SUM(L465:N465)</f>
        <v>160268</v>
      </c>
    </row>
    <row r="466" spans="1:15" ht="31.5" x14ac:dyDescent="0.25">
      <c r="A466" s="642"/>
      <c r="B466" s="646" t="s">
        <v>1197</v>
      </c>
      <c r="C466" s="671"/>
      <c r="D466" s="671"/>
      <c r="E466" s="671"/>
      <c r="F466" s="671"/>
      <c r="G466" s="671"/>
      <c r="H466" s="671"/>
      <c r="I466" s="671"/>
      <c r="J466" s="671">
        <f t="shared" si="187"/>
        <v>0</v>
      </c>
      <c r="K466" s="671">
        <f t="shared" si="188"/>
        <v>0</v>
      </c>
      <c r="L466" s="671">
        <f t="shared" si="189"/>
        <v>0</v>
      </c>
      <c r="M466" s="671">
        <v>54</v>
      </c>
      <c r="N466" s="671"/>
      <c r="O466" s="671">
        <f t="shared" si="190"/>
        <v>54</v>
      </c>
    </row>
    <row r="467" spans="1:15" ht="31.5" x14ac:dyDescent="0.25">
      <c r="A467" s="642"/>
      <c r="B467" s="646" t="s">
        <v>1216</v>
      </c>
      <c r="C467" s="671"/>
      <c r="D467" s="671"/>
      <c r="E467" s="671"/>
      <c r="F467" s="671"/>
      <c r="G467" s="671"/>
      <c r="H467" s="671"/>
      <c r="I467" s="671"/>
      <c r="J467" s="671">
        <f t="shared" si="187"/>
        <v>0</v>
      </c>
      <c r="K467" s="671">
        <f t="shared" si="188"/>
        <v>0</v>
      </c>
      <c r="L467" s="671">
        <f t="shared" si="189"/>
        <v>0</v>
      </c>
      <c r="M467" s="671">
        <v>8643</v>
      </c>
      <c r="N467" s="671"/>
      <c r="O467" s="671">
        <f t="shared" si="190"/>
        <v>8643</v>
      </c>
    </row>
    <row r="468" spans="1:15" ht="31.5" x14ac:dyDescent="0.25">
      <c r="A468" s="642"/>
      <c r="B468" s="673" t="s">
        <v>1198</v>
      </c>
      <c r="C468" s="671"/>
      <c r="D468" s="671"/>
      <c r="E468" s="671"/>
      <c r="F468" s="671"/>
      <c r="G468" s="671"/>
      <c r="H468" s="671"/>
      <c r="I468" s="671"/>
      <c r="J468" s="671">
        <f t="shared" si="187"/>
        <v>0</v>
      </c>
      <c r="K468" s="671">
        <f t="shared" si="188"/>
        <v>0</v>
      </c>
      <c r="L468" s="671">
        <f t="shared" si="189"/>
        <v>0</v>
      </c>
      <c r="M468" s="671">
        <v>-3383</v>
      </c>
      <c r="N468" s="671"/>
      <c r="O468" s="671">
        <f t="shared" si="190"/>
        <v>-3383</v>
      </c>
    </row>
    <row r="469" spans="1:15" x14ac:dyDescent="0.25">
      <c r="A469" s="642"/>
      <c r="B469" s="673" t="s">
        <v>1199</v>
      </c>
      <c r="C469" s="671"/>
      <c r="D469" s="671"/>
      <c r="E469" s="671"/>
      <c r="F469" s="671"/>
      <c r="G469" s="671"/>
      <c r="H469" s="671"/>
      <c r="I469" s="671"/>
      <c r="J469" s="671">
        <f t="shared" si="187"/>
        <v>0</v>
      </c>
      <c r="K469" s="671">
        <f t="shared" si="188"/>
        <v>0</v>
      </c>
      <c r="L469" s="671">
        <f t="shared" si="189"/>
        <v>0</v>
      </c>
      <c r="M469" s="671"/>
      <c r="N469" s="671"/>
      <c r="O469" s="671">
        <f t="shared" si="190"/>
        <v>0</v>
      </c>
    </row>
    <row r="470" spans="1:15" ht="47.25" customHeight="1" x14ac:dyDescent="0.25">
      <c r="A470" s="642"/>
      <c r="B470" s="874" t="s">
        <v>1319</v>
      </c>
      <c r="C470" s="671"/>
      <c r="D470" s="671"/>
      <c r="E470" s="671"/>
      <c r="F470" s="671">
        <v>-7662</v>
      </c>
      <c r="G470" s="671"/>
      <c r="H470" s="671"/>
      <c r="I470" s="671"/>
      <c r="J470" s="671">
        <f t="shared" si="187"/>
        <v>-7662</v>
      </c>
      <c r="K470" s="671">
        <f t="shared" si="188"/>
        <v>0</v>
      </c>
      <c r="L470" s="671">
        <f t="shared" si="189"/>
        <v>-7662</v>
      </c>
      <c r="M470" s="671">
        <v>-45148</v>
      </c>
      <c r="N470" s="671"/>
      <c r="O470" s="671">
        <f t="shared" si="190"/>
        <v>-52810</v>
      </c>
    </row>
    <row r="471" spans="1:15" x14ac:dyDescent="0.25">
      <c r="A471" s="642"/>
      <c r="B471" s="644" t="s">
        <v>133</v>
      </c>
      <c r="C471" s="644"/>
      <c r="D471" s="644"/>
      <c r="E471" s="644"/>
      <c r="F471" s="644"/>
      <c r="G471" s="644"/>
      <c r="H471" s="644"/>
      <c r="I471" s="644"/>
      <c r="J471" s="671"/>
      <c r="K471" s="671"/>
      <c r="L471" s="671"/>
      <c r="M471" s="671"/>
      <c r="N471" s="671"/>
      <c r="O471" s="671"/>
    </row>
    <row r="472" spans="1:15" x14ac:dyDescent="0.25">
      <c r="A472" s="642"/>
      <c r="B472" s="646" t="s">
        <v>1204</v>
      </c>
      <c r="C472" s="671"/>
      <c r="D472" s="671"/>
      <c r="E472" s="671"/>
      <c r="F472" s="671"/>
      <c r="G472" s="671"/>
      <c r="H472" s="671"/>
      <c r="I472" s="671"/>
      <c r="J472" s="671">
        <f>SUM(C472+E472+F472+H472)</f>
        <v>0</v>
      </c>
      <c r="K472" s="671">
        <f>SUM(D472+G472+I472)</f>
        <v>0</v>
      </c>
      <c r="L472" s="671">
        <f>SUM(J472:K472)</f>
        <v>0</v>
      </c>
      <c r="M472" s="671">
        <v>5573</v>
      </c>
      <c r="N472" s="671"/>
      <c r="O472" s="671">
        <f>SUM(L472:N472)</f>
        <v>5573</v>
      </c>
    </row>
    <row r="473" spans="1:15" ht="32.25" thickBot="1" x14ac:dyDescent="0.3">
      <c r="A473" s="642"/>
      <c r="B473" s="646" t="s">
        <v>1222</v>
      </c>
      <c r="C473" s="671">
        <v>15</v>
      </c>
      <c r="D473" s="671"/>
      <c r="E473" s="671"/>
      <c r="F473" s="671"/>
      <c r="G473" s="671"/>
      <c r="H473" s="671"/>
      <c r="I473" s="671"/>
      <c r="J473" s="671">
        <f t="shared" ref="J473" si="191">SUM(C473+E473+F473+H473)</f>
        <v>15</v>
      </c>
      <c r="K473" s="671">
        <f t="shared" ref="K473" si="192">SUM(D473+G473+I473)</f>
        <v>0</v>
      </c>
      <c r="L473" s="671">
        <f t="shared" ref="L473" si="193">SUM(J473:K473)</f>
        <v>15</v>
      </c>
      <c r="M473" s="671"/>
      <c r="N473" s="671"/>
      <c r="O473" s="671">
        <f t="shared" ref="O473" si="194">SUM(L473:N473)</f>
        <v>15</v>
      </c>
    </row>
    <row r="474" spans="1:15" ht="17.25" thickTop="1" thickBot="1" x14ac:dyDescent="0.3">
      <c r="A474" s="638"/>
      <c r="B474" s="647" t="s">
        <v>381</v>
      </c>
      <c r="C474" s="647">
        <f>+C461+C465+C466+C472+C467+C473+C468+C469+C470</f>
        <v>55236</v>
      </c>
      <c r="D474" s="647">
        <f t="shared" ref="D474:O474" si="195">+D461+D465+D466+D472+D467+D473+D468+D469+D470</f>
        <v>0</v>
      </c>
      <c r="E474" s="647">
        <f t="shared" si="195"/>
        <v>0</v>
      </c>
      <c r="F474" s="647">
        <f t="shared" si="195"/>
        <v>85998</v>
      </c>
      <c r="G474" s="647">
        <f t="shared" si="195"/>
        <v>0</v>
      </c>
      <c r="H474" s="647">
        <f t="shared" si="195"/>
        <v>0</v>
      </c>
      <c r="I474" s="647">
        <f t="shared" si="195"/>
        <v>0</v>
      </c>
      <c r="J474" s="647">
        <f t="shared" si="195"/>
        <v>141234</v>
      </c>
      <c r="K474" s="647">
        <f t="shared" si="195"/>
        <v>0</v>
      </c>
      <c r="L474" s="647">
        <f t="shared" si="195"/>
        <v>141234</v>
      </c>
      <c r="M474" s="647">
        <f t="shared" si="195"/>
        <v>701861</v>
      </c>
      <c r="N474" s="647">
        <f t="shared" si="195"/>
        <v>105047</v>
      </c>
      <c r="O474" s="647">
        <f t="shared" si="195"/>
        <v>948142</v>
      </c>
    </row>
    <row r="475" spans="1:15" ht="17.25" thickTop="1" thickBot="1" x14ac:dyDescent="0.3">
      <c r="A475" s="638"/>
      <c r="B475" s="647" t="s">
        <v>380</v>
      </c>
      <c r="C475" s="647">
        <f>+C462+C465+C466+C467+C468+C469+C470</f>
        <v>55221</v>
      </c>
      <c r="D475" s="647">
        <f t="shared" ref="D475:O475" si="196">+D462+D465+D466+D467+D468+D469+D470</f>
        <v>0</v>
      </c>
      <c r="E475" s="647">
        <f t="shared" si="196"/>
        <v>0</v>
      </c>
      <c r="F475" s="647">
        <f t="shared" si="196"/>
        <v>85998</v>
      </c>
      <c r="G475" s="647">
        <f t="shared" si="196"/>
        <v>0</v>
      </c>
      <c r="H475" s="647">
        <f t="shared" si="196"/>
        <v>0</v>
      </c>
      <c r="I475" s="647">
        <f t="shared" si="196"/>
        <v>0</v>
      </c>
      <c r="J475" s="647">
        <f t="shared" si="196"/>
        <v>141219</v>
      </c>
      <c r="K475" s="647">
        <f t="shared" si="196"/>
        <v>0</v>
      </c>
      <c r="L475" s="647">
        <f t="shared" si="196"/>
        <v>141219</v>
      </c>
      <c r="M475" s="647">
        <f t="shared" si="196"/>
        <v>696288</v>
      </c>
      <c r="N475" s="647">
        <f t="shared" si="196"/>
        <v>105047</v>
      </c>
      <c r="O475" s="647">
        <f t="shared" si="196"/>
        <v>942554</v>
      </c>
    </row>
    <row r="476" spans="1:15" ht="17.25" thickTop="1" thickBot="1" x14ac:dyDescent="0.3">
      <c r="A476" s="642"/>
      <c r="B476" s="647" t="s">
        <v>379</v>
      </c>
      <c r="C476" s="647">
        <f t="shared" ref="C476:O476" si="197">+C463+C472+C473</f>
        <v>15</v>
      </c>
      <c r="D476" s="647">
        <f t="shared" si="197"/>
        <v>0</v>
      </c>
      <c r="E476" s="647">
        <f t="shared" si="197"/>
        <v>0</v>
      </c>
      <c r="F476" s="647">
        <f t="shared" si="197"/>
        <v>0</v>
      </c>
      <c r="G476" s="647">
        <f t="shared" si="197"/>
        <v>0</v>
      </c>
      <c r="H476" s="647">
        <f t="shared" si="197"/>
        <v>0</v>
      </c>
      <c r="I476" s="647">
        <f t="shared" si="197"/>
        <v>0</v>
      </c>
      <c r="J476" s="647">
        <f t="shared" si="197"/>
        <v>15</v>
      </c>
      <c r="K476" s="647">
        <f t="shared" si="197"/>
        <v>0</v>
      </c>
      <c r="L476" s="647">
        <f t="shared" si="197"/>
        <v>15</v>
      </c>
      <c r="M476" s="647">
        <f t="shared" si="197"/>
        <v>5573</v>
      </c>
      <c r="N476" s="647">
        <f t="shared" si="197"/>
        <v>0</v>
      </c>
      <c r="O476" s="647">
        <f t="shared" si="197"/>
        <v>5588</v>
      </c>
    </row>
    <row r="477" spans="1:15" ht="16.5" thickTop="1" x14ac:dyDescent="0.25">
      <c r="A477" s="648" t="s">
        <v>18</v>
      </c>
      <c r="B477" s="674" t="s">
        <v>588</v>
      </c>
      <c r="C477" s="674"/>
      <c r="D477" s="674"/>
      <c r="E477" s="674"/>
      <c r="F477" s="674"/>
      <c r="G477" s="674"/>
      <c r="H477" s="674"/>
      <c r="I477" s="674"/>
      <c r="J477" s="674"/>
      <c r="K477" s="674"/>
      <c r="L477" s="674"/>
      <c r="M477" s="674"/>
      <c r="N477" s="674"/>
      <c r="O477" s="674"/>
    </row>
    <row r="478" spans="1:15" x14ac:dyDescent="0.25">
      <c r="A478" s="648"/>
      <c r="B478" s="950" t="s">
        <v>349</v>
      </c>
      <c r="C478" s="950">
        <v>0</v>
      </c>
      <c r="D478" s="950"/>
      <c r="E478" s="950"/>
      <c r="F478" s="950">
        <f>SUM(F479)</f>
        <v>100</v>
      </c>
      <c r="G478" s="950"/>
      <c r="H478" s="950"/>
      <c r="I478" s="950"/>
      <c r="J478" s="950">
        <f>SUM(C478+E478+F478+H478)</f>
        <v>100</v>
      </c>
      <c r="K478" s="950">
        <f>SUM(D478+G478+I478)</f>
        <v>0</v>
      </c>
      <c r="L478" s="950">
        <f>SUM(J478:K478)</f>
        <v>100</v>
      </c>
      <c r="M478" s="950">
        <f>SUM(M479)</f>
        <v>53945</v>
      </c>
      <c r="N478" s="950">
        <v>0</v>
      </c>
      <c r="O478" s="950">
        <f>SUM(L478:N478)</f>
        <v>54045</v>
      </c>
    </row>
    <row r="479" spans="1:15" s="672" customFormat="1" x14ac:dyDescent="0.25">
      <c r="A479" s="649"/>
      <c r="B479" s="656" t="s">
        <v>388</v>
      </c>
      <c r="C479" s="656">
        <v>0</v>
      </c>
      <c r="D479" s="656"/>
      <c r="E479" s="656"/>
      <c r="F479" s="656">
        <v>100</v>
      </c>
      <c r="G479" s="656"/>
      <c r="H479" s="656"/>
      <c r="I479" s="656"/>
      <c r="J479" s="657">
        <f>SUM(C479+E479+F479+H479)</f>
        <v>100</v>
      </c>
      <c r="K479" s="657">
        <f>SUM(D479+G479+I479)</f>
        <v>0</v>
      </c>
      <c r="L479" s="657">
        <f>SUM(J479:K479)</f>
        <v>100</v>
      </c>
      <c r="M479" s="657">
        <v>53945</v>
      </c>
      <c r="N479" s="657">
        <v>0</v>
      </c>
      <c r="O479" s="657">
        <f>SUM(L479:N479)</f>
        <v>54045</v>
      </c>
    </row>
    <row r="480" spans="1:15" s="672" customFormat="1" x14ac:dyDescent="0.25">
      <c r="A480" s="649"/>
      <c r="B480" s="644" t="s">
        <v>133</v>
      </c>
      <c r="C480" s="644"/>
      <c r="D480" s="644"/>
      <c r="E480" s="644"/>
      <c r="F480" s="644"/>
      <c r="G480" s="644"/>
      <c r="H480" s="644"/>
      <c r="I480" s="644"/>
      <c r="J480" s="645"/>
      <c r="K480" s="645"/>
      <c r="L480" s="645"/>
      <c r="M480" s="645"/>
      <c r="N480" s="645"/>
      <c r="O480" s="645"/>
    </row>
    <row r="481" spans="1:15" s="672" customFormat="1" ht="33.75" customHeight="1" x14ac:dyDescent="0.25">
      <c r="A481" s="649"/>
      <c r="B481" s="646" t="s">
        <v>1196</v>
      </c>
      <c r="C481" s="646">
        <v>668</v>
      </c>
      <c r="D481" s="646"/>
      <c r="E481" s="646"/>
      <c r="F481" s="646"/>
      <c r="G481" s="646"/>
      <c r="H481" s="646"/>
      <c r="I481" s="646"/>
      <c r="J481" s="646">
        <f t="shared" ref="J481:J486" si="198">SUM(C481+E481+F481+H481)</f>
        <v>668</v>
      </c>
      <c r="K481" s="646">
        <f t="shared" ref="K481:K486" si="199">SUM(D481+G481+I481)</f>
        <v>0</v>
      </c>
      <c r="L481" s="646">
        <f t="shared" ref="L481:L486" si="200">SUM(J481:K481)</f>
        <v>668</v>
      </c>
      <c r="M481" s="646"/>
      <c r="N481" s="646">
        <v>2163</v>
      </c>
      <c r="O481" s="646">
        <f t="shared" ref="O481:O486" si="201">SUM(L481:N481)</f>
        <v>2831</v>
      </c>
    </row>
    <row r="482" spans="1:15" s="672" customFormat="1" ht="31.5" x14ac:dyDescent="0.25">
      <c r="A482" s="649"/>
      <c r="B482" s="646" t="s">
        <v>1216</v>
      </c>
      <c r="C482" s="646"/>
      <c r="D482" s="646"/>
      <c r="E482" s="646"/>
      <c r="F482" s="646"/>
      <c r="G482" s="646"/>
      <c r="H482" s="646"/>
      <c r="I482" s="646"/>
      <c r="J482" s="646">
        <f t="shared" si="198"/>
        <v>0</v>
      </c>
      <c r="K482" s="646">
        <f t="shared" si="199"/>
        <v>0</v>
      </c>
      <c r="L482" s="646">
        <f t="shared" si="200"/>
        <v>0</v>
      </c>
      <c r="M482" s="646">
        <v>510</v>
      </c>
      <c r="N482" s="646"/>
      <c r="O482" s="646">
        <f t="shared" si="201"/>
        <v>510</v>
      </c>
    </row>
    <row r="483" spans="1:15" s="672" customFormat="1" x14ac:dyDescent="0.25">
      <c r="A483" s="649"/>
      <c r="B483" s="646" t="s">
        <v>1204</v>
      </c>
      <c r="C483" s="646"/>
      <c r="D483" s="646"/>
      <c r="E483" s="646"/>
      <c r="F483" s="646"/>
      <c r="G483" s="646"/>
      <c r="H483" s="646"/>
      <c r="I483" s="646"/>
      <c r="J483" s="646">
        <f t="shared" si="198"/>
        <v>0</v>
      </c>
      <c r="K483" s="646">
        <f t="shared" si="199"/>
        <v>0</v>
      </c>
      <c r="L483" s="646">
        <f t="shared" si="200"/>
        <v>0</v>
      </c>
      <c r="M483" s="646">
        <v>223</v>
      </c>
      <c r="N483" s="646"/>
      <c r="O483" s="646">
        <f t="shared" si="201"/>
        <v>223</v>
      </c>
    </row>
    <row r="484" spans="1:15" s="672" customFormat="1" ht="31.5" x14ac:dyDescent="0.25">
      <c r="A484" s="649"/>
      <c r="B484" s="673" t="s">
        <v>1198</v>
      </c>
      <c r="C484" s="646"/>
      <c r="D484" s="646"/>
      <c r="E484" s="646"/>
      <c r="F484" s="646"/>
      <c r="G484" s="646"/>
      <c r="H484" s="646"/>
      <c r="I484" s="646"/>
      <c r="J484" s="646">
        <f t="shared" si="198"/>
        <v>0</v>
      </c>
      <c r="K484" s="646">
        <f t="shared" si="199"/>
        <v>0</v>
      </c>
      <c r="L484" s="646">
        <f t="shared" si="200"/>
        <v>0</v>
      </c>
      <c r="M484" s="646">
        <v>-289</v>
      </c>
      <c r="N484" s="646"/>
      <c r="O484" s="646">
        <f t="shared" si="201"/>
        <v>-289</v>
      </c>
    </row>
    <row r="485" spans="1:15" s="672" customFormat="1" x14ac:dyDescent="0.25">
      <c r="A485" s="649"/>
      <c r="B485" s="673" t="s">
        <v>1199</v>
      </c>
      <c r="C485" s="646"/>
      <c r="D485" s="646"/>
      <c r="E485" s="646"/>
      <c r="F485" s="646"/>
      <c r="G485" s="646"/>
      <c r="H485" s="646"/>
      <c r="I485" s="646"/>
      <c r="J485" s="646">
        <f t="shared" si="198"/>
        <v>0</v>
      </c>
      <c r="K485" s="646">
        <f t="shared" si="199"/>
        <v>0</v>
      </c>
      <c r="L485" s="646">
        <f t="shared" si="200"/>
        <v>0</v>
      </c>
      <c r="M485" s="646">
        <v>-317</v>
      </c>
      <c r="N485" s="646"/>
      <c r="O485" s="646">
        <f t="shared" si="201"/>
        <v>-317</v>
      </c>
    </row>
    <row r="486" spans="1:15" s="672" customFormat="1" ht="16.5" thickBot="1" x14ac:dyDescent="0.3">
      <c r="A486" s="649"/>
      <c r="B486" s="646" t="s">
        <v>1201</v>
      </c>
      <c r="C486" s="646"/>
      <c r="D486" s="646"/>
      <c r="E486" s="646"/>
      <c r="F486" s="646"/>
      <c r="G486" s="646"/>
      <c r="H486" s="646"/>
      <c r="I486" s="646"/>
      <c r="J486" s="646">
        <f t="shared" si="198"/>
        <v>0</v>
      </c>
      <c r="K486" s="646">
        <f t="shared" si="199"/>
        <v>0</v>
      </c>
      <c r="L486" s="646">
        <f t="shared" si="200"/>
        <v>0</v>
      </c>
      <c r="M486" s="646">
        <v>-5768</v>
      </c>
      <c r="N486" s="646"/>
      <c r="O486" s="646">
        <f t="shared" si="201"/>
        <v>-5768</v>
      </c>
    </row>
    <row r="487" spans="1:15" ht="17.25" thickTop="1" thickBot="1" x14ac:dyDescent="0.3">
      <c r="A487" s="638"/>
      <c r="B487" s="647" t="s">
        <v>381</v>
      </c>
      <c r="C487" s="647">
        <f>+C478+C481+C482+C483+C484+C485+C486</f>
        <v>668</v>
      </c>
      <c r="D487" s="647">
        <f t="shared" ref="D487:O487" si="202">+D478+D481+D482+D483+D484+D485+D486</f>
        <v>0</v>
      </c>
      <c r="E487" s="647">
        <f t="shared" si="202"/>
        <v>0</v>
      </c>
      <c r="F487" s="647">
        <f t="shared" si="202"/>
        <v>100</v>
      </c>
      <c r="G487" s="647">
        <f t="shared" si="202"/>
        <v>0</v>
      </c>
      <c r="H487" s="647">
        <f t="shared" si="202"/>
        <v>0</v>
      </c>
      <c r="I487" s="647">
        <f t="shared" si="202"/>
        <v>0</v>
      </c>
      <c r="J487" s="647">
        <f t="shared" si="202"/>
        <v>768</v>
      </c>
      <c r="K487" s="647">
        <f t="shared" si="202"/>
        <v>0</v>
      </c>
      <c r="L487" s="647">
        <f t="shared" si="202"/>
        <v>768</v>
      </c>
      <c r="M487" s="647">
        <f t="shared" si="202"/>
        <v>48304</v>
      </c>
      <c r="N487" s="647">
        <f t="shared" si="202"/>
        <v>2163</v>
      </c>
      <c r="O487" s="647">
        <f t="shared" si="202"/>
        <v>51235</v>
      </c>
    </row>
    <row r="488" spans="1:15" ht="17.25" thickTop="1" thickBot="1" x14ac:dyDescent="0.3">
      <c r="A488" s="638"/>
      <c r="B488" s="647" t="s">
        <v>387</v>
      </c>
      <c r="C488" s="647">
        <f>+C479+C481+C482+C483+C484+C485+C486</f>
        <v>668</v>
      </c>
      <c r="D488" s="647">
        <f t="shared" ref="D488:O488" si="203">+D479+D481+D482+D483+D484+D485+D486</f>
        <v>0</v>
      </c>
      <c r="E488" s="647">
        <f t="shared" si="203"/>
        <v>0</v>
      </c>
      <c r="F488" s="647">
        <f t="shared" si="203"/>
        <v>100</v>
      </c>
      <c r="G488" s="647">
        <f t="shared" si="203"/>
        <v>0</v>
      </c>
      <c r="H488" s="647">
        <f t="shared" si="203"/>
        <v>0</v>
      </c>
      <c r="I488" s="647">
        <f t="shared" si="203"/>
        <v>0</v>
      </c>
      <c r="J488" s="647">
        <f t="shared" si="203"/>
        <v>768</v>
      </c>
      <c r="K488" s="647">
        <f t="shared" si="203"/>
        <v>0</v>
      </c>
      <c r="L488" s="647">
        <f t="shared" si="203"/>
        <v>768</v>
      </c>
      <c r="M488" s="647">
        <f t="shared" si="203"/>
        <v>48304</v>
      </c>
      <c r="N488" s="647">
        <f t="shared" si="203"/>
        <v>2163</v>
      </c>
      <c r="O488" s="647">
        <f t="shared" si="203"/>
        <v>51235</v>
      </c>
    </row>
    <row r="489" spans="1:15" ht="16.5" thickTop="1" x14ac:dyDescent="0.25">
      <c r="A489" s="648" t="s">
        <v>19</v>
      </c>
      <c r="B489" s="674" t="s">
        <v>390</v>
      </c>
      <c r="C489" s="674"/>
      <c r="D489" s="674"/>
      <c r="E489" s="674"/>
      <c r="F489" s="674"/>
      <c r="G489" s="674"/>
      <c r="H489" s="674"/>
      <c r="I489" s="674"/>
      <c r="J489" s="674"/>
      <c r="K489" s="674"/>
      <c r="L489" s="674"/>
      <c r="M489" s="674"/>
      <c r="N489" s="674"/>
      <c r="O489" s="674"/>
    </row>
    <row r="490" spans="1:15" x14ac:dyDescent="0.25">
      <c r="A490" s="648"/>
      <c r="B490" s="670" t="s">
        <v>349</v>
      </c>
      <c r="C490" s="670"/>
      <c r="D490" s="670"/>
      <c r="E490" s="670"/>
      <c r="F490" s="670">
        <f>SUM(F491)</f>
        <v>49956</v>
      </c>
      <c r="G490" s="670">
        <f t="shared" ref="G490:H490" si="204">SUM(G491)</f>
        <v>0</v>
      </c>
      <c r="H490" s="670">
        <f t="shared" si="204"/>
        <v>30000</v>
      </c>
      <c r="I490" s="670"/>
      <c r="J490" s="671">
        <f>SUM(C490+E490+F490+H490)</f>
        <v>79956</v>
      </c>
      <c r="K490" s="671">
        <f>SUM(D490+G490+I490)</f>
        <v>0</v>
      </c>
      <c r="L490" s="671">
        <f>SUM(J490:K490)</f>
        <v>79956</v>
      </c>
      <c r="M490" s="671">
        <f>SUM(M491)</f>
        <v>244120</v>
      </c>
      <c r="N490" s="671">
        <f>SUM(N491)</f>
        <v>31997</v>
      </c>
      <c r="O490" s="671">
        <f>SUM(L490:N490)</f>
        <v>356073</v>
      </c>
    </row>
    <row r="491" spans="1:15" s="672" customFormat="1" x14ac:dyDescent="0.25">
      <c r="A491" s="649"/>
      <c r="B491" s="644" t="s">
        <v>388</v>
      </c>
      <c r="C491" s="644"/>
      <c r="D491" s="644"/>
      <c r="E491" s="644"/>
      <c r="F491" s="644">
        <v>49956</v>
      </c>
      <c r="G491" s="644"/>
      <c r="H491" s="644">
        <v>30000</v>
      </c>
      <c r="I491" s="644"/>
      <c r="J491" s="645">
        <f>SUM(C491+E491+F491+H491)</f>
        <v>79956</v>
      </c>
      <c r="K491" s="645">
        <f>SUM(D491+G491+I491)</f>
        <v>0</v>
      </c>
      <c r="L491" s="645">
        <f>SUM(J491:K491)</f>
        <v>79956</v>
      </c>
      <c r="M491" s="645">
        <v>244120</v>
      </c>
      <c r="N491" s="645">
        <v>31997</v>
      </c>
      <c r="O491" s="645">
        <f>SUM(L491:N491)</f>
        <v>356073</v>
      </c>
    </row>
    <row r="492" spans="1:15" s="672" customFormat="1" x14ac:dyDescent="0.25">
      <c r="A492" s="649"/>
      <c r="B492" s="644" t="s">
        <v>133</v>
      </c>
      <c r="C492" s="644"/>
      <c r="D492" s="644"/>
      <c r="E492" s="644"/>
      <c r="F492" s="644"/>
      <c r="G492" s="644"/>
      <c r="H492" s="644"/>
      <c r="I492" s="644"/>
      <c r="J492" s="645"/>
      <c r="K492" s="645"/>
      <c r="L492" s="645"/>
      <c r="M492" s="645"/>
      <c r="N492" s="645"/>
      <c r="O492" s="645"/>
    </row>
    <row r="493" spans="1:15" s="672" customFormat="1" ht="33.75" customHeight="1" x14ac:dyDescent="0.25">
      <c r="A493" s="649"/>
      <c r="B493" s="646" t="s">
        <v>1196</v>
      </c>
      <c r="C493" s="646">
        <v>19344</v>
      </c>
      <c r="D493" s="646"/>
      <c r="E493" s="646"/>
      <c r="F493" s="646"/>
      <c r="G493" s="646"/>
      <c r="H493" s="646"/>
      <c r="I493" s="646"/>
      <c r="J493" s="646">
        <f t="shared" ref="J493:J499" si="205">SUM(C493+E493+F493+H493)</f>
        <v>19344</v>
      </c>
      <c r="K493" s="646">
        <f t="shared" ref="K493:K499" si="206">SUM(D493+G493+I493)</f>
        <v>0</v>
      </c>
      <c r="L493" s="646">
        <f t="shared" ref="L493:L499" si="207">SUM(J493:K493)</f>
        <v>19344</v>
      </c>
      <c r="M493" s="646"/>
      <c r="N493" s="646">
        <v>10399</v>
      </c>
      <c r="O493" s="646">
        <f t="shared" ref="O493:O499" si="208">SUM(L493:N493)</f>
        <v>29743</v>
      </c>
    </row>
    <row r="494" spans="1:15" s="672" customFormat="1" ht="31.5" x14ac:dyDescent="0.25">
      <c r="A494" s="649"/>
      <c r="B494" s="646" t="s">
        <v>1216</v>
      </c>
      <c r="C494" s="646"/>
      <c r="D494" s="646"/>
      <c r="E494" s="646"/>
      <c r="F494" s="646"/>
      <c r="G494" s="646"/>
      <c r="H494" s="646"/>
      <c r="I494" s="646"/>
      <c r="J494" s="646">
        <f t="shared" si="205"/>
        <v>0</v>
      </c>
      <c r="K494" s="646">
        <f t="shared" si="206"/>
        <v>0</v>
      </c>
      <c r="L494" s="646">
        <f t="shared" si="207"/>
        <v>0</v>
      </c>
      <c r="M494" s="646">
        <v>3656</v>
      </c>
      <c r="N494" s="646"/>
      <c r="O494" s="646">
        <f t="shared" si="208"/>
        <v>3656</v>
      </c>
    </row>
    <row r="495" spans="1:15" s="672" customFormat="1" x14ac:dyDescent="0.25">
      <c r="A495" s="649"/>
      <c r="B495" s="646" t="s">
        <v>1204</v>
      </c>
      <c r="C495" s="646"/>
      <c r="D495" s="646"/>
      <c r="E495" s="646"/>
      <c r="F495" s="646"/>
      <c r="G495" s="646"/>
      <c r="H495" s="646"/>
      <c r="I495" s="646"/>
      <c r="J495" s="646">
        <f t="shared" si="205"/>
        <v>0</v>
      </c>
      <c r="K495" s="646">
        <f t="shared" si="206"/>
        <v>0</v>
      </c>
      <c r="L495" s="646">
        <f t="shared" si="207"/>
        <v>0</v>
      </c>
      <c r="M495" s="646">
        <v>1866</v>
      </c>
      <c r="N495" s="646"/>
      <c r="O495" s="646">
        <f t="shared" si="208"/>
        <v>1866</v>
      </c>
    </row>
    <row r="496" spans="1:15" s="672" customFormat="1" ht="31.5" x14ac:dyDescent="0.25">
      <c r="A496" s="649"/>
      <c r="B496" s="673" t="s">
        <v>1198</v>
      </c>
      <c r="C496" s="646"/>
      <c r="D496" s="646"/>
      <c r="E496" s="646"/>
      <c r="F496" s="646"/>
      <c r="G496" s="646"/>
      <c r="H496" s="646"/>
      <c r="I496" s="646"/>
      <c r="J496" s="646">
        <f t="shared" si="205"/>
        <v>0</v>
      </c>
      <c r="K496" s="646">
        <f t="shared" si="206"/>
        <v>0</v>
      </c>
      <c r="L496" s="646">
        <f t="shared" si="207"/>
        <v>0</v>
      </c>
      <c r="M496" s="646">
        <v>-1196</v>
      </c>
      <c r="N496" s="646"/>
      <c r="O496" s="646">
        <f t="shared" si="208"/>
        <v>-1196</v>
      </c>
    </row>
    <row r="497" spans="1:15" s="672" customFormat="1" ht="31.5" x14ac:dyDescent="0.25">
      <c r="A497" s="649"/>
      <c r="B497" s="673" t="s">
        <v>1224</v>
      </c>
      <c r="C497" s="646"/>
      <c r="D497" s="646"/>
      <c r="E497" s="646"/>
      <c r="F497" s="646"/>
      <c r="G497" s="646"/>
      <c r="H497" s="646">
        <v>-30000</v>
      </c>
      <c r="I497" s="646"/>
      <c r="J497" s="646">
        <f t="shared" si="205"/>
        <v>-30000</v>
      </c>
      <c r="K497" s="646">
        <f t="shared" si="206"/>
        <v>0</v>
      </c>
      <c r="L497" s="646">
        <f t="shared" si="207"/>
        <v>-30000</v>
      </c>
      <c r="M497" s="646">
        <v>30000</v>
      </c>
      <c r="N497" s="646"/>
      <c r="O497" s="646">
        <f t="shared" si="208"/>
        <v>0</v>
      </c>
    </row>
    <row r="498" spans="1:15" s="672" customFormat="1" ht="31.5" x14ac:dyDescent="0.25">
      <c r="A498" s="649"/>
      <c r="B498" s="673" t="s">
        <v>1222</v>
      </c>
      <c r="C498" s="646">
        <v>500</v>
      </c>
      <c r="D498" s="646"/>
      <c r="E498" s="646"/>
      <c r="F498" s="646"/>
      <c r="G498" s="646"/>
      <c r="H498" s="646"/>
      <c r="I498" s="646"/>
      <c r="J498" s="646">
        <f t="shared" si="205"/>
        <v>500</v>
      </c>
      <c r="K498" s="646">
        <f t="shared" si="206"/>
        <v>0</v>
      </c>
      <c r="L498" s="646">
        <f t="shared" si="207"/>
        <v>500</v>
      </c>
      <c r="M498" s="646"/>
      <c r="N498" s="646"/>
      <c r="O498" s="646">
        <f t="shared" si="208"/>
        <v>500</v>
      </c>
    </row>
    <row r="499" spans="1:15" s="672" customFormat="1" ht="53.25" customHeight="1" thickBot="1" x14ac:dyDescent="0.3">
      <c r="A499" s="649"/>
      <c r="B499" s="673" t="s">
        <v>1223</v>
      </c>
      <c r="C499" s="646"/>
      <c r="D499" s="646"/>
      <c r="E499" s="646"/>
      <c r="F499" s="646">
        <v>-15656</v>
      </c>
      <c r="G499" s="646"/>
      <c r="H499" s="646"/>
      <c r="I499" s="646"/>
      <c r="J499" s="646">
        <f t="shared" si="205"/>
        <v>-15656</v>
      </c>
      <c r="K499" s="646">
        <f t="shared" si="206"/>
        <v>0</v>
      </c>
      <c r="L499" s="646">
        <f t="shared" si="207"/>
        <v>-15656</v>
      </c>
      <c r="M499" s="646">
        <v>-38766</v>
      </c>
      <c r="N499" s="646"/>
      <c r="O499" s="646">
        <f t="shared" si="208"/>
        <v>-54422</v>
      </c>
    </row>
    <row r="500" spans="1:15" ht="17.25" thickTop="1" thickBot="1" x14ac:dyDescent="0.3">
      <c r="A500" s="638"/>
      <c r="B500" s="647" t="s">
        <v>381</v>
      </c>
      <c r="C500" s="647">
        <f>+C490+C493+C494+C495+C496+C497+C498+C499</f>
        <v>19844</v>
      </c>
      <c r="D500" s="647">
        <f t="shared" ref="D500:O500" si="209">+D490+D493+D494+D495+D496+D497+D498+D499</f>
        <v>0</v>
      </c>
      <c r="E500" s="647">
        <f t="shared" si="209"/>
        <v>0</v>
      </c>
      <c r="F500" s="647">
        <f t="shared" si="209"/>
        <v>34300</v>
      </c>
      <c r="G500" s="647">
        <f t="shared" si="209"/>
        <v>0</v>
      </c>
      <c r="H500" s="647">
        <f t="shared" si="209"/>
        <v>0</v>
      </c>
      <c r="I500" s="647">
        <f t="shared" si="209"/>
        <v>0</v>
      </c>
      <c r="J500" s="647">
        <f t="shared" si="209"/>
        <v>54144</v>
      </c>
      <c r="K500" s="647">
        <f t="shared" si="209"/>
        <v>0</v>
      </c>
      <c r="L500" s="647">
        <f t="shared" si="209"/>
        <v>54144</v>
      </c>
      <c r="M500" s="647">
        <f t="shared" si="209"/>
        <v>239680</v>
      </c>
      <c r="N500" s="647">
        <f t="shared" si="209"/>
        <v>42396</v>
      </c>
      <c r="O500" s="647">
        <f t="shared" si="209"/>
        <v>336220</v>
      </c>
    </row>
    <row r="501" spans="1:15" ht="17.25" thickTop="1" thickBot="1" x14ac:dyDescent="0.3">
      <c r="A501" s="638"/>
      <c r="B501" s="647" t="s">
        <v>387</v>
      </c>
      <c r="C501" s="647">
        <f>+C491+C493+C494+C495+C496+C497+C498+C499</f>
        <v>19844</v>
      </c>
      <c r="D501" s="647">
        <f t="shared" ref="D501:O501" si="210">+D491+D493+D494+D495+D496+D497+D498+D499</f>
        <v>0</v>
      </c>
      <c r="E501" s="647">
        <f t="shared" si="210"/>
        <v>0</v>
      </c>
      <c r="F501" s="647">
        <f t="shared" si="210"/>
        <v>34300</v>
      </c>
      <c r="G501" s="647">
        <f t="shared" si="210"/>
        <v>0</v>
      </c>
      <c r="H501" s="647">
        <f t="shared" si="210"/>
        <v>0</v>
      </c>
      <c r="I501" s="647">
        <f t="shared" si="210"/>
        <v>0</v>
      </c>
      <c r="J501" s="647">
        <f t="shared" si="210"/>
        <v>54144</v>
      </c>
      <c r="K501" s="647">
        <f t="shared" si="210"/>
        <v>0</v>
      </c>
      <c r="L501" s="647">
        <f t="shared" si="210"/>
        <v>54144</v>
      </c>
      <c r="M501" s="647">
        <f t="shared" si="210"/>
        <v>239680</v>
      </c>
      <c r="N501" s="647">
        <f t="shared" si="210"/>
        <v>42396</v>
      </c>
      <c r="O501" s="647">
        <f t="shared" si="210"/>
        <v>336220</v>
      </c>
    </row>
    <row r="502" spans="1:15" ht="16.5" thickTop="1" x14ac:dyDescent="0.25">
      <c r="A502" s="642" t="s">
        <v>20</v>
      </c>
      <c r="B502" s="674" t="s">
        <v>389</v>
      </c>
      <c r="C502" s="674"/>
      <c r="D502" s="674"/>
      <c r="E502" s="674"/>
      <c r="F502" s="674"/>
      <c r="G502" s="674"/>
      <c r="H502" s="674"/>
      <c r="I502" s="674"/>
      <c r="J502" s="674"/>
      <c r="K502" s="674"/>
      <c r="L502" s="674"/>
      <c r="M502" s="674"/>
      <c r="N502" s="674"/>
      <c r="O502" s="674"/>
    </row>
    <row r="503" spans="1:15" x14ac:dyDescent="0.25">
      <c r="A503" s="661"/>
      <c r="B503" s="671" t="s">
        <v>349</v>
      </c>
      <c r="C503" s="671"/>
      <c r="D503" s="671"/>
      <c r="E503" s="671"/>
      <c r="F503" s="671">
        <f>SUM(F504)</f>
        <v>307465</v>
      </c>
      <c r="G503" s="671">
        <f t="shared" ref="G503:H503" si="211">SUM(G504)</f>
        <v>0</v>
      </c>
      <c r="H503" s="671">
        <f t="shared" si="211"/>
        <v>135000</v>
      </c>
      <c r="I503" s="671"/>
      <c r="J503" s="671">
        <f>SUM(C503+E503+F503+H503)</f>
        <v>442465</v>
      </c>
      <c r="K503" s="671">
        <f>SUM(D503+G503+I503)</f>
        <v>0</v>
      </c>
      <c r="L503" s="671">
        <f>SUM(J503:K503)</f>
        <v>442465</v>
      </c>
      <c r="M503" s="671">
        <f>SUM(M504)</f>
        <v>771069</v>
      </c>
      <c r="N503" s="671">
        <f>SUM(N504)</f>
        <v>100740</v>
      </c>
      <c r="O503" s="671">
        <f>SUM(L503:N503)</f>
        <v>1314274</v>
      </c>
    </row>
    <row r="504" spans="1:15" s="672" customFormat="1" x14ac:dyDescent="0.25">
      <c r="A504" s="662"/>
      <c r="B504" s="644" t="s">
        <v>388</v>
      </c>
      <c r="C504" s="644"/>
      <c r="D504" s="644"/>
      <c r="E504" s="644"/>
      <c r="F504" s="644">
        <v>307465</v>
      </c>
      <c r="G504" s="644"/>
      <c r="H504" s="644">
        <v>135000</v>
      </c>
      <c r="I504" s="644"/>
      <c r="J504" s="645">
        <f>SUM(C504+E504+F504+H504)</f>
        <v>442465</v>
      </c>
      <c r="K504" s="645">
        <f>SUM(D504+G504+I504)</f>
        <v>0</v>
      </c>
      <c r="L504" s="645">
        <f>SUM(J504:K504)</f>
        <v>442465</v>
      </c>
      <c r="M504" s="645">
        <v>771069</v>
      </c>
      <c r="N504" s="645">
        <v>100740</v>
      </c>
      <c r="O504" s="645">
        <f>SUM(L504:N504)</f>
        <v>1314274</v>
      </c>
    </row>
    <row r="505" spans="1:15" s="672" customFormat="1" x14ac:dyDescent="0.25">
      <c r="A505" s="662"/>
      <c r="B505" s="644" t="s">
        <v>133</v>
      </c>
      <c r="C505" s="644"/>
      <c r="D505" s="644"/>
      <c r="E505" s="644"/>
      <c r="F505" s="644"/>
      <c r="G505" s="644"/>
      <c r="H505" s="644"/>
      <c r="I505" s="644"/>
      <c r="J505" s="645"/>
      <c r="K505" s="645"/>
      <c r="L505" s="645"/>
      <c r="M505" s="645"/>
      <c r="N505" s="645"/>
      <c r="O505" s="645"/>
    </row>
    <row r="506" spans="1:15" s="672" customFormat="1" ht="32.25" customHeight="1" x14ac:dyDescent="0.25">
      <c r="A506" s="662"/>
      <c r="B506" s="646" t="s">
        <v>1196</v>
      </c>
      <c r="C506" s="646">
        <v>7488</v>
      </c>
      <c r="D506" s="646"/>
      <c r="E506" s="646"/>
      <c r="F506" s="646"/>
      <c r="G506" s="646"/>
      <c r="H506" s="646"/>
      <c r="I506" s="646"/>
      <c r="J506" s="646">
        <f t="shared" ref="J506:J514" si="212">SUM(C506+E506+F506+H506)</f>
        <v>7488</v>
      </c>
      <c r="K506" s="646">
        <f t="shared" ref="K506:K514" si="213">SUM(D506+G506+I506)</f>
        <v>0</v>
      </c>
      <c r="L506" s="646">
        <f t="shared" ref="L506:L514" si="214">SUM(J506:K506)</f>
        <v>7488</v>
      </c>
      <c r="M506" s="646"/>
      <c r="N506" s="646">
        <v>45833</v>
      </c>
      <c r="O506" s="646">
        <f t="shared" ref="O506:O514" si="215">SUM(L506:N506)</f>
        <v>53321</v>
      </c>
    </row>
    <row r="507" spans="1:15" s="672" customFormat="1" ht="31.5" x14ac:dyDescent="0.25">
      <c r="A507" s="662"/>
      <c r="B507" s="646" t="s">
        <v>1197</v>
      </c>
      <c r="C507" s="646"/>
      <c r="D507" s="646"/>
      <c r="E507" s="646"/>
      <c r="F507" s="646"/>
      <c r="G507" s="646"/>
      <c r="H507" s="646"/>
      <c r="I507" s="646"/>
      <c r="J507" s="646">
        <f t="shared" si="212"/>
        <v>0</v>
      </c>
      <c r="K507" s="646">
        <f t="shared" si="213"/>
        <v>0</v>
      </c>
      <c r="L507" s="646">
        <f t="shared" si="214"/>
        <v>0</v>
      </c>
      <c r="M507" s="646">
        <v>130</v>
      </c>
      <c r="N507" s="646"/>
      <c r="O507" s="646">
        <f t="shared" si="215"/>
        <v>130</v>
      </c>
    </row>
    <row r="508" spans="1:15" s="672" customFormat="1" ht="31.5" x14ac:dyDescent="0.25">
      <c r="A508" s="662"/>
      <c r="B508" s="646" t="s">
        <v>1216</v>
      </c>
      <c r="C508" s="646"/>
      <c r="D508" s="646"/>
      <c r="E508" s="646"/>
      <c r="F508" s="646"/>
      <c r="G508" s="646"/>
      <c r="H508" s="646"/>
      <c r="I508" s="646"/>
      <c r="J508" s="646">
        <f t="shared" si="212"/>
        <v>0</v>
      </c>
      <c r="K508" s="646">
        <f t="shared" si="213"/>
        <v>0</v>
      </c>
      <c r="L508" s="646">
        <f t="shared" si="214"/>
        <v>0</v>
      </c>
      <c r="M508" s="646">
        <v>7834</v>
      </c>
      <c r="N508" s="646"/>
      <c r="O508" s="646">
        <f t="shared" si="215"/>
        <v>7834</v>
      </c>
    </row>
    <row r="509" spans="1:15" s="672" customFormat="1" x14ac:dyDescent="0.25">
      <c r="A509" s="662"/>
      <c r="B509" s="646" t="s">
        <v>1225</v>
      </c>
      <c r="C509" s="646"/>
      <c r="D509" s="646"/>
      <c r="E509" s="646"/>
      <c r="F509" s="646"/>
      <c r="G509" s="646"/>
      <c r="H509" s="646"/>
      <c r="I509" s="646"/>
      <c r="J509" s="646">
        <f t="shared" si="212"/>
        <v>0</v>
      </c>
      <c r="K509" s="646">
        <f t="shared" si="213"/>
        <v>0</v>
      </c>
      <c r="L509" s="646">
        <f t="shared" si="214"/>
        <v>0</v>
      </c>
      <c r="M509" s="646">
        <v>7108</v>
      </c>
      <c r="N509" s="646"/>
      <c r="O509" s="646">
        <f t="shared" si="215"/>
        <v>7108</v>
      </c>
    </row>
    <row r="510" spans="1:15" s="672" customFormat="1" ht="31.5" x14ac:dyDescent="0.25">
      <c r="A510" s="662"/>
      <c r="B510" s="673" t="s">
        <v>1198</v>
      </c>
      <c r="C510" s="646"/>
      <c r="D510" s="646"/>
      <c r="E510" s="646"/>
      <c r="F510" s="646"/>
      <c r="G510" s="646"/>
      <c r="H510" s="646"/>
      <c r="I510" s="646"/>
      <c r="J510" s="646">
        <f t="shared" si="212"/>
        <v>0</v>
      </c>
      <c r="K510" s="646">
        <f t="shared" si="213"/>
        <v>0</v>
      </c>
      <c r="L510" s="646">
        <f t="shared" si="214"/>
        <v>0</v>
      </c>
      <c r="M510" s="646">
        <v>-3437</v>
      </c>
      <c r="N510" s="646"/>
      <c r="O510" s="646">
        <f t="shared" si="215"/>
        <v>-3437</v>
      </c>
    </row>
    <row r="511" spans="1:15" s="672" customFormat="1" ht="50.25" customHeight="1" x14ac:dyDescent="0.25">
      <c r="A511" s="662"/>
      <c r="B511" s="673" t="s">
        <v>1223</v>
      </c>
      <c r="C511" s="646"/>
      <c r="D511" s="646"/>
      <c r="E511" s="646"/>
      <c r="F511" s="646">
        <v>-87461</v>
      </c>
      <c r="G511" s="646"/>
      <c r="H511" s="646"/>
      <c r="I511" s="646"/>
      <c r="J511" s="646">
        <f t="shared" si="212"/>
        <v>-87461</v>
      </c>
      <c r="K511" s="646">
        <f t="shared" si="213"/>
        <v>0</v>
      </c>
      <c r="L511" s="646">
        <f t="shared" si="214"/>
        <v>-87461</v>
      </c>
      <c r="M511" s="646"/>
      <c r="N511" s="646"/>
      <c r="O511" s="646">
        <f t="shared" si="215"/>
        <v>-87461</v>
      </c>
    </row>
    <row r="512" spans="1:15" s="672" customFormat="1" ht="31.5" x14ac:dyDescent="0.25">
      <c r="A512" s="662"/>
      <c r="B512" s="673" t="s">
        <v>1226</v>
      </c>
      <c r="C512" s="646"/>
      <c r="D512" s="646"/>
      <c r="E512" s="646"/>
      <c r="F512" s="646"/>
      <c r="G512" s="646"/>
      <c r="H512" s="646"/>
      <c r="I512" s="646"/>
      <c r="J512" s="646">
        <f t="shared" si="212"/>
        <v>0</v>
      </c>
      <c r="K512" s="646">
        <f t="shared" si="213"/>
        <v>0</v>
      </c>
      <c r="L512" s="646">
        <f t="shared" si="214"/>
        <v>0</v>
      </c>
      <c r="M512" s="646">
        <v>61042</v>
      </c>
      <c r="N512" s="646"/>
      <c r="O512" s="646">
        <f t="shared" si="215"/>
        <v>61042</v>
      </c>
    </row>
    <row r="513" spans="1:15" s="672" customFormat="1" ht="31.5" x14ac:dyDescent="0.25">
      <c r="A513" s="662"/>
      <c r="B513" s="673" t="s">
        <v>1224</v>
      </c>
      <c r="C513" s="646"/>
      <c r="D513" s="646"/>
      <c r="E513" s="646"/>
      <c r="F513" s="646"/>
      <c r="G513" s="646"/>
      <c r="H513" s="646">
        <v>-135000</v>
      </c>
      <c r="I513" s="646"/>
      <c r="J513" s="646">
        <f t="shared" si="212"/>
        <v>-135000</v>
      </c>
      <c r="K513" s="646">
        <f t="shared" si="213"/>
        <v>0</v>
      </c>
      <c r="L513" s="646">
        <f t="shared" si="214"/>
        <v>-135000</v>
      </c>
      <c r="M513" s="646">
        <v>135000</v>
      </c>
      <c r="N513" s="646"/>
      <c r="O513" s="646">
        <f t="shared" si="215"/>
        <v>0</v>
      </c>
    </row>
    <row r="514" spans="1:15" s="672" customFormat="1" ht="32.25" thickBot="1" x14ac:dyDescent="0.3">
      <c r="A514" s="662"/>
      <c r="B514" s="673" t="s">
        <v>1222</v>
      </c>
      <c r="C514" s="646">
        <v>500</v>
      </c>
      <c r="D514" s="646"/>
      <c r="E514" s="646"/>
      <c r="F514" s="646"/>
      <c r="G514" s="646"/>
      <c r="H514" s="646"/>
      <c r="I514" s="646"/>
      <c r="J514" s="646">
        <f t="shared" si="212"/>
        <v>500</v>
      </c>
      <c r="K514" s="646">
        <f t="shared" si="213"/>
        <v>0</v>
      </c>
      <c r="L514" s="646">
        <f t="shared" si="214"/>
        <v>500</v>
      </c>
      <c r="M514" s="646"/>
      <c r="N514" s="646"/>
      <c r="O514" s="646">
        <f t="shared" si="215"/>
        <v>500</v>
      </c>
    </row>
    <row r="515" spans="1:15" ht="17.25" thickTop="1" thickBot="1" x14ac:dyDescent="0.3">
      <c r="A515" s="638"/>
      <c r="B515" s="647" t="s">
        <v>381</v>
      </c>
      <c r="C515" s="647">
        <f>+C503+C506+C507+C508+C509+C510+C512+C513+C514+C511</f>
        <v>7988</v>
      </c>
      <c r="D515" s="647">
        <f t="shared" ref="D515:O515" si="216">+D503+D506+D507+D508+D509+D510+D512+D513+D514+D511</f>
        <v>0</v>
      </c>
      <c r="E515" s="647">
        <f t="shared" si="216"/>
        <v>0</v>
      </c>
      <c r="F515" s="647">
        <f t="shared" si="216"/>
        <v>220004</v>
      </c>
      <c r="G515" s="647">
        <f t="shared" si="216"/>
        <v>0</v>
      </c>
      <c r="H515" s="647">
        <f t="shared" si="216"/>
        <v>0</v>
      </c>
      <c r="I515" s="647">
        <f t="shared" si="216"/>
        <v>0</v>
      </c>
      <c r="J515" s="647">
        <f t="shared" si="216"/>
        <v>227992</v>
      </c>
      <c r="K515" s="647">
        <f t="shared" si="216"/>
        <v>0</v>
      </c>
      <c r="L515" s="647">
        <f t="shared" si="216"/>
        <v>227992</v>
      </c>
      <c r="M515" s="647">
        <f t="shared" si="216"/>
        <v>978746</v>
      </c>
      <c r="N515" s="647">
        <f t="shared" si="216"/>
        <v>146573</v>
      </c>
      <c r="O515" s="647">
        <f t="shared" si="216"/>
        <v>1353311</v>
      </c>
    </row>
    <row r="516" spans="1:15" ht="17.25" thickTop="1" thickBot="1" x14ac:dyDescent="0.3">
      <c r="A516" s="638"/>
      <c r="B516" s="647" t="s">
        <v>387</v>
      </c>
      <c r="C516" s="647">
        <f>+C504+C506+C507+C508+C509+C510+C512+C513+C514+C511</f>
        <v>7988</v>
      </c>
      <c r="D516" s="647">
        <f t="shared" ref="D516:O516" si="217">+D504+D506+D507+D508+D509+D510+D512+D513+D514+D511</f>
        <v>0</v>
      </c>
      <c r="E516" s="647">
        <f t="shared" si="217"/>
        <v>0</v>
      </c>
      <c r="F516" s="647">
        <f t="shared" si="217"/>
        <v>220004</v>
      </c>
      <c r="G516" s="647">
        <f t="shared" si="217"/>
        <v>0</v>
      </c>
      <c r="H516" s="647">
        <f t="shared" si="217"/>
        <v>0</v>
      </c>
      <c r="I516" s="647">
        <f t="shared" si="217"/>
        <v>0</v>
      </c>
      <c r="J516" s="647">
        <f t="shared" si="217"/>
        <v>227992</v>
      </c>
      <c r="K516" s="647">
        <f t="shared" si="217"/>
        <v>0</v>
      </c>
      <c r="L516" s="647">
        <f t="shared" si="217"/>
        <v>227992</v>
      </c>
      <c r="M516" s="647">
        <f t="shared" si="217"/>
        <v>978746</v>
      </c>
      <c r="N516" s="647">
        <f t="shared" si="217"/>
        <v>146573</v>
      </c>
      <c r="O516" s="647">
        <f t="shared" si="217"/>
        <v>1353311</v>
      </c>
    </row>
    <row r="517" spans="1:15" ht="16.5" thickTop="1" x14ac:dyDescent="0.25">
      <c r="A517" s="642" t="s">
        <v>21</v>
      </c>
      <c r="B517" s="674" t="s">
        <v>583</v>
      </c>
      <c r="C517" s="674"/>
      <c r="D517" s="674"/>
      <c r="E517" s="674"/>
      <c r="F517" s="674"/>
      <c r="G517" s="674"/>
      <c r="H517" s="674"/>
      <c r="I517" s="674"/>
      <c r="J517" s="674"/>
      <c r="K517" s="674"/>
      <c r="L517" s="674"/>
      <c r="M517" s="674"/>
      <c r="N517" s="674"/>
      <c r="O517" s="674"/>
    </row>
    <row r="518" spans="1:15" s="672" customFormat="1" x14ac:dyDescent="0.25">
      <c r="A518" s="662"/>
      <c r="B518" s="646" t="s">
        <v>349</v>
      </c>
      <c r="C518" s="644"/>
      <c r="D518" s="644"/>
      <c r="E518" s="644"/>
      <c r="F518" s="644">
        <f>SUM(F519)</f>
        <v>18780</v>
      </c>
      <c r="G518" s="644"/>
      <c r="H518" s="644"/>
      <c r="I518" s="644"/>
      <c r="J518" s="646">
        <f t="shared" ref="J518:J527" si="218">SUM(C518+E518+F518+H518)</f>
        <v>18780</v>
      </c>
      <c r="K518" s="646">
        <f t="shared" ref="K518:K527" si="219">SUM(D518+G518+I518)</f>
        <v>0</v>
      </c>
      <c r="L518" s="646">
        <f t="shared" ref="L518:L527" si="220">SUM(J518:K518)</f>
        <v>18780</v>
      </c>
      <c r="M518" s="645">
        <f>SUM(M519)</f>
        <v>181315</v>
      </c>
      <c r="N518" s="645">
        <f>SUM(N519)</f>
        <v>56528</v>
      </c>
      <c r="O518" s="646">
        <f t="shared" ref="O518:O527" si="221">SUM(L518:N518)</f>
        <v>256623</v>
      </c>
    </row>
    <row r="519" spans="1:15" s="672" customFormat="1" x14ac:dyDescent="0.25">
      <c r="A519" s="662"/>
      <c r="B519" s="644" t="s">
        <v>683</v>
      </c>
      <c r="C519" s="646"/>
      <c r="D519" s="646"/>
      <c r="E519" s="646"/>
      <c r="F519" s="646">
        <v>18780</v>
      </c>
      <c r="G519" s="646"/>
      <c r="H519" s="646"/>
      <c r="I519" s="646"/>
      <c r="J519" s="646">
        <f t="shared" si="218"/>
        <v>18780</v>
      </c>
      <c r="K519" s="646">
        <f t="shared" si="219"/>
        <v>0</v>
      </c>
      <c r="L519" s="646">
        <f t="shared" si="220"/>
        <v>18780</v>
      </c>
      <c r="M519" s="646">
        <v>181315</v>
      </c>
      <c r="N519" s="646">
        <v>56528</v>
      </c>
      <c r="O519" s="646">
        <f t="shared" si="221"/>
        <v>256623</v>
      </c>
    </row>
    <row r="520" spans="1:15" s="672" customFormat="1" x14ac:dyDescent="0.25">
      <c r="A520" s="662"/>
      <c r="B520" s="644" t="s">
        <v>133</v>
      </c>
      <c r="C520" s="644"/>
      <c r="D520" s="644"/>
      <c r="E520" s="644"/>
      <c r="F520" s="644"/>
      <c r="G520" s="644"/>
      <c r="H520" s="644"/>
      <c r="I520" s="644"/>
      <c r="J520" s="646"/>
      <c r="K520" s="646"/>
      <c r="L520" s="646"/>
      <c r="M520" s="645"/>
      <c r="N520" s="645"/>
      <c r="O520" s="646"/>
    </row>
    <row r="521" spans="1:15" s="672" customFormat="1" ht="30.75" customHeight="1" x14ac:dyDescent="0.25">
      <c r="A521" s="662"/>
      <c r="B521" s="646" t="s">
        <v>1196</v>
      </c>
      <c r="C521" s="646">
        <v>7422</v>
      </c>
      <c r="D521" s="644"/>
      <c r="E521" s="644"/>
      <c r="F521" s="644"/>
      <c r="G521" s="644"/>
      <c r="H521" s="644"/>
      <c r="I521" s="644"/>
      <c r="J521" s="646">
        <f t="shared" si="218"/>
        <v>7422</v>
      </c>
      <c r="K521" s="646">
        <f t="shared" si="219"/>
        <v>0</v>
      </c>
      <c r="L521" s="646">
        <f t="shared" si="220"/>
        <v>7422</v>
      </c>
      <c r="M521" s="646"/>
      <c r="N521" s="646">
        <v>8025</v>
      </c>
      <c r="O521" s="646">
        <f t="shared" si="221"/>
        <v>15447</v>
      </c>
    </row>
    <row r="522" spans="1:15" s="672" customFormat="1" ht="31.5" x14ac:dyDescent="0.25">
      <c r="A522" s="662"/>
      <c r="B522" s="646" t="s">
        <v>1216</v>
      </c>
      <c r="C522" s="644"/>
      <c r="D522" s="644"/>
      <c r="E522" s="644"/>
      <c r="F522" s="644"/>
      <c r="G522" s="644"/>
      <c r="H522" s="644"/>
      <c r="I522" s="644"/>
      <c r="J522" s="646">
        <f t="shared" si="218"/>
        <v>0</v>
      </c>
      <c r="K522" s="646">
        <f t="shared" si="219"/>
        <v>0</v>
      </c>
      <c r="L522" s="646">
        <f t="shared" si="220"/>
        <v>0</v>
      </c>
      <c r="M522" s="646">
        <v>1203</v>
      </c>
      <c r="N522" s="645"/>
      <c r="O522" s="646">
        <f t="shared" si="221"/>
        <v>1203</v>
      </c>
    </row>
    <row r="523" spans="1:15" s="672" customFormat="1" x14ac:dyDescent="0.25">
      <c r="A523" s="662"/>
      <c r="B523" s="646" t="s">
        <v>1204</v>
      </c>
      <c r="C523" s="644"/>
      <c r="D523" s="644"/>
      <c r="E523" s="644"/>
      <c r="F523" s="644"/>
      <c r="G523" s="644"/>
      <c r="H523" s="644"/>
      <c r="I523" s="644"/>
      <c r="J523" s="646">
        <f t="shared" si="218"/>
        <v>0</v>
      </c>
      <c r="K523" s="646">
        <f t="shared" si="219"/>
        <v>0</v>
      </c>
      <c r="L523" s="646">
        <f t="shared" si="220"/>
        <v>0</v>
      </c>
      <c r="M523" s="646">
        <v>950</v>
      </c>
      <c r="N523" s="645"/>
      <c r="O523" s="646">
        <f t="shared" si="221"/>
        <v>950</v>
      </c>
    </row>
    <row r="524" spans="1:15" s="672" customFormat="1" ht="31.5" x14ac:dyDescent="0.25">
      <c r="A524" s="662"/>
      <c r="B524" s="673" t="s">
        <v>1198</v>
      </c>
      <c r="C524" s="644"/>
      <c r="D524" s="644"/>
      <c r="E524" s="644"/>
      <c r="F524" s="644"/>
      <c r="G524" s="644"/>
      <c r="H524" s="644"/>
      <c r="I524" s="644"/>
      <c r="J524" s="646">
        <f t="shared" si="218"/>
        <v>0</v>
      </c>
      <c r="K524" s="646">
        <f t="shared" si="219"/>
        <v>0</v>
      </c>
      <c r="L524" s="646">
        <f t="shared" si="220"/>
        <v>0</v>
      </c>
      <c r="M524" s="646">
        <v>-809</v>
      </c>
      <c r="N524" s="645"/>
      <c r="O524" s="646">
        <f t="shared" si="221"/>
        <v>-809</v>
      </c>
    </row>
    <row r="525" spans="1:15" s="672" customFormat="1" ht="31.5" x14ac:dyDescent="0.25">
      <c r="A525" s="662"/>
      <c r="B525" s="646" t="s">
        <v>1224</v>
      </c>
      <c r="C525" s="644"/>
      <c r="D525" s="644"/>
      <c r="E525" s="644"/>
      <c r="F525" s="646">
        <v>23000</v>
      </c>
      <c r="G525" s="644"/>
      <c r="H525" s="644"/>
      <c r="I525" s="644"/>
      <c r="J525" s="646">
        <f t="shared" si="218"/>
        <v>23000</v>
      </c>
      <c r="K525" s="646">
        <f t="shared" si="219"/>
        <v>0</v>
      </c>
      <c r="L525" s="646">
        <f t="shared" si="220"/>
        <v>23000</v>
      </c>
      <c r="M525" s="646">
        <v>-23000</v>
      </c>
      <c r="N525" s="645"/>
      <c r="O525" s="646">
        <f t="shared" si="221"/>
        <v>0</v>
      </c>
    </row>
    <row r="526" spans="1:15" s="672" customFormat="1" ht="54" customHeight="1" x14ac:dyDescent="0.25">
      <c r="A526" s="662"/>
      <c r="B526" s="646" t="s">
        <v>1223</v>
      </c>
      <c r="C526" s="644"/>
      <c r="D526" s="644"/>
      <c r="E526" s="644"/>
      <c r="F526" s="646">
        <v>-5272</v>
      </c>
      <c r="G526" s="644"/>
      <c r="H526" s="644"/>
      <c r="I526" s="644"/>
      <c r="J526" s="646">
        <f t="shared" si="218"/>
        <v>-5272</v>
      </c>
      <c r="K526" s="646">
        <f t="shared" si="219"/>
        <v>0</v>
      </c>
      <c r="L526" s="646">
        <f t="shared" si="220"/>
        <v>-5272</v>
      </c>
      <c r="M526" s="646">
        <v>-17642</v>
      </c>
      <c r="N526" s="645"/>
      <c r="O526" s="646">
        <f t="shared" si="221"/>
        <v>-22914</v>
      </c>
    </row>
    <row r="527" spans="1:15" s="672" customFormat="1" ht="54" customHeight="1" thickBot="1" x14ac:dyDescent="0.3">
      <c r="A527" s="662"/>
      <c r="B527" s="646" t="s">
        <v>1298</v>
      </c>
      <c r="C527" s="646">
        <v>20000</v>
      </c>
      <c r="D527" s="644"/>
      <c r="E527" s="644"/>
      <c r="F527" s="646"/>
      <c r="G527" s="644"/>
      <c r="H527" s="644"/>
      <c r="I527" s="644"/>
      <c r="J527" s="646">
        <f t="shared" si="218"/>
        <v>20000</v>
      </c>
      <c r="K527" s="646">
        <f t="shared" si="219"/>
        <v>0</v>
      </c>
      <c r="L527" s="646">
        <f t="shared" si="220"/>
        <v>20000</v>
      </c>
      <c r="M527" s="646">
        <v>-20000</v>
      </c>
      <c r="N527" s="645"/>
      <c r="O527" s="646">
        <f t="shared" si="221"/>
        <v>0</v>
      </c>
    </row>
    <row r="528" spans="1:15" ht="17.25" thickTop="1" thickBot="1" x14ac:dyDescent="0.3">
      <c r="A528" s="638"/>
      <c r="B528" s="647" t="s">
        <v>381</v>
      </c>
      <c r="C528" s="647">
        <f>+C518+C521+C522+C523+C524+C525+C526+C527</f>
        <v>27422</v>
      </c>
      <c r="D528" s="647">
        <f t="shared" ref="D528:O528" si="222">+D518+D521+D522+D523+D524+D525+D526+D527</f>
        <v>0</v>
      </c>
      <c r="E528" s="647">
        <f t="shared" si="222"/>
        <v>0</v>
      </c>
      <c r="F528" s="647">
        <f t="shared" si="222"/>
        <v>36508</v>
      </c>
      <c r="G528" s="647">
        <f t="shared" si="222"/>
        <v>0</v>
      </c>
      <c r="H528" s="647">
        <f t="shared" si="222"/>
        <v>0</v>
      </c>
      <c r="I528" s="647">
        <f t="shared" si="222"/>
        <v>0</v>
      </c>
      <c r="J528" s="647">
        <f t="shared" si="222"/>
        <v>63930</v>
      </c>
      <c r="K528" s="647">
        <f t="shared" si="222"/>
        <v>0</v>
      </c>
      <c r="L528" s="647">
        <f t="shared" si="222"/>
        <v>63930</v>
      </c>
      <c r="M528" s="647">
        <f t="shared" si="222"/>
        <v>122017</v>
      </c>
      <c r="N528" s="647">
        <f t="shared" si="222"/>
        <v>64553</v>
      </c>
      <c r="O528" s="647">
        <f t="shared" si="222"/>
        <v>250500</v>
      </c>
    </row>
    <row r="529" spans="1:15" ht="17.25" thickTop="1" thickBot="1" x14ac:dyDescent="0.3">
      <c r="A529" s="638"/>
      <c r="B529" s="647" t="s">
        <v>387</v>
      </c>
      <c r="C529" s="647">
        <f>+C519+C521+C522+C523+C524+C525+C526+C527</f>
        <v>27422</v>
      </c>
      <c r="D529" s="647">
        <f t="shared" ref="D529:O529" si="223">+D519+D521+D522+D523+D524+D525+D526+D527</f>
        <v>0</v>
      </c>
      <c r="E529" s="647">
        <f t="shared" si="223"/>
        <v>0</v>
      </c>
      <c r="F529" s="647">
        <f t="shared" si="223"/>
        <v>36508</v>
      </c>
      <c r="G529" s="647">
        <f t="shared" si="223"/>
        <v>0</v>
      </c>
      <c r="H529" s="647">
        <f t="shared" si="223"/>
        <v>0</v>
      </c>
      <c r="I529" s="647">
        <f t="shared" si="223"/>
        <v>0</v>
      </c>
      <c r="J529" s="647">
        <f t="shared" si="223"/>
        <v>63930</v>
      </c>
      <c r="K529" s="647">
        <f t="shared" si="223"/>
        <v>0</v>
      </c>
      <c r="L529" s="647">
        <f t="shared" si="223"/>
        <v>63930</v>
      </c>
      <c r="M529" s="647">
        <f t="shared" si="223"/>
        <v>122017</v>
      </c>
      <c r="N529" s="647">
        <f t="shared" si="223"/>
        <v>64553</v>
      </c>
      <c r="O529" s="647">
        <f t="shared" si="223"/>
        <v>250500</v>
      </c>
    </row>
    <row r="530" spans="1:15" ht="32.25" thickTop="1" x14ac:dyDescent="0.25">
      <c r="A530" s="642" t="s">
        <v>581</v>
      </c>
      <c r="B530" s="674" t="s">
        <v>825</v>
      </c>
      <c r="C530" s="674"/>
      <c r="D530" s="674"/>
      <c r="E530" s="674"/>
      <c r="F530" s="674"/>
      <c r="G530" s="674"/>
      <c r="H530" s="674"/>
      <c r="I530" s="674"/>
      <c r="J530" s="674"/>
      <c r="K530" s="674"/>
      <c r="L530" s="674"/>
      <c r="M530" s="674"/>
      <c r="N530" s="674"/>
      <c r="O530" s="674"/>
    </row>
    <row r="531" spans="1:15" x14ac:dyDescent="0.25">
      <c r="A531" s="642"/>
      <c r="B531" s="671" t="s">
        <v>349</v>
      </c>
      <c r="C531" s="671"/>
      <c r="D531" s="671"/>
      <c r="E531" s="671"/>
      <c r="F531" s="671">
        <f>SUM(F532:F533)</f>
        <v>20931</v>
      </c>
      <c r="G531" s="671"/>
      <c r="H531" s="671"/>
      <c r="I531" s="671"/>
      <c r="J531" s="671">
        <f t="shared" ref="J531:J543" si="224">SUM(C531+E531+F531+H531)</f>
        <v>20931</v>
      </c>
      <c r="K531" s="671">
        <f t="shared" ref="K531:K543" si="225">SUM(D531+G531+I531)</f>
        <v>0</v>
      </c>
      <c r="L531" s="671">
        <f t="shared" ref="L531:L543" si="226">SUM(J531:K531)</f>
        <v>20931</v>
      </c>
      <c r="M531" s="671">
        <f>SUM(M532:M533)</f>
        <v>164176</v>
      </c>
      <c r="N531" s="671"/>
      <c r="O531" s="671">
        <f t="shared" ref="O531:O543" si="227">SUM(L531:N531)</f>
        <v>185107</v>
      </c>
    </row>
    <row r="532" spans="1:15" s="672" customFormat="1" x14ac:dyDescent="0.25">
      <c r="A532" s="643"/>
      <c r="B532" s="644" t="s">
        <v>383</v>
      </c>
      <c r="C532" s="644"/>
      <c r="D532" s="644"/>
      <c r="E532" s="644"/>
      <c r="F532" s="644">
        <v>20931</v>
      </c>
      <c r="G532" s="644"/>
      <c r="H532" s="644"/>
      <c r="I532" s="644"/>
      <c r="J532" s="645">
        <f t="shared" si="224"/>
        <v>20931</v>
      </c>
      <c r="K532" s="645">
        <f t="shared" si="225"/>
        <v>0</v>
      </c>
      <c r="L532" s="645">
        <f t="shared" si="226"/>
        <v>20931</v>
      </c>
      <c r="M532" s="645">
        <v>164176</v>
      </c>
      <c r="N532" s="645"/>
      <c r="O532" s="645">
        <f t="shared" si="227"/>
        <v>185107</v>
      </c>
    </row>
    <row r="533" spans="1:15" s="672" customFormat="1" x14ac:dyDescent="0.25">
      <c r="A533" s="643"/>
      <c r="B533" s="644" t="s">
        <v>382</v>
      </c>
      <c r="C533" s="644"/>
      <c r="D533" s="644"/>
      <c r="E533" s="644"/>
      <c r="F533" s="644"/>
      <c r="G533" s="644"/>
      <c r="H533" s="644"/>
      <c r="I533" s="644"/>
      <c r="J533" s="644">
        <f t="shared" si="224"/>
        <v>0</v>
      </c>
      <c r="K533" s="644">
        <f t="shared" si="225"/>
        <v>0</v>
      </c>
      <c r="L533" s="644">
        <f t="shared" si="226"/>
        <v>0</v>
      </c>
      <c r="M533" s="644"/>
      <c r="N533" s="644"/>
      <c r="O533" s="644">
        <f t="shared" si="227"/>
        <v>0</v>
      </c>
    </row>
    <row r="534" spans="1:15" s="672" customFormat="1" x14ac:dyDescent="0.25">
      <c r="A534" s="643"/>
      <c r="B534" s="644" t="s">
        <v>132</v>
      </c>
      <c r="C534" s="646"/>
      <c r="D534" s="646"/>
      <c r="E534" s="646"/>
      <c r="F534" s="646"/>
      <c r="G534" s="646"/>
      <c r="H534" s="646"/>
      <c r="I534" s="646"/>
      <c r="J534" s="646"/>
      <c r="K534" s="646"/>
      <c r="L534" s="646"/>
      <c r="M534" s="646"/>
      <c r="N534" s="646"/>
      <c r="O534" s="646"/>
    </row>
    <row r="535" spans="1:15" s="672" customFormat="1" ht="32.25" customHeight="1" x14ac:dyDescent="0.25">
      <c r="A535" s="643"/>
      <c r="B535" s="646" t="s">
        <v>1196</v>
      </c>
      <c r="C535" s="646">
        <v>12156</v>
      </c>
      <c r="D535" s="646"/>
      <c r="E535" s="646"/>
      <c r="F535" s="646"/>
      <c r="G535" s="646"/>
      <c r="H535" s="646"/>
      <c r="I535" s="646"/>
      <c r="J535" s="646">
        <f t="shared" si="224"/>
        <v>12156</v>
      </c>
      <c r="K535" s="646">
        <f t="shared" si="225"/>
        <v>0</v>
      </c>
      <c r="L535" s="646">
        <f t="shared" si="226"/>
        <v>12156</v>
      </c>
      <c r="M535" s="646"/>
      <c r="N535" s="646">
        <v>5771</v>
      </c>
      <c r="O535" s="646">
        <f t="shared" si="227"/>
        <v>17927</v>
      </c>
    </row>
    <row r="536" spans="1:15" s="672" customFormat="1" ht="31.5" x14ac:dyDescent="0.25">
      <c r="A536" s="643"/>
      <c r="B536" s="646" t="s">
        <v>1216</v>
      </c>
      <c r="C536" s="646"/>
      <c r="D536" s="646"/>
      <c r="E536" s="646"/>
      <c r="F536" s="646"/>
      <c r="G536" s="646"/>
      <c r="H536" s="646"/>
      <c r="I536" s="646"/>
      <c r="J536" s="646">
        <f t="shared" si="224"/>
        <v>0</v>
      </c>
      <c r="K536" s="646">
        <f t="shared" si="225"/>
        <v>0</v>
      </c>
      <c r="L536" s="646">
        <f t="shared" si="226"/>
        <v>0</v>
      </c>
      <c r="M536" s="646">
        <v>2404</v>
      </c>
      <c r="N536" s="646"/>
      <c r="O536" s="646">
        <f t="shared" si="227"/>
        <v>2404</v>
      </c>
    </row>
    <row r="537" spans="1:15" s="672" customFormat="1" ht="31.5" x14ac:dyDescent="0.25">
      <c r="A537" s="643"/>
      <c r="B537" s="673" t="s">
        <v>1198</v>
      </c>
      <c r="C537" s="646"/>
      <c r="D537" s="646"/>
      <c r="E537" s="646"/>
      <c r="F537" s="646"/>
      <c r="G537" s="646"/>
      <c r="H537" s="646"/>
      <c r="I537" s="646"/>
      <c r="J537" s="646">
        <f t="shared" si="224"/>
        <v>0</v>
      </c>
      <c r="K537" s="646">
        <f t="shared" si="225"/>
        <v>0</v>
      </c>
      <c r="L537" s="646">
        <f t="shared" si="226"/>
        <v>0</v>
      </c>
      <c r="M537" s="646">
        <v>-797</v>
      </c>
      <c r="N537" s="646"/>
      <c r="O537" s="646">
        <f t="shared" si="227"/>
        <v>-797</v>
      </c>
    </row>
    <row r="538" spans="1:15" s="672" customFormat="1" ht="45.75" customHeight="1" x14ac:dyDescent="0.25">
      <c r="A538" s="643"/>
      <c r="B538" s="874" t="s">
        <v>1319</v>
      </c>
      <c r="C538" s="646"/>
      <c r="D538" s="646"/>
      <c r="E538" s="646"/>
      <c r="F538" s="646">
        <v>-3855</v>
      </c>
      <c r="G538" s="646"/>
      <c r="H538" s="646"/>
      <c r="I538" s="646"/>
      <c r="J538" s="646">
        <f t="shared" ref="J538" si="228">SUM(C538+E538+F538+H538)</f>
        <v>-3855</v>
      </c>
      <c r="K538" s="646">
        <f t="shared" si="225"/>
        <v>0</v>
      </c>
      <c r="L538" s="646">
        <f t="shared" si="226"/>
        <v>-3855</v>
      </c>
      <c r="M538" s="646">
        <v>-13198</v>
      </c>
      <c r="N538" s="646"/>
      <c r="O538" s="646">
        <f t="shared" si="227"/>
        <v>-17053</v>
      </c>
    </row>
    <row r="539" spans="1:15" s="672" customFormat="1" x14ac:dyDescent="0.25">
      <c r="A539" s="643"/>
      <c r="B539" s="644" t="s">
        <v>133</v>
      </c>
      <c r="C539" s="646"/>
      <c r="D539" s="646"/>
      <c r="E539" s="646"/>
      <c r="F539" s="646"/>
      <c r="G539" s="646"/>
      <c r="H539" s="646"/>
      <c r="I539" s="646"/>
      <c r="J539" s="646"/>
      <c r="K539" s="646"/>
      <c r="L539" s="646"/>
      <c r="M539" s="646"/>
      <c r="N539" s="646"/>
      <c r="O539" s="646"/>
    </row>
    <row r="540" spans="1:15" s="672" customFormat="1" ht="63" x14ac:dyDescent="0.25">
      <c r="A540" s="643"/>
      <c r="B540" s="646" t="s">
        <v>1227</v>
      </c>
      <c r="C540" s="646"/>
      <c r="D540" s="646"/>
      <c r="E540" s="646"/>
      <c r="F540" s="646"/>
      <c r="G540" s="646"/>
      <c r="H540" s="646"/>
      <c r="I540" s="646"/>
      <c r="J540" s="646">
        <f t="shared" si="224"/>
        <v>0</v>
      </c>
      <c r="K540" s="646">
        <f t="shared" si="225"/>
        <v>0</v>
      </c>
      <c r="L540" s="646">
        <f t="shared" si="226"/>
        <v>0</v>
      </c>
      <c r="M540" s="646">
        <v>50</v>
      </c>
      <c r="N540" s="646"/>
      <c r="O540" s="646">
        <f t="shared" si="227"/>
        <v>50</v>
      </c>
    </row>
    <row r="541" spans="1:15" ht="63" x14ac:dyDescent="0.25">
      <c r="A541" s="642"/>
      <c r="B541" s="646" t="s">
        <v>1228</v>
      </c>
      <c r="C541" s="671"/>
      <c r="D541" s="671"/>
      <c r="E541" s="671"/>
      <c r="F541" s="671"/>
      <c r="G541" s="671"/>
      <c r="H541" s="671"/>
      <c r="I541" s="671"/>
      <c r="J541" s="671">
        <f t="shared" si="224"/>
        <v>0</v>
      </c>
      <c r="K541" s="671">
        <f t="shared" si="225"/>
        <v>0</v>
      </c>
      <c r="L541" s="671">
        <f t="shared" si="226"/>
        <v>0</v>
      </c>
      <c r="M541" s="671">
        <v>100</v>
      </c>
      <c r="N541" s="671"/>
      <c r="O541" s="671">
        <f t="shared" si="227"/>
        <v>100</v>
      </c>
    </row>
    <row r="542" spans="1:15" x14ac:dyDescent="0.25">
      <c r="A542" s="642"/>
      <c r="B542" s="646" t="s">
        <v>1204</v>
      </c>
      <c r="C542" s="671"/>
      <c r="D542" s="671"/>
      <c r="E542" s="671"/>
      <c r="F542" s="671"/>
      <c r="G542" s="671"/>
      <c r="H542" s="671"/>
      <c r="I542" s="671"/>
      <c r="J542" s="671">
        <f t="shared" si="224"/>
        <v>0</v>
      </c>
      <c r="K542" s="671">
        <f t="shared" si="225"/>
        <v>0</v>
      </c>
      <c r="L542" s="671">
        <f t="shared" si="226"/>
        <v>0</v>
      </c>
      <c r="M542" s="671">
        <v>1650</v>
      </c>
      <c r="N542" s="671"/>
      <c r="O542" s="671">
        <f t="shared" si="227"/>
        <v>1650</v>
      </c>
    </row>
    <row r="543" spans="1:15" ht="32.25" thickBot="1" x14ac:dyDescent="0.3">
      <c r="A543" s="642"/>
      <c r="B543" s="673" t="s">
        <v>1222</v>
      </c>
      <c r="C543" s="671">
        <v>300</v>
      </c>
      <c r="D543" s="671"/>
      <c r="E543" s="671"/>
      <c r="F543" s="671"/>
      <c r="G543" s="671"/>
      <c r="H543" s="671"/>
      <c r="I543" s="671"/>
      <c r="J543" s="671">
        <f t="shared" si="224"/>
        <v>300</v>
      </c>
      <c r="K543" s="671">
        <f t="shared" si="225"/>
        <v>0</v>
      </c>
      <c r="L543" s="671">
        <f t="shared" si="226"/>
        <v>300</v>
      </c>
      <c r="M543" s="671"/>
      <c r="N543" s="671"/>
      <c r="O543" s="671">
        <f t="shared" si="227"/>
        <v>300</v>
      </c>
    </row>
    <row r="544" spans="1:15" ht="17.25" thickTop="1" thickBot="1" x14ac:dyDescent="0.3">
      <c r="A544" s="638"/>
      <c r="B544" s="647" t="s">
        <v>381</v>
      </c>
      <c r="C544" s="647">
        <f>+C531+C535+C536+C540+C541+C542+C543+C537+C538</f>
        <v>12456</v>
      </c>
      <c r="D544" s="647">
        <f t="shared" ref="D544:O544" si="229">+D531+D535+D536+D540+D541+D542+D543+D537+D538</f>
        <v>0</v>
      </c>
      <c r="E544" s="647">
        <f t="shared" si="229"/>
        <v>0</v>
      </c>
      <c r="F544" s="647">
        <f t="shared" si="229"/>
        <v>17076</v>
      </c>
      <c r="G544" s="647">
        <f t="shared" si="229"/>
        <v>0</v>
      </c>
      <c r="H544" s="647">
        <f t="shared" si="229"/>
        <v>0</v>
      </c>
      <c r="I544" s="647">
        <f t="shared" si="229"/>
        <v>0</v>
      </c>
      <c r="J544" s="647">
        <f t="shared" si="229"/>
        <v>29532</v>
      </c>
      <c r="K544" s="647">
        <f t="shared" si="229"/>
        <v>0</v>
      </c>
      <c r="L544" s="647">
        <f t="shared" si="229"/>
        <v>29532</v>
      </c>
      <c r="M544" s="647">
        <f t="shared" si="229"/>
        <v>154385</v>
      </c>
      <c r="N544" s="647">
        <f t="shared" si="229"/>
        <v>5771</v>
      </c>
      <c r="O544" s="647">
        <f t="shared" si="229"/>
        <v>189688</v>
      </c>
    </row>
    <row r="545" spans="1:15" ht="17.25" thickTop="1" thickBot="1" x14ac:dyDescent="0.3">
      <c r="A545" s="638"/>
      <c r="B545" s="647" t="s">
        <v>380</v>
      </c>
      <c r="C545" s="647">
        <f>+C532+C535+C536+C537+C538</f>
        <v>12156</v>
      </c>
      <c r="D545" s="647">
        <f t="shared" ref="D545:O545" si="230">+D532+D535+D536+D537+D538</f>
        <v>0</v>
      </c>
      <c r="E545" s="647">
        <f t="shared" si="230"/>
        <v>0</v>
      </c>
      <c r="F545" s="647">
        <f t="shared" si="230"/>
        <v>17076</v>
      </c>
      <c r="G545" s="647">
        <f t="shared" si="230"/>
        <v>0</v>
      </c>
      <c r="H545" s="647">
        <f t="shared" si="230"/>
        <v>0</v>
      </c>
      <c r="I545" s="647">
        <f t="shared" si="230"/>
        <v>0</v>
      </c>
      <c r="J545" s="647">
        <f t="shared" si="230"/>
        <v>29232</v>
      </c>
      <c r="K545" s="647">
        <f t="shared" si="230"/>
        <v>0</v>
      </c>
      <c r="L545" s="647">
        <f t="shared" si="230"/>
        <v>29232</v>
      </c>
      <c r="M545" s="647">
        <f t="shared" si="230"/>
        <v>152585</v>
      </c>
      <c r="N545" s="647">
        <f t="shared" si="230"/>
        <v>5771</v>
      </c>
      <c r="O545" s="647">
        <f t="shared" si="230"/>
        <v>187588</v>
      </c>
    </row>
    <row r="546" spans="1:15" ht="17.25" thickTop="1" thickBot="1" x14ac:dyDescent="0.3">
      <c r="A546" s="638"/>
      <c r="B546" s="647" t="s">
        <v>379</v>
      </c>
      <c r="C546" s="647">
        <f>+C533+C540+C541+C542+C543</f>
        <v>300</v>
      </c>
      <c r="D546" s="647">
        <f t="shared" ref="D546:O546" si="231">+D533+D540+D541+D542+D543</f>
        <v>0</v>
      </c>
      <c r="E546" s="647">
        <f t="shared" si="231"/>
        <v>0</v>
      </c>
      <c r="F546" s="647">
        <f t="shared" si="231"/>
        <v>0</v>
      </c>
      <c r="G546" s="647">
        <f t="shared" si="231"/>
        <v>0</v>
      </c>
      <c r="H546" s="647">
        <f t="shared" si="231"/>
        <v>0</v>
      </c>
      <c r="I546" s="647">
        <f t="shared" si="231"/>
        <v>0</v>
      </c>
      <c r="J546" s="647">
        <f t="shared" si="231"/>
        <v>300</v>
      </c>
      <c r="K546" s="647">
        <f t="shared" si="231"/>
        <v>0</v>
      </c>
      <c r="L546" s="647">
        <f t="shared" si="231"/>
        <v>300</v>
      </c>
      <c r="M546" s="647">
        <f t="shared" si="231"/>
        <v>1800</v>
      </c>
      <c r="N546" s="647">
        <f t="shared" si="231"/>
        <v>0</v>
      </c>
      <c r="O546" s="647">
        <f t="shared" si="231"/>
        <v>2100</v>
      </c>
    </row>
    <row r="547" spans="1:15" ht="17.25" thickTop="1" thickBot="1" x14ac:dyDescent="0.3">
      <c r="A547" s="638"/>
      <c r="B547" s="647" t="s">
        <v>386</v>
      </c>
      <c r="C547" s="647">
        <f t="shared" ref="C547:O547" si="232">SUM(C437+C457+C474+C500+C515+C528+C544+C487)</f>
        <v>153096</v>
      </c>
      <c r="D547" s="647">
        <f t="shared" si="232"/>
        <v>0</v>
      </c>
      <c r="E547" s="647">
        <f t="shared" si="232"/>
        <v>0</v>
      </c>
      <c r="F547" s="647">
        <f t="shared" si="232"/>
        <v>403306</v>
      </c>
      <c r="G547" s="647">
        <f t="shared" si="232"/>
        <v>0</v>
      </c>
      <c r="H547" s="647">
        <f t="shared" si="232"/>
        <v>50</v>
      </c>
      <c r="I547" s="647">
        <f t="shared" si="232"/>
        <v>0</v>
      </c>
      <c r="J547" s="647">
        <f t="shared" si="232"/>
        <v>556452</v>
      </c>
      <c r="K547" s="647">
        <f t="shared" si="232"/>
        <v>0</v>
      </c>
      <c r="L547" s="647">
        <f t="shared" si="232"/>
        <v>556452</v>
      </c>
      <c r="M547" s="647">
        <f t="shared" si="232"/>
        <v>2696633</v>
      </c>
      <c r="N547" s="647">
        <f t="shared" si="232"/>
        <v>395917</v>
      </c>
      <c r="O547" s="647">
        <f t="shared" si="232"/>
        <v>3649002</v>
      </c>
    </row>
    <row r="548" spans="1:15" ht="17.25" thickTop="1" thickBot="1" x14ac:dyDescent="0.3">
      <c r="A548" s="638"/>
      <c r="B548" s="647" t="s">
        <v>385</v>
      </c>
      <c r="C548" s="647">
        <f t="shared" ref="C548:O548" si="233">SUM(C353+C410+C423+C547)</f>
        <v>1085404</v>
      </c>
      <c r="D548" s="647">
        <f t="shared" si="233"/>
        <v>0</v>
      </c>
      <c r="E548" s="647">
        <f t="shared" si="233"/>
        <v>0</v>
      </c>
      <c r="F548" s="647">
        <f t="shared" si="233"/>
        <v>1381148</v>
      </c>
      <c r="G548" s="647">
        <f t="shared" si="233"/>
        <v>0</v>
      </c>
      <c r="H548" s="647">
        <f t="shared" si="233"/>
        <v>50</v>
      </c>
      <c r="I548" s="647">
        <f t="shared" si="233"/>
        <v>0</v>
      </c>
      <c r="J548" s="647">
        <f t="shared" si="233"/>
        <v>2466602</v>
      </c>
      <c r="K548" s="647">
        <f t="shared" si="233"/>
        <v>0</v>
      </c>
      <c r="L548" s="647">
        <f t="shared" si="233"/>
        <v>2466602</v>
      </c>
      <c r="M548" s="647">
        <f t="shared" si="233"/>
        <v>9032555</v>
      </c>
      <c r="N548" s="647">
        <f t="shared" si="233"/>
        <v>818265</v>
      </c>
      <c r="O548" s="647">
        <f t="shared" si="233"/>
        <v>12317422</v>
      </c>
    </row>
    <row r="549" spans="1:15" ht="16.5" thickTop="1" x14ac:dyDescent="0.25">
      <c r="A549" s="642" t="s">
        <v>582</v>
      </c>
      <c r="B549" s="674" t="s">
        <v>384</v>
      </c>
      <c r="C549" s="674"/>
      <c r="D549" s="674"/>
      <c r="E549" s="674"/>
      <c r="F549" s="674"/>
      <c r="G549" s="674"/>
      <c r="H549" s="674"/>
      <c r="I549" s="674"/>
      <c r="J549" s="674"/>
      <c r="K549" s="674"/>
      <c r="L549" s="674"/>
      <c r="M549" s="674"/>
      <c r="N549" s="674"/>
      <c r="O549" s="674"/>
    </row>
    <row r="550" spans="1:15" x14ac:dyDescent="0.25">
      <c r="A550" s="648"/>
      <c r="B550" s="950" t="s">
        <v>349</v>
      </c>
      <c r="C550" s="950">
        <f>SUM(C551:C553)</f>
        <v>225019</v>
      </c>
      <c r="D550" s="950">
        <f t="shared" ref="D550:G550" si="234">SUM(D551:D553)</f>
        <v>0</v>
      </c>
      <c r="E550" s="950">
        <f t="shared" si="234"/>
        <v>350</v>
      </c>
      <c r="F550" s="950">
        <f t="shared" si="234"/>
        <v>11185</v>
      </c>
      <c r="G550" s="950">
        <f t="shared" si="234"/>
        <v>0</v>
      </c>
      <c r="H550" s="950"/>
      <c r="I550" s="950"/>
      <c r="J550" s="950">
        <f>SUM(C550+E550+F550+H550)</f>
        <v>236554</v>
      </c>
      <c r="K550" s="950">
        <f>SUM(D550+G550+I550)</f>
        <v>0</v>
      </c>
      <c r="L550" s="950">
        <f>SUM(J550:K550)</f>
        <v>236554</v>
      </c>
      <c r="M550" s="950">
        <f>SUM(M551:M553)</f>
        <v>3377798</v>
      </c>
      <c r="N550" s="950"/>
      <c r="O550" s="950">
        <f>SUM(L550:N550)</f>
        <v>3614352</v>
      </c>
    </row>
    <row r="551" spans="1:15" s="672" customFormat="1" x14ac:dyDescent="0.25">
      <c r="A551" s="649"/>
      <c r="B551" s="656" t="s">
        <v>383</v>
      </c>
      <c r="C551" s="656">
        <v>112908</v>
      </c>
      <c r="D551" s="656"/>
      <c r="E551" s="656">
        <v>0</v>
      </c>
      <c r="F551" s="656">
        <v>149</v>
      </c>
      <c r="G551" s="656"/>
      <c r="H551" s="656"/>
      <c r="I551" s="656"/>
      <c r="J551" s="657">
        <f>SUM(C551+E551+F551+H551)</f>
        <v>113057</v>
      </c>
      <c r="K551" s="657">
        <f>SUM(D551+G551+I551)</f>
        <v>0</v>
      </c>
      <c r="L551" s="657">
        <f>SUM(J551:K551)</f>
        <v>113057</v>
      </c>
      <c r="M551" s="657">
        <v>1912753</v>
      </c>
      <c r="N551" s="657"/>
      <c r="O551" s="657">
        <f>SUM(L551:N551)</f>
        <v>2025810</v>
      </c>
    </row>
    <row r="552" spans="1:15" s="672" customFormat="1" x14ac:dyDescent="0.25">
      <c r="A552" s="643"/>
      <c r="B552" s="644" t="s">
        <v>382</v>
      </c>
      <c r="C552" s="644">
        <v>37794</v>
      </c>
      <c r="D552" s="644"/>
      <c r="E552" s="644">
        <v>0</v>
      </c>
      <c r="F552" s="644">
        <v>11036</v>
      </c>
      <c r="G552" s="644"/>
      <c r="H552" s="644"/>
      <c r="I552" s="644"/>
      <c r="J552" s="645">
        <f>SUM(C552+E552+F552+H552)</f>
        <v>48830</v>
      </c>
      <c r="K552" s="645">
        <f>SUM(D552+G552+I552)</f>
        <v>0</v>
      </c>
      <c r="L552" s="645">
        <f>SUM(J552:K552)</f>
        <v>48830</v>
      </c>
      <c r="M552" s="645">
        <v>497728</v>
      </c>
      <c r="N552" s="645"/>
      <c r="O552" s="645">
        <f>SUM(L552:N552)</f>
        <v>546558</v>
      </c>
    </row>
    <row r="553" spans="1:15" s="672" customFormat="1" x14ac:dyDescent="0.25">
      <c r="A553" s="649"/>
      <c r="B553" s="645" t="s">
        <v>449</v>
      </c>
      <c r="C553" s="645">
        <v>74317</v>
      </c>
      <c r="D553" s="645"/>
      <c r="E553" s="645">
        <v>350</v>
      </c>
      <c r="F553" s="645">
        <v>0</v>
      </c>
      <c r="G553" s="645"/>
      <c r="H553" s="645"/>
      <c r="I553" s="645"/>
      <c r="J553" s="645">
        <f>SUM(C553+E553+F553+H553)</f>
        <v>74667</v>
      </c>
      <c r="K553" s="645">
        <f>SUM(D553+G553+I553)</f>
        <v>0</v>
      </c>
      <c r="L553" s="645">
        <f>SUM(J553:K553)</f>
        <v>74667</v>
      </c>
      <c r="M553" s="645">
        <v>967317</v>
      </c>
      <c r="N553" s="645"/>
      <c r="O553" s="645">
        <f>SUM(L553:N553)</f>
        <v>1041984</v>
      </c>
    </row>
    <row r="554" spans="1:15" s="672" customFormat="1" x14ac:dyDescent="0.25">
      <c r="A554" s="649"/>
      <c r="B554" s="645" t="s">
        <v>132</v>
      </c>
      <c r="C554" s="646"/>
      <c r="D554" s="646"/>
      <c r="E554" s="646"/>
      <c r="F554" s="646"/>
      <c r="G554" s="646"/>
      <c r="H554" s="646"/>
      <c r="I554" s="646"/>
      <c r="J554" s="646"/>
      <c r="K554" s="646"/>
      <c r="L554" s="646"/>
      <c r="M554" s="646"/>
      <c r="N554" s="646"/>
      <c r="O554" s="646"/>
    </row>
    <row r="555" spans="1:15" s="672" customFormat="1" ht="31.5" x14ac:dyDescent="0.25">
      <c r="A555" s="649"/>
      <c r="B555" s="646" t="s">
        <v>584</v>
      </c>
      <c r="C555" s="646">
        <v>-30195</v>
      </c>
      <c r="D555" s="646"/>
      <c r="E555" s="646"/>
      <c r="F555" s="646"/>
      <c r="G555" s="646"/>
      <c r="H555" s="646"/>
      <c r="I555" s="646"/>
      <c r="J555" s="646">
        <f t="shared" ref="J555:J562" si="235">SUM(C555+E555+F555+H555)</f>
        <v>-30195</v>
      </c>
      <c r="K555" s="646">
        <f t="shared" ref="K555:K562" si="236">SUM(D555+G555+I555)</f>
        <v>0</v>
      </c>
      <c r="L555" s="646">
        <f t="shared" ref="L555:L562" si="237">SUM(J555:K555)</f>
        <v>-30195</v>
      </c>
      <c r="M555" s="646"/>
      <c r="N555" s="646">
        <v>30195</v>
      </c>
      <c r="O555" s="646">
        <f t="shared" ref="O555:O562" si="238">SUM(L555:N555)</f>
        <v>0</v>
      </c>
    </row>
    <row r="556" spans="1:15" s="672" customFormat="1" ht="34.5" customHeight="1" x14ac:dyDescent="0.25">
      <c r="A556" s="649"/>
      <c r="B556" s="646" t="s">
        <v>1196</v>
      </c>
      <c r="C556" s="646">
        <v>4665</v>
      </c>
      <c r="D556" s="646"/>
      <c r="E556" s="646"/>
      <c r="F556" s="646"/>
      <c r="G556" s="646"/>
      <c r="H556" s="646"/>
      <c r="I556" s="646"/>
      <c r="J556" s="646">
        <f t="shared" si="235"/>
        <v>4665</v>
      </c>
      <c r="K556" s="646">
        <f t="shared" si="236"/>
        <v>0</v>
      </c>
      <c r="L556" s="646">
        <f t="shared" si="237"/>
        <v>4665</v>
      </c>
      <c r="M556" s="646"/>
      <c r="N556" s="646"/>
      <c r="O556" s="646">
        <f t="shared" si="238"/>
        <v>4665</v>
      </c>
    </row>
    <row r="557" spans="1:15" s="672" customFormat="1" ht="31.5" x14ac:dyDescent="0.25">
      <c r="A557" s="649"/>
      <c r="B557" s="646" t="s">
        <v>1197</v>
      </c>
      <c r="C557" s="646"/>
      <c r="D557" s="646"/>
      <c r="E557" s="646"/>
      <c r="F557" s="646"/>
      <c r="G557" s="646"/>
      <c r="H557" s="646"/>
      <c r="I557" s="646"/>
      <c r="J557" s="646">
        <f t="shared" si="235"/>
        <v>0</v>
      </c>
      <c r="K557" s="646">
        <f t="shared" si="236"/>
        <v>0</v>
      </c>
      <c r="L557" s="646">
        <f t="shared" si="237"/>
        <v>0</v>
      </c>
      <c r="M557" s="646">
        <v>638</v>
      </c>
      <c r="N557" s="646"/>
      <c r="O557" s="646">
        <f t="shared" si="238"/>
        <v>638</v>
      </c>
    </row>
    <row r="558" spans="1:15" s="672" customFormat="1" x14ac:dyDescent="0.25">
      <c r="A558" s="649"/>
      <c r="B558" s="646" t="s">
        <v>1229</v>
      </c>
      <c r="C558" s="646"/>
      <c r="D558" s="646"/>
      <c r="E558" s="646"/>
      <c r="F558" s="646"/>
      <c r="G558" s="646"/>
      <c r="H558" s="646"/>
      <c r="I558" s="646"/>
      <c r="J558" s="646">
        <f t="shared" si="235"/>
        <v>0</v>
      </c>
      <c r="K558" s="646">
        <f t="shared" si="236"/>
        <v>0</v>
      </c>
      <c r="L558" s="646">
        <f t="shared" si="237"/>
        <v>0</v>
      </c>
      <c r="M558" s="646">
        <v>-80171</v>
      </c>
      <c r="N558" s="646"/>
      <c r="O558" s="646">
        <f t="shared" si="238"/>
        <v>-80171</v>
      </c>
    </row>
    <row r="559" spans="1:15" s="672" customFormat="1" ht="108.75" customHeight="1" x14ac:dyDescent="0.25">
      <c r="A559" s="649"/>
      <c r="B559" s="646" t="s">
        <v>1203</v>
      </c>
      <c r="C559" s="646"/>
      <c r="D559" s="646"/>
      <c r="E559" s="646"/>
      <c r="F559" s="646"/>
      <c r="G559" s="646"/>
      <c r="H559" s="646"/>
      <c r="I559" s="646"/>
      <c r="J559" s="646">
        <f t="shared" si="235"/>
        <v>0</v>
      </c>
      <c r="K559" s="646">
        <f t="shared" si="236"/>
        <v>0</v>
      </c>
      <c r="L559" s="646">
        <f t="shared" si="237"/>
        <v>0</v>
      </c>
      <c r="M559" s="646">
        <v>-500000</v>
      </c>
      <c r="N559" s="646"/>
      <c r="O559" s="646">
        <f t="shared" si="238"/>
        <v>-500000</v>
      </c>
    </row>
    <row r="560" spans="1:15" s="672" customFormat="1" x14ac:dyDescent="0.25">
      <c r="A560" s="649"/>
      <c r="B560" s="645" t="s">
        <v>133</v>
      </c>
      <c r="C560" s="646"/>
      <c r="D560" s="646"/>
      <c r="E560" s="646"/>
      <c r="F560" s="646"/>
      <c r="G560" s="646"/>
      <c r="H560" s="646"/>
      <c r="I560" s="646"/>
      <c r="J560" s="646"/>
      <c r="K560" s="646"/>
      <c r="L560" s="646"/>
      <c r="M560" s="646"/>
      <c r="N560" s="646"/>
      <c r="O560" s="646"/>
    </row>
    <row r="561" spans="1:15" s="672" customFormat="1" ht="31.5" x14ac:dyDescent="0.25">
      <c r="A561" s="649"/>
      <c r="B561" s="646" t="s">
        <v>1224</v>
      </c>
      <c r="C561" s="646"/>
      <c r="D561" s="646"/>
      <c r="E561" s="646"/>
      <c r="F561" s="646"/>
      <c r="G561" s="646"/>
      <c r="H561" s="646"/>
      <c r="I561" s="646"/>
      <c r="J561" s="646">
        <f t="shared" si="235"/>
        <v>0</v>
      </c>
      <c r="K561" s="646">
        <f t="shared" si="236"/>
        <v>0</v>
      </c>
      <c r="L561" s="646">
        <f t="shared" si="237"/>
        <v>0</v>
      </c>
      <c r="M561" s="646">
        <v>10668</v>
      </c>
      <c r="N561" s="646"/>
      <c r="O561" s="646">
        <f t="shared" si="238"/>
        <v>10668</v>
      </c>
    </row>
    <row r="562" spans="1:15" s="672" customFormat="1" x14ac:dyDescent="0.25">
      <c r="A562" s="649"/>
      <c r="B562" s="646" t="s">
        <v>1229</v>
      </c>
      <c r="C562" s="646"/>
      <c r="D562" s="646"/>
      <c r="E562" s="646"/>
      <c r="F562" s="646"/>
      <c r="G562" s="646"/>
      <c r="H562" s="646"/>
      <c r="I562" s="646"/>
      <c r="J562" s="646">
        <f t="shared" si="235"/>
        <v>0</v>
      </c>
      <c r="K562" s="646">
        <f t="shared" si="236"/>
        <v>0</v>
      </c>
      <c r="L562" s="646">
        <f t="shared" si="237"/>
        <v>0</v>
      </c>
      <c r="M562" s="646">
        <v>-162250</v>
      </c>
      <c r="N562" s="646"/>
      <c r="O562" s="646">
        <f t="shared" si="238"/>
        <v>-162250</v>
      </c>
    </row>
    <row r="563" spans="1:15" s="672" customFormat="1" x14ac:dyDescent="0.25">
      <c r="A563" s="649"/>
      <c r="B563" s="645" t="s">
        <v>335</v>
      </c>
      <c r="C563" s="646"/>
      <c r="D563" s="646"/>
      <c r="E563" s="646"/>
      <c r="F563" s="646"/>
      <c r="G563" s="646"/>
      <c r="H563" s="646"/>
      <c r="I563" s="646"/>
      <c r="J563" s="646"/>
      <c r="K563" s="646"/>
      <c r="L563" s="646"/>
      <c r="M563" s="646"/>
      <c r="N563" s="646"/>
      <c r="O563" s="646"/>
    </row>
    <row r="564" spans="1:15" s="672" customFormat="1" ht="16.5" thickBot="1" x14ac:dyDescent="0.3">
      <c r="A564" s="649"/>
      <c r="B564" s="646" t="s">
        <v>1229</v>
      </c>
      <c r="C564" s="646"/>
      <c r="D564" s="646"/>
      <c r="E564" s="646"/>
      <c r="F564" s="646"/>
      <c r="G564" s="646"/>
      <c r="H564" s="646"/>
      <c r="I564" s="646"/>
      <c r="J564" s="646">
        <f t="shared" ref="J564" si="239">SUM(C564+E564+F564+H564)</f>
        <v>0</v>
      </c>
      <c r="K564" s="646">
        <f t="shared" ref="K564" si="240">SUM(D564+G564+I564)</f>
        <v>0</v>
      </c>
      <c r="L564" s="646">
        <f t="shared" ref="L564" si="241">SUM(J564:K564)</f>
        <v>0</v>
      </c>
      <c r="M564" s="646">
        <v>-57579</v>
      </c>
      <c r="N564" s="646"/>
      <c r="O564" s="646">
        <f t="shared" ref="O564" si="242">SUM(L564:N564)</f>
        <v>-57579</v>
      </c>
    </row>
    <row r="565" spans="1:15" ht="17.25" thickTop="1" thickBot="1" x14ac:dyDescent="0.3">
      <c r="A565" s="638"/>
      <c r="B565" s="647" t="s">
        <v>381</v>
      </c>
      <c r="C565" s="647">
        <f>+C550+C555+C564+C556+C557+C561+C558+C562+C559</f>
        <v>199489</v>
      </c>
      <c r="D565" s="647">
        <f t="shared" ref="D565:O565" si="243">+D550+D555+D564+D556+D557+D561+D558+D562+D559</f>
        <v>0</v>
      </c>
      <c r="E565" s="647">
        <f t="shared" si="243"/>
        <v>350</v>
      </c>
      <c r="F565" s="647">
        <f t="shared" si="243"/>
        <v>11185</v>
      </c>
      <c r="G565" s="647">
        <f t="shared" si="243"/>
        <v>0</v>
      </c>
      <c r="H565" s="647">
        <f t="shared" si="243"/>
        <v>0</v>
      </c>
      <c r="I565" s="647">
        <f t="shared" si="243"/>
        <v>0</v>
      </c>
      <c r="J565" s="647">
        <f t="shared" si="243"/>
        <v>211024</v>
      </c>
      <c r="K565" s="647">
        <f t="shared" si="243"/>
        <v>0</v>
      </c>
      <c r="L565" s="647">
        <f t="shared" si="243"/>
        <v>211024</v>
      </c>
      <c r="M565" s="647">
        <f t="shared" si="243"/>
        <v>2589104</v>
      </c>
      <c r="N565" s="647">
        <f t="shared" si="243"/>
        <v>30195</v>
      </c>
      <c r="O565" s="647">
        <f t="shared" si="243"/>
        <v>2830323</v>
      </c>
    </row>
    <row r="566" spans="1:15" ht="17.25" thickTop="1" thickBot="1" x14ac:dyDescent="0.3">
      <c r="A566" s="638"/>
      <c r="B566" s="647" t="s">
        <v>380</v>
      </c>
      <c r="C566" s="647">
        <f>+C551+C555+C556+C557+C558+C559</f>
        <v>87378</v>
      </c>
      <c r="D566" s="647">
        <f t="shared" ref="D566:O566" si="244">+D551+D555+D556+D557+D558+D559</f>
        <v>0</v>
      </c>
      <c r="E566" s="647">
        <f t="shared" si="244"/>
        <v>0</v>
      </c>
      <c r="F566" s="647">
        <f t="shared" si="244"/>
        <v>149</v>
      </c>
      <c r="G566" s="647">
        <f t="shared" si="244"/>
        <v>0</v>
      </c>
      <c r="H566" s="647">
        <f t="shared" si="244"/>
        <v>0</v>
      </c>
      <c r="I566" s="647">
        <f t="shared" si="244"/>
        <v>0</v>
      </c>
      <c r="J566" s="647">
        <f t="shared" si="244"/>
        <v>87527</v>
      </c>
      <c r="K566" s="647">
        <f t="shared" si="244"/>
        <v>0</v>
      </c>
      <c r="L566" s="647">
        <f t="shared" si="244"/>
        <v>87527</v>
      </c>
      <c r="M566" s="647">
        <f t="shared" si="244"/>
        <v>1333220</v>
      </c>
      <c r="N566" s="647">
        <f t="shared" si="244"/>
        <v>30195</v>
      </c>
      <c r="O566" s="647">
        <f t="shared" si="244"/>
        <v>1450942</v>
      </c>
    </row>
    <row r="567" spans="1:15" ht="17.25" thickTop="1" thickBot="1" x14ac:dyDescent="0.3">
      <c r="A567" s="638"/>
      <c r="B567" s="647" t="s">
        <v>379</v>
      </c>
      <c r="C567" s="647">
        <f>+C552+C561+C562</f>
        <v>37794</v>
      </c>
      <c r="D567" s="647">
        <f t="shared" ref="D567:N567" si="245">+D552+D561+D562</f>
        <v>0</v>
      </c>
      <c r="E567" s="647">
        <f t="shared" si="245"/>
        <v>0</v>
      </c>
      <c r="F567" s="647">
        <f t="shared" si="245"/>
        <v>11036</v>
      </c>
      <c r="G567" s="647">
        <f t="shared" si="245"/>
        <v>0</v>
      </c>
      <c r="H567" s="647">
        <f t="shared" si="245"/>
        <v>0</v>
      </c>
      <c r="I567" s="647">
        <f t="shared" si="245"/>
        <v>0</v>
      </c>
      <c r="J567" s="647">
        <f t="shared" si="245"/>
        <v>48830</v>
      </c>
      <c r="K567" s="647">
        <f t="shared" si="245"/>
        <v>0</v>
      </c>
      <c r="L567" s="647">
        <f t="shared" si="245"/>
        <v>48830</v>
      </c>
      <c r="M567" s="647">
        <f t="shared" si="245"/>
        <v>346146</v>
      </c>
      <c r="N567" s="647">
        <f t="shared" si="245"/>
        <v>0</v>
      </c>
      <c r="O567" s="647">
        <f>+O552+O561+O562</f>
        <v>394976</v>
      </c>
    </row>
    <row r="568" spans="1:15" ht="33" thickTop="1" thickBot="1" x14ac:dyDescent="0.3">
      <c r="A568" s="638"/>
      <c r="B568" s="647" t="s">
        <v>448</v>
      </c>
      <c r="C568" s="647">
        <f>SUM(C553+C564)</f>
        <v>74317</v>
      </c>
      <c r="D568" s="647">
        <f t="shared" ref="D568:O568" si="246">SUM(D553+D564)</f>
        <v>0</v>
      </c>
      <c r="E568" s="647">
        <f t="shared" si="246"/>
        <v>350</v>
      </c>
      <c r="F568" s="647">
        <f t="shared" si="246"/>
        <v>0</v>
      </c>
      <c r="G568" s="647">
        <f t="shared" si="246"/>
        <v>0</v>
      </c>
      <c r="H568" s="647">
        <f t="shared" si="246"/>
        <v>0</v>
      </c>
      <c r="I568" s="647">
        <f t="shared" si="246"/>
        <v>0</v>
      </c>
      <c r="J568" s="647">
        <f t="shared" si="246"/>
        <v>74667</v>
      </c>
      <c r="K568" s="647">
        <f t="shared" si="246"/>
        <v>0</v>
      </c>
      <c r="L568" s="647">
        <f t="shared" si="246"/>
        <v>74667</v>
      </c>
      <c r="M568" s="647">
        <f t="shared" si="246"/>
        <v>909738</v>
      </c>
      <c r="N568" s="647">
        <f t="shared" si="246"/>
        <v>0</v>
      </c>
      <c r="O568" s="647">
        <f t="shared" si="246"/>
        <v>984405</v>
      </c>
    </row>
    <row r="569" spans="1:15" ht="17.25" thickTop="1" thickBot="1" x14ac:dyDescent="0.3">
      <c r="A569" s="638"/>
      <c r="B569" s="647" t="s">
        <v>377</v>
      </c>
      <c r="C569" s="647">
        <f t="shared" ref="C569:O569" si="247">SUM(C548+C565)</f>
        <v>1284893</v>
      </c>
      <c r="D569" s="647">
        <f t="shared" si="247"/>
        <v>0</v>
      </c>
      <c r="E569" s="647">
        <f t="shared" si="247"/>
        <v>350</v>
      </c>
      <c r="F569" s="647">
        <f t="shared" si="247"/>
        <v>1392333</v>
      </c>
      <c r="G569" s="647">
        <f t="shared" si="247"/>
        <v>0</v>
      </c>
      <c r="H569" s="647">
        <f t="shared" si="247"/>
        <v>50</v>
      </c>
      <c r="I569" s="647">
        <f t="shared" si="247"/>
        <v>0</v>
      </c>
      <c r="J569" s="647">
        <f t="shared" si="247"/>
        <v>2677626</v>
      </c>
      <c r="K569" s="647">
        <f t="shared" si="247"/>
        <v>0</v>
      </c>
      <c r="L569" s="647">
        <f t="shared" si="247"/>
        <v>2677626</v>
      </c>
      <c r="M569" s="647">
        <f t="shared" si="247"/>
        <v>11621659</v>
      </c>
      <c r="N569" s="647">
        <f t="shared" si="247"/>
        <v>848460</v>
      </c>
      <c r="O569" s="647">
        <f t="shared" si="247"/>
        <v>15147745</v>
      </c>
    </row>
    <row r="570" spans="1:15" ht="17.25" thickTop="1" thickBot="1" x14ac:dyDescent="0.3">
      <c r="A570" s="659"/>
      <c r="B570" s="647" t="s">
        <v>24</v>
      </c>
      <c r="C570" s="647">
        <f t="shared" ref="C570:O570" si="248">SUM(C6+C24+C42+C60+C78+C95+C111+C129+C147+C165+C182+C199+C216+C233+C248+C266+C284+C301+C319+C336+C355+C375+C394+C412+C427+C440+C461+C490+C503+C518+C531+C550+C478)</f>
        <v>755719</v>
      </c>
      <c r="D570" s="647">
        <f t="shared" si="248"/>
        <v>0</v>
      </c>
      <c r="E570" s="647">
        <f t="shared" si="248"/>
        <v>350</v>
      </c>
      <c r="F570" s="647">
        <f t="shared" si="248"/>
        <v>1489239</v>
      </c>
      <c r="G570" s="647">
        <f t="shared" si="248"/>
        <v>0</v>
      </c>
      <c r="H570" s="647">
        <f t="shared" si="248"/>
        <v>165000</v>
      </c>
      <c r="I570" s="647">
        <f t="shared" si="248"/>
        <v>0</v>
      </c>
      <c r="J570" s="647">
        <f t="shared" si="248"/>
        <v>2410308</v>
      </c>
      <c r="K570" s="647">
        <f t="shared" si="248"/>
        <v>0</v>
      </c>
      <c r="L570" s="647">
        <f t="shared" si="248"/>
        <v>2410308</v>
      </c>
      <c r="M570" s="647">
        <f t="shared" si="248"/>
        <v>13023250</v>
      </c>
      <c r="N570" s="647">
        <f t="shared" si="248"/>
        <v>209429</v>
      </c>
      <c r="O570" s="647">
        <f t="shared" si="248"/>
        <v>15642987</v>
      </c>
    </row>
    <row r="571" spans="1:15" ht="16.5" thickTop="1" x14ac:dyDescent="0.25">
      <c r="A571" s="663"/>
      <c r="B571" s="664" t="s">
        <v>132</v>
      </c>
      <c r="C571" s="664"/>
      <c r="D571" s="664"/>
      <c r="E571" s="664"/>
      <c r="F571" s="664"/>
      <c r="G571" s="664"/>
      <c r="H571" s="664"/>
      <c r="I571" s="664"/>
      <c r="J571" s="664"/>
      <c r="K571" s="664"/>
      <c r="L571" s="664"/>
      <c r="M571" s="664"/>
      <c r="N571" s="664"/>
      <c r="O571" s="664"/>
    </row>
    <row r="572" spans="1:15" s="679" customFormat="1" ht="31.5" x14ac:dyDescent="0.25">
      <c r="A572" s="665"/>
      <c r="B572" s="666" t="s">
        <v>1230</v>
      </c>
      <c r="C572" s="667">
        <f t="shared" ref="C572:O572" si="249">C10+C28+C46+C64+C82+C99+C115+C133+C151+C169+C186+C203+C220+C237+C252+C270+C288+C305+C323+C340+C359+C379+C398+C416+C465+C535+C444</f>
        <v>492701</v>
      </c>
      <c r="D572" s="667">
        <f t="shared" si="249"/>
        <v>0</v>
      </c>
      <c r="E572" s="667">
        <f t="shared" si="249"/>
        <v>0</v>
      </c>
      <c r="F572" s="667">
        <f t="shared" si="249"/>
        <v>0</v>
      </c>
      <c r="G572" s="667">
        <f t="shared" si="249"/>
        <v>0</v>
      </c>
      <c r="H572" s="667">
        <f t="shared" si="249"/>
        <v>0</v>
      </c>
      <c r="I572" s="667">
        <f t="shared" si="249"/>
        <v>0</v>
      </c>
      <c r="J572" s="667">
        <f t="shared" si="249"/>
        <v>492701</v>
      </c>
      <c r="K572" s="667">
        <f t="shared" si="249"/>
        <v>0</v>
      </c>
      <c r="L572" s="667">
        <f t="shared" si="249"/>
        <v>492701</v>
      </c>
      <c r="M572" s="667">
        <f t="shared" si="249"/>
        <v>0</v>
      </c>
      <c r="N572" s="667">
        <f t="shared" si="249"/>
        <v>540911</v>
      </c>
      <c r="O572" s="667">
        <f t="shared" si="249"/>
        <v>1033612</v>
      </c>
    </row>
    <row r="573" spans="1:15" s="679" customFormat="1" ht="31.5" x14ac:dyDescent="0.25">
      <c r="A573" s="665"/>
      <c r="B573" s="666" t="s">
        <v>1231</v>
      </c>
      <c r="C573" s="667">
        <f>C555</f>
        <v>-30195</v>
      </c>
      <c r="D573" s="667">
        <f t="shared" ref="D573:O574" si="250">D555</f>
        <v>0</v>
      </c>
      <c r="E573" s="667">
        <f t="shared" si="250"/>
        <v>0</v>
      </c>
      <c r="F573" s="667">
        <f t="shared" si="250"/>
        <v>0</v>
      </c>
      <c r="G573" s="667">
        <f t="shared" si="250"/>
        <v>0</v>
      </c>
      <c r="H573" s="667">
        <f t="shared" si="250"/>
        <v>0</v>
      </c>
      <c r="I573" s="667">
        <f t="shared" si="250"/>
        <v>0</v>
      </c>
      <c r="J573" s="667">
        <f t="shared" si="250"/>
        <v>-30195</v>
      </c>
      <c r="K573" s="667">
        <f t="shared" si="250"/>
        <v>0</v>
      </c>
      <c r="L573" s="667">
        <f t="shared" si="250"/>
        <v>-30195</v>
      </c>
      <c r="M573" s="667">
        <f t="shared" si="250"/>
        <v>0</v>
      </c>
      <c r="N573" s="667">
        <f t="shared" si="250"/>
        <v>30195</v>
      </c>
      <c r="O573" s="667">
        <f t="shared" si="250"/>
        <v>0</v>
      </c>
    </row>
    <row r="574" spans="1:15" s="679" customFormat="1" ht="31.5" x14ac:dyDescent="0.25">
      <c r="A574" s="665"/>
      <c r="B574" s="666" t="s">
        <v>1232</v>
      </c>
      <c r="C574" s="667">
        <f>C556</f>
        <v>4665</v>
      </c>
      <c r="D574" s="667">
        <f t="shared" si="250"/>
        <v>0</v>
      </c>
      <c r="E574" s="667">
        <f t="shared" si="250"/>
        <v>0</v>
      </c>
      <c r="F574" s="667">
        <f t="shared" si="250"/>
        <v>0</v>
      </c>
      <c r="G574" s="667">
        <f t="shared" si="250"/>
        <v>0</v>
      </c>
      <c r="H574" s="667">
        <f t="shared" si="250"/>
        <v>0</v>
      </c>
      <c r="I574" s="667">
        <f t="shared" si="250"/>
        <v>0</v>
      </c>
      <c r="J574" s="667">
        <f t="shared" si="250"/>
        <v>4665</v>
      </c>
      <c r="K574" s="667">
        <f t="shared" si="250"/>
        <v>0</v>
      </c>
      <c r="L574" s="667">
        <f t="shared" si="250"/>
        <v>4665</v>
      </c>
      <c r="M574" s="667">
        <f t="shared" si="250"/>
        <v>0</v>
      </c>
      <c r="N574" s="667">
        <f t="shared" si="250"/>
        <v>0</v>
      </c>
      <c r="O574" s="667">
        <f t="shared" si="250"/>
        <v>4665</v>
      </c>
    </row>
    <row r="575" spans="1:15" s="679" customFormat="1" ht="31.5" x14ac:dyDescent="0.25">
      <c r="A575" s="665"/>
      <c r="B575" s="666" t="s">
        <v>1197</v>
      </c>
      <c r="C575" s="667">
        <f t="shared" ref="C575:O575" si="251">C11+C29+C47+C65+C83+C100+C116+C134+C152+C170+C187+C204+C221+C253+C271+C324+C341+C360+C380+C399+C417+C445+C466+C557</f>
        <v>0</v>
      </c>
      <c r="D575" s="667">
        <f t="shared" si="251"/>
        <v>0</v>
      </c>
      <c r="E575" s="667">
        <f t="shared" si="251"/>
        <v>0</v>
      </c>
      <c r="F575" s="667">
        <f t="shared" si="251"/>
        <v>0</v>
      </c>
      <c r="G575" s="667">
        <f t="shared" si="251"/>
        <v>0</v>
      </c>
      <c r="H575" s="667">
        <f t="shared" si="251"/>
        <v>0</v>
      </c>
      <c r="I575" s="667">
        <f t="shared" si="251"/>
        <v>0</v>
      </c>
      <c r="J575" s="667">
        <f t="shared" si="251"/>
        <v>0</v>
      </c>
      <c r="K575" s="667">
        <f t="shared" si="251"/>
        <v>0</v>
      </c>
      <c r="L575" s="667">
        <f t="shared" si="251"/>
        <v>0</v>
      </c>
      <c r="M575" s="667">
        <f t="shared" si="251"/>
        <v>3550</v>
      </c>
      <c r="N575" s="667">
        <f t="shared" si="251"/>
        <v>0</v>
      </c>
      <c r="O575" s="667">
        <f t="shared" si="251"/>
        <v>3550</v>
      </c>
    </row>
    <row r="576" spans="1:15" s="679" customFormat="1" ht="31.5" x14ac:dyDescent="0.25">
      <c r="A576" s="665"/>
      <c r="B576" s="666" t="s">
        <v>1205</v>
      </c>
      <c r="C576" s="667">
        <f t="shared" ref="C576:O576" si="252">C30+C48+C66+C84+C101+C117+C135+C361+C381+C400</f>
        <v>0</v>
      </c>
      <c r="D576" s="667">
        <f t="shared" si="252"/>
        <v>0</v>
      </c>
      <c r="E576" s="667">
        <f t="shared" si="252"/>
        <v>0</v>
      </c>
      <c r="F576" s="667">
        <f t="shared" si="252"/>
        <v>0</v>
      </c>
      <c r="G576" s="667">
        <f t="shared" si="252"/>
        <v>0</v>
      </c>
      <c r="H576" s="667">
        <f t="shared" si="252"/>
        <v>0</v>
      </c>
      <c r="I576" s="667">
        <f t="shared" si="252"/>
        <v>0</v>
      </c>
      <c r="J576" s="667">
        <f t="shared" si="252"/>
        <v>0</v>
      </c>
      <c r="K576" s="667">
        <f t="shared" si="252"/>
        <v>0</v>
      </c>
      <c r="L576" s="667">
        <f t="shared" si="252"/>
        <v>0</v>
      </c>
      <c r="M576" s="667">
        <f t="shared" si="252"/>
        <v>80076</v>
      </c>
      <c r="N576" s="667">
        <f t="shared" si="252"/>
        <v>0</v>
      </c>
      <c r="O576" s="667">
        <f t="shared" si="252"/>
        <v>80076</v>
      </c>
    </row>
    <row r="577" spans="1:15" s="679" customFormat="1" ht="31.5" x14ac:dyDescent="0.25">
      <c r="A577" s="665"/>
      <c r="B577" s="666" t="s">
        <v>1213</v>
      </c>
      <c r="C577" s="667">
        <f t="shared" ref="C577:O577" si="253">C362</f>
        <v>0</v>
      </c>
      <c r="D577" s="667">
        <f t="shared" si="253"/>
        <v>0</v>
      </c>
      <c r="E577" s="667">
        <f t="shared" si="253"/>
        <v>0</v>
      </c>
      <c r="F577" s="667">
        <f t="shared" si="253"/>
        <v>0</v>
      </c>
      <c r="G577" s="667">
        <f t="shared" si="253"/>
        <v>0</v>
      </c>
      <c r="H577" s="667">
        <f t="shared" si="253"/>
        <v>0</v>
      </c>
      <c r="I577" s="667">
        <f t="shared" si="253"/>
        <v>0</v>
      </c>
      <c r="J577" s="667">
        <f t="shared" si="253"/>
        <v>0</v>
      </c>
      <c r="K577" s="667">
        <f t="shared" si="253"/>
        <v>0</v>
      </c>
      <c r="L577" s="667">
        <f t="shared" si="253"/>
        <v>0</v>
      </c>
      <c r="M577" s="667">
        <f t="shared" si="253"/>
        <v>3542</v>
      </c>
      <c r="N577" s="667">
        <f t="shared" si="253"/>
        <v>0</v>
      </c>
      <c r="O577" s="667">
        <f t="shared" si="253"/>
        <v>3542</v>
      </c>
    </row>
    <row r="578" spans="1:15" s="679" customFormat="1" ht="31.5" x14ac:dyDescent="0.25">
      <c r="A578" s="665"/>
      <c r="B578" s="666" t="s">
        <v>1216</v>
      </c>
      <c r="C578" s="667">
        <f t="shared" ref="C578:O578" si="254">C446+C467+C536</f>
        <v>0</v>
      </c>
      <c r="D578" s="667">
        <f t="shared" si="254"/>
        <v>0</v>
      </c>
      <c r="E578" s="667">
        <f t="shared" si="254"/>
        <v>0</v>
      </c>
      <c r="F578" s="667">
        <f t="shared" si="254"/>
        <v>0</v>
      </c>
      <c r="G578" s="667">
        <f t="shared" si="254"/>
        <v>0</v>
      </c>
      <c r="H578" s="667">
        <f t="shared" si="254"/>
        <v>0</v>
      </c>
      <c r="I578" s="667">
        <f t="shared" si="254"/>
        <v>0</v>
      </c>
      <c r="J578" s="667">
        <f t="shared" si="254"/>
        <v>0</v>
      </c>
      <c r="K578" s="667">
        <f t="shared" si="254"/>
        <v>0</v>
      </c>
      <c r="L578" s="667">
        <f t="shared" si="254"/>
        <v>0</v>
      </c>
      <c r="M578" s="667">
        <f t="shared" si="254"/>
        <v>19094</v>
      </c>
      <c r="N578" s="667">
        <f t="shared" si="254"/>
        <v>0</v>
      </c>
      <c r="O578" s="667">
        <f t="shared" si="254"/>
        <v>19094</v>
      </c>
    </row>
    <row r="579" spans="1:15" s="679" customFormat="1" ht="31.5" x14ac:dyDescent="0.25">
      <c r="A579" s="665"/>
      <c r="B579" s="666" t="s">
        <v>1198</v>
      </c>
      <c r="C579" s="667">
        <f t="shared" ref="C579:O579" si="255">C12+C31+C49+C67+C85+C102+C118+C136+C153+C171+C188+C205+C222+C238+C254+C272+C289+C306+C325+C342+C363+C382+C401+C418+C447+C468+C537</f>
        <v>0</v>
      </c>
      <c r="D579" s="667">
        <f t="shared" si="255"/>
        <v>0</v>
      </c>
      <c r="E579" s="667">
        <f t="shared" si="255"/>
        <v>0</v>
      </c>
      <c r="F579" s="667">
        <f t="shared" si="255"/>
        <v>0</v>
      </c>
      <c r="G579" s="667">
        <f t="shared" si="255"/>
        <v>0</v>
      </c>
      <c r="H579" s="667">
        <f t="shared" si="255"/>
        <v>0</v>
      </c>
      <c r="I579" s="667">
        <f t="shared" si="255"/>
        <v>0</v>
      </c>
      <c r="J579" s="667">
        <f t="shared" si="255"/>
        <v>0</v>
      </c>
      <c r="K579" s="667">
        <f t="shared" si="255"/>
        <v>0</v>
      </c>
      <c r="L579" s="667">
        <f t="shared" si="255"/>
        <v>0</v>
      </c>
      <c r="M579" s="667">
        <f t="shared" si="255"/>
        <v>-45150</v>
      </c>
      <c r="N579" s="667">
        <f t="shared" si="255"/>
        <v>0</v>
      </c>
      <c r="O579" s="667">
        <f t="shared" si="255"/>
        <v>-45150</v>
      </c>
    </row>
    <row r="580" spans="1:15" s="679" customFormat="1" x14ac:dyDescent="0.25">
      <c r="A580" s="665"/>
      <c r="B580" s="666" t="s">
        <v>1199</v>
      </c>
      <c r="C580" s="667">
        <f t="shared" ref="C580:O580" si="256">C13+C32+C50+C68+C86+C103+C119+C137+C154+C172+C189+C206+C223+C239+C255+C273+C290+C307+C326+C343+C364+C383+C402+C419+C448</f>
        <v>0</v>
      </c>
      <c r="D580" s="667">
        <f t="shared" si="256"/>
        <v>0</v>
      </c>
      <c r="E580" s="667">
        <f t="shared" si="256"/>
        <v>0</v>
      </c>
      <c r="F580" s="667">
        <f t="shared" si="256"/>
        <v>0</v>
      </c>
      <c r="G580" s="667">
        <f t="shared" si="256"/>
        <v>0</v>
      </c>
      <c r="H580" s="667">
        <f t="shared" si="256"/>
        <v>0</v>
      </c>
      <c r="I580" s="667">
        <f t="shared" si="256"/>
        <v>0</v>
      </c>
      <c r="J580" s="667">
        <f t="shared" si="256"/>
        <v>0</v>
      </c>
      <c r="K580" s="667">
        <f t="shared" si="256"/>
        <v>0</v>
      </c>
      <c r="L580" s="667">
        <f t="shared" si="256"/>
        <v>0</v>
      </c>
      <c r="M580" s="667">
        <f t="shared" si="256"/>
        <v>-30306</v>
      </c>
      <c r="N580" s="667">
        <f t="shared" si="256"/>
        <v>0</v>
      </c>
      <c r="O580" s="667">
        <f t="shared" si="256"/>
        <v>-30306</v>
      </c>
    </row>
    <row r="581" spans="1:15" s="679" customFormat="1" ht="47.25" x14ac:dyDescent="0.25">
      <c r="A581" s="665"/>
      <c r="B581" s="666" t="s">
        <v>1233</v>
      </c>
      <c r="C581" s="667">
        <f t="shared" ref="C581:O581" si="257">C51+C120+C155+C190+C207+C224+C240+C256+C274+C291+C308+C327+C344</f>
        <v>0</v>
      </c>
      <c r="D581" s="667">
        <f t="shared" si="257"/>
        <v>0</v>
      </c>
      <c r="E581" s="667">
        <f t="shared" si="257"/>
        <v>0</v>
      </c>
      <c r="F581" s="667">
        <f t="shared" si="257"/>
        <v>0</v>
      </c>
      <c r="G581" s="667">
        <f t="shared" si="257"/>
        <v>0</v>
      </c>
      <c r="H581" s="667">
        <f t="shared" si="257"/>
        <v>0</v>
      </c>
      <c r="I581" s="667">
        <f t="shared" si="257"/>
        <v>0</v>
      </c>
      <c r="J581" s="667">
        <f t="shared" si="257"/>
        <v>0</v>
      </c>
      <c r="K581" s="667">
        <f t="shared" si="257"/>
        <v>0</v>
      </c>
      <c r="L581" s="667">
        <f t="shared" si="257"/>
        <v>0</v>
      </c>
      <c r="M581" s="667">
        <f t="shared" si="257"/>
        <v>1749</v>
      </c>
      <c r="N581" s="667">
        <f t="shared" si="257"/>
        <v>0</v>
      </c>
      <c r="O581" s="667">
        <f t="shared" si="257"/>
        <v>1749</v>
      </c>
    </row>
    <row r="582" spans="1:15" s="679" customFormat="1" ht="47.25" x14ac:dyDescent="0.25">
      <c r="A582" s="665"/>
      <c r="B582" s="951" t="s">
        <v>1200</v>
      </c>
      <c r="C582" s="952">
        <f t="shared" ref="C582:O582" si="258">C14+C69+C121+C138+C156+C173+C191+C208+C225+C257+C275+C292+C309+C328+C345</f>
        <v>0</v>
      </c>
      <c r="D582" s="952">
        <f t="shared" si="258"/>
        <v>0</v>
      </c>
      <c r="E582" s="952">
        <f t="shared" si="258"/>
        <v>0</v>
      </c>
      <c r="F582" s="952">
        <f t="shared" si="258"/>
        <v>0</v>
      </c>
      <c r="G582" s="952">
        <f t="shared" si="258"/>
        <v>0</v>
      </c>
      <c r="H582" s="952">
        <f t="shared" si="258"/>
        <v>0</v>
      </c>
      <c r="I582" s="952">
        <f t="shared" si="258"/>
        <v>0</v>
      </c>
      <c r="J582" s="952">
        <f t="shared" si="258"/>
        <v>0</v>
      </c>
      <c r="K582" s="952">
        <f t="shared" si="258"/>
        <v>0</v>
      </c>
      <c r="L582" s="952">
        <f t="shared" si="258"/>
        <v>0</v>
      </c>
      <c r="M582" s="952">
        <f t="shared" si="258"/>
        <v>16751</v>
      </c>
      <c r="N582" s="952">
        <f t="shared" si="258"/>
        <v>0</v>
      </c>
      <c r="O582" s="952">
        <f t="shared" si="258"/>
        <v>16751</v>
      </c>
    </row>
    <row r="583" spans="1:15" s="679" customFormat="1" ht="47.25" x14ac:dyDescent="0.25">
      <c r="A583" s="665"/>
      <c r="B583" s="951" t="s">
        <v>1234</v>
      </c>
      <c r="C583" s="952">
        <f t="shared" ref="C583:O583" si="259">C449</f>
        <v>0</v>
      </c>
      <c r="D583" s="952">
        <f t="shared" si="259"/>
        <v>0</v>
      </c>
      <c r="E583" s="952">
        <f t="shared" si="259"/>
        <v>0</v>
      </c>
      <c r="F583" s="952">
        <f t="shared" si="259"/>
        <v>0</v>
      </c>
      <c r="G583" s="952">
        <f t="shared" si="259"/>
        <v>0</v>
      </c>
      <c r="H583" s="952">
        <f t="shared" si="259"/>
        <v>0</v>
      </c>
      <c r="I583" s="952">
        <f t="shared" si="259"/>
        <v>0</v>
      </c>
      <c r="J583" s="952">
        <f t="shared" si="259"/>
        <v>0</v>
      </c>
      <c r="K583" s="952">
        <f t="shared" si="259"/>
        <v>0</v>
      </c>
      <c r="L583" s="952">
        <f t="shared" si="259"/>
        <v>0</v>
      </c>
      <c r="M583" s="952">
        <f t="shared" si="259"/>
        <v>12490</v>
      </c>
      <c r="N583" s="952">
        <f t="shared" si="259"/>
        <v>0</v>
      </c>
      <c r="O583" s="952">
        <f t="shared" si="259"/>
        <v>12490</v>
      </c>
    </row>
    <row r="584" spans="1:15" s="679" customFormat="1" x14ac:dyDescent="0.25">
      <c r="A584" s="665"/>
      <c r="B584" s="666" t="s">
        <v>1201</v>
      </c>
      <c r="C584" s="667">
        <f t="shared" ref="C584:O584" si="260">C15+C33+C52+C70+C87+C104+C122+C139+C157+C174+C192+C209+C226+C241+C258+C276+C293+C310+C329+C346+C365+C384+C403+C420+C450</f>
        <v>0</v>
      </c>
      <c r="D584" s="667">
        <f t="shared" si="260"/>
        <v>0</v>
      </c>
      <c r="E584" s="667">
        <f t="shared" si="260"/>
        <v>0</v>
      </c>
      <c r="F584" s="667">
        <f t="shared" si="260"/>
        <v>0</v>
      </c>
      <c r="G584" s="667">
        <f t="shared" si="260"/>
        <v>0</v>
      </c>
      <c r="H584" s="667">
        <f t="shared" si="260"/>
        <v>0</v>
      </c>
      <c r="I584" s="667">
        <f t="shared" si="260"/>
        <v>0</v>
      </c>
      <c r="J584" s="667">
        <f t="shared" si="260"/>
        <v>0</v>
      </c>
      <c r="K584" s="667">
        <f t="shared" si="260"/>
        <v>0</v>
      </c>
      <c r="L584" s="667">
        <f t="shared" si="260"/>
        <v>0</v>
      </c>
      <c r="M584" s="667">
        <f t="shared" si="260"/>
        <v>-134100</v>
      </c>
      <c r="N584" s="667">
        <f t="shared" si="260"/>
        <v>0</v>
      </c>
      <c r="O584" s="667">
        <f t="shared" si="260"/>
        <v>-134100</v>
      </c>
    </row>
    <row r="585" spans="1:15" s="679" customFormat="1" ht="31.5" x14ac:dyDescent="0.25">
      <c r="A585" s="665"/>
      <c r="B585" s="666" t="s">
        <v>1235</v>
      </c>
      <c r="C585" s="667">
        <f>C558</f>
        <v>0</v>
      </c>
      <c r="D585" s="667">
        <f t="shared" ref="D585:O585" si="261">D558</f>
        <v>0</v>
      </c>
      <c r="E585" s="667">
        <f t="shared" si="261"/>
        <v>0</v>
      </c>
      <c r="F585" s="667">
        <f t="shared" si="261"/>
        <v>0</v>
      </c>
      <c r="G585" s="667">
        <f t="shared" si="261"/>
        <v>0</v>
      </c>
      <c r="H585" s="667">
        <f t="shared" si="261"/>
        <v>0</v>
      </c>
      <c r="I585" s="667">
        <f t="shared" si="261"/>
        <v>0</v>
      </c>
      <c r="J585" s="667">
        <f t="shared" si="261"/>
        <v>0</v>
      </c>
      <c r="K585" s="667">
        <f t="shared" si="261"/>
        <v>0</v>
      </c>
      <c r="L585" s="667">
        <f t="shared" si="261"/>
        <v>0</v>
      </c>
      <c r="M585" s="667">
        <f t="shared" si="261"/>
        <v>-80171</v>
      </c>
      <c r="N585" s="667">
        <f t="shared" si="261"/>
        <v>0</v>
      </c>
      <c r="O585" s="667">
        <f t="shared" si="261"/>
        <v>-80171</v>
      </c>
    </row>
    <row r="586" spans="1:15" s="679" customFormat="1" ht="31.5" x14ac:dyDescent="0.25">
      <c r="A586" s="665"/>
      <c r="B586" s="666" t="s">
        <v>1236</v>
      </c>
      <c r="C586" s="667">
        <f t="shared" ref="C586:O586" si="262">C366</f>
        <v>0</v>
      </c>
      <c r="D586" s="667">
        <f t="shared" si="262"/>
        <v>0</v>
      </c>
      <c r="E586" s="667">
        <f t="shared" si="262"/>
        <v>0</v>
      </c>
      <c r="F586" s="667">
        <f t="shared" si="262"/>
        <v>0</v>
      </c>
      <c r="G586" s="667">
        <f t="shared" si="262"/>
        <v>0</v>
      </c>
      <c r="H586" s="667">
        <f t="shared" si="262"/>
        <v>0</v>
      </c>
      <c r="I586" s="667">
        <f t="shared" si="262"/>
        <v>0</v>
      </c>
      <c r="J586" s="667">
        <f t="shared" si="262"/>
        <v>0</v>
      </c>
      <c r="K586" s="667">
        <f t="shared" si="262"/>
        <v>0</v>
      </c>
      <c r="L586" s="667">
        <f t="shared" si="262"/>
        <v>0</v>
      </c>
      <c r="M586" s="667">
        <f t="shared" si="262"/>
        <v>2789</v>
      </c>
      <c r="N586" s="667">
        <f t="shared" si="262"/>
        <v>0</v>
      </c>
      <c r="O586" s="667">
        <f t="shared" si="262"/>
        <v>2789</v>
      </c>
    </row>
    <row r="587" spans="1:15" s="679" customFormat="1" ht="47.25" x14ac:dyDescent="0.25">
      <c r="A587" s="665"/>
      <c r="B587" s="666" t="s">
        <v>1237</v>
      </c>
      <c r="C587" s="667">
        <f t="shared" ref="C587:O587" si="263">C175+C277+C311</f>
        <v>0</v>
      </c>
      <c r="D587" s="667">
        <f t="shared" si="263"/>
        <v>0</v>
      </c>
      <c r="E587" s="667">
        <f t="shared" si="263"/>
        <v>0</v>
      </c>
      <c r="F587" s="667">
        <f t="shared" si="263"/>
        <v>0</v>
      </c>
      <c r="G587" s="667">
        <f t="shared" si="263"/>
        <v>0</v>
      </c>
      <c r="H587" s="667">
        <f t="shared" si="263"/>
        <v>0</v>
      </c>
      <c r="I587" s="667">
        <f t="shared" si="263"/>
        <v>0</v>
      </c>
      <c r="J587" s="667">
        <f t="shared" si="263"/>
        <v>0</v>
      </c>
      <c r="K587" s="667">
        <f t="shared" si="263"/>
        <v>0</v>
      </c>
      <c r="L587" s="667">
        <f t="shared" si="263"/>
        <v>0</v>
      </c>
      <c r="M587" s="667">
        <f t="shared" si="263"/>
        <v>3000</v>
      </c>
      <c r="N587" s="667">
        <f t="shared" si="263"/>
        <v>0</v>
      </c>
      <c r="O587" s="667">
        <f t="shared" si="263"/>
        <v>3000</v>
      </c>
    </row>
    <row r="588" spans="1:15" s="679" customFormat="1" ht="63" x14ac:dyDescent="0.25">
      <c r="A588" s="665"/>
      <c r="B588" s="666" t="s">
        <v>1320</v>
      </c>
      <c r="C588" s="667">
        <f t="shared" ref="C588:O588" si="264">C470+C538</f>
        <v>0</v>
      </c>
      <c r="D588" s="667">
        <f t="shared" si="264"/>
        <v>0</v>
      </c>
      <c r="E588" s="667">
        <f t="shared" si="264"/>
        <v>0</v>
      </c>
      <c r="F588" s="667">
        <f t="shared" si="264"/>
        <v>-11517</v>
      </c>
      <c r="G588" s="667">
        <f t="shared" si="264"/>
        <v>0</v>
      </c>
      <c r="H588" s="667">
        <f t="shared" si="264"/>
        <v>0</v>
      </c>
      <c r="I588" s="667">
        <f t="shared" si="264"/>
        <v>0</v>
      </c>
      <c r="J588" s="667">
        <f t="shared" si="264"/>
        <v>-11517</v>
      </c>
      <c r="K588" s="667">
        <f t="shared" si="264"/>
        <v>0</v>
      </c>
      <c r="L588" s="667">
        <f t="shared" si="264"/>
        <v>-11517</v>
      </c>
      <c r="M588" s="667">
        <f t="shared" si="264"/>
        <v>-58346</v>
      </c>
      <c r="N588" s="667">
        <f t="shared" si="264"/>
        <v>0</v>
      </c>
      <c r="O588" s="667">
        <f t="shared" si="264"/>
        <v>-69863</v>
      </c>
    </row>
    <row r="589" spans="1:15" s="679" customFormat="1" ht="94.5" x14ac:dyDescent="0.25">
      <c r="A589" s="665"/>
      <c r="B589" s="666" t="s">
        <v>1238</v>
      </c>
      <c r="C589" s="667">
        <f t="shared" ref="C589:O589" si="265">C16+C34+C53+C88+C294+C367+C385+C404</f>
        <v>0</v>
      </c>
      <c r="D589" s="667">
        <f t="shared" si="265"/>
        <v>0</v>
      </c>
      <c r="E589" s="667">
        <f t="shared" si="265"/>
        <v>0</v>
      </c>
      <c r="F589" s="667">
        <f t="shared" si="265"/>
        <v>0</v>
      </c>
      <c r="G589" s="667">
        <f t="shared" si="265"/>
        <v>0</v>
      </c>
      <c r="H589" s="667">
        <f t="shared" si="265"/>
        <v>0</v>
      </c>
      <c r="I589" s="667">
        <f t="shared" si="265"/>
        <v>0</v>
      </c>
      <c r="J589" s="667">
        <f t="shared" si="265"/>
        <v>0</v>
      </c>
      <c r="K589" s="667">
        <f t="shared" si="265"/>
        <v>0</v>
      </c>
      <c r="L589" s="667">
        <f t="shared" si="265"/>
        <v>0</v>
      </c>
      <c r="M589" s="667">
        <f t="shared" si="265"/>
        <v>18587</v>
      </c>
      <c r="N589" s="667">
        <f t="shared" si="265"/>
        <v>0</v>
      </c>
      <c r="O589" s="667">
        <f t="shared" si="265"/>
        <v>18587</v>
      </c>
    </row>
    <row r="590" spans="1:15" s="679" customFormat="1" ht="47.25" x14ac:dyDescent="0.25">
      <c r="A590" s="665"/>
      <c r="B590" s="666" t="s">
        <v>1239</v>
      </c>
      <c r="C590" s="667">
        <f t="shared" ref="C590:O590" si="266">C71+C259+C312</f>
        <v>0</v>
      </c>
      <c r="D590" s="667">
        <f t="shared" si="266"/>
        <v>0</v>
      </c>
      <c r="E590" s="667">
        <f t="shared" si="266"/>
        <v>0</v>
      </c>
      <c r="F590" s="667">
        <f t="shared" si="266"/>
        <v>0</v>
      </c>
      <c r="G590" s="667">
        <f t="shared" si="266"/>
        <v>0</v>
      </c>
      <c r="H590" s="667">
        <f t="shared" si="266"/>
        <v>0</v>
      </c>
      <c r="I590" s="667">
        <f t="shared" si="266"/>
        <v>0</v>
      </c>
      <c r="J590" s="667">
        <f t="shared" si="266"/>
        <v>0</v>
      </c>
      <c r="K590" s="667">
        <f t="shared" si="266"/>
        <v>0</v>
      </c>
      <c r="L590" s="667">
        <f t="shared" si="266"/>
        <v>0</v>
      </c>
      <c r="M590" s="667">
        <f t="shared" si="266"/>
        <v>1128</v>
      </c>
      <c r="N590" s="667">
        <f t="shared" si="266"/>
        <v>0</v>
      </c>
      <c r="O590" s="667">
        <f t="shared" si="266"/>
        <v>1128</v>
      </c>
    </row>
    <row r="591" spans="1:15" s="679" customFormat="1" ht="128.25" customHeight="1" x14ac:dyDescent="0.25">
      <c r="A591" s="665"/>
      <c r="B591" s="666" t="s">
        <v>1240</v>
      </c>
      <c r="C591" s="667">
        <f t="shared" ref="C591:O591" si="267">C17+C386+C368+C559</f>
        <v>0</v>
      </c>
      <c r="D591" s="667">
        <f t="shared" si="267"/>
        <v>0</v>
      </c>
      <c r="E591" s="667">
        <f t="shared" si="267"/>
        <v>0</v>
      </c>
      <c r="F591" s="667">
        <f t="shared" si="267"/>
        <v>0</v>
      </c>
      <c r="G591" s="667">
        <f t="shared" si="267"/>
        <v>0</v>
      </c>
      <c r="H591" s="667">
        <f t="shared" si="267"/>
        <v>0</v>
      </c>
      <c r="I591" s="667">
        <f t="shared" si="267"/>
        <v>0</v>
      </c>
      <c r="J591" s="667">
        <f t="shared" si="267"/>
        <v>0</v>
      </c>
      <c r="K591" s="667">
        <f t="shared" si="267"/>
        <v>0</v>
      </c>
      <c r="L591" s="667">
        <f t="shared" si="267"/>
        <v>0</v>
      </c>
      <c r="M591" s="667">
        <f t="shared" si="267"/>
        <v>-1220000</v>
      </c>
      <c r="N591" s="667">
        <f t="shared" si="267"/>
        <v>0</v>
      </c>
      <c r="O591" s="667">
        <f t="shared" si="267"/>
        <v>-1220000</v>
      </c>
    </row>
    <row r="592" spans="1:15" s="679" customFormat="1" ht="31.5" x14ac:dyDescent="0.25">
      <c r="A592" s="665"/>
      <c r="B592" s="666" t="s">
        <v>1241</v>
      </c>
      <c r="C592" s="667">
        <f t="shared" ref="C592:O592" si="268">C451</f>
        <v>0</v>
      </c>
      <c r="D592" s="667">
        <f t="shared" si="268"/>
        <v>0</v>
      </c>
      <c r="E592" s="667">
        <f t="shared" si="268"/>
        <v>0</v>
      </c>
      <c r="F592" s="667">
        <f t="shared" si="268"/>
        <v>0</v>
      </c>
      <c r="G592" s="667">
        <f t="shared" si="268"/>
        <v>0</v>
      </c>
      <c r="H592" s="667">
        <f t="shared" si="268"/>
        <v>0</v>
      </c>
      <c r="I592" s="667">
        <f t="shared" si="268"/>
        <v>0</v>
      </c>
      <c r="J592" s="667">
        <f t="shared" si="268"/>
        <v>0</v>
      </c>
      <c r="K592" s="667">
        <f t="shared" si="268"/>
        <v>0</v>
      </c>
      <c r="L592" s="667">
        <f t="shared" si="268"/>
        <v>0</v>
      </c>
      <c r="M592" s="667">
        <f t="shared" si="268"/>
        <v>2100</v>
      </c>
      <c r="N592" s="667">
        <f t="shared" si="268"/>
        <v>0</v>
      </c>
      <c r="O592" s="667">
        <f t="shared" si="268"/>
        <v>2100</v>
      </c>
    </row>
    <row r="593" spans="1:15" s="679" customFormat="1" ht="47.25" x14ac:dyDescent="0.25">
      <c r="A593" s="665"/>
      <c r="B593" s="666" t="s">
        <v>1242</v>
      </c>
      <c r="C593" s="667">
        <f>C387</f>
        <v>0</v>
      </c>
      <c r="D593" s="667">
        <f t="shared" ref="D593:O593" si="269">D387</f>
        <v>0</v>
      </c>
      <c r="E593" s="667">
        <f t="shared" si="269"/>
        <v>0</v>
      </c>
      <c r="F593" s="667">
        <f t="shared" si="269"/>
        <v>0</v>
      </c>
      <c r="G593" s="667">
        <f t="shared" si="269"/>
        <v>0</v>
      </c>
      <c r="H593" s="667">
        <f t="shared" si="269"/>
        <v>0</v>
      </c>
      <c r="I593" s="667">
        <f t="shared" si="269"/>
        <v>0</v>
      </c>
      <c r="J593" s="667">
        <f t="shared" si="269"/>
        <v>0</v>
      </c>
      <c r="K593" s="667">
        <f t="shared" si="269"/>
        <v>0</v>
      </c>
      <c r="L593" s="667">
        <f t="shared" si="269"/>
        <v>0</v>
      </c>
      <c r="M593" s="667">
        <f t="shared" si="269"/>
        <v>6400</v>
      </c>
      <c r="N593" s="667">
        <f t="shared" si="269"/>
        <v>0</v>
      </c>
      <c r="O593" s="667">
        <f t="shared" si="269"/>
        <v>6400</v>
      </c>
    </row>
    <row r="594" spans="1:15" s="679" customFormat="1" x14ac:dyDescent="0.25">
      <c r="A594" s="665"/>
      <c r="B594" s="668" t="s">
        <v>133</v>
      </c>
      <c r="C594" s="668"/>
      <c r="D594" s="668"/>
      <c r="E594" s="668"/>
      <c r="F594" s="668"/>
      <c r="G594" s="668"/>
      <c r="H594" s="668"/>
      <c r="I594" s="668"/>
      <c r="J594" s="668"/>
      <c r="K594" s="668"/>
      <c r="L594" s="668"/>
      <c r="M594" s="668"/>
      <c r="N594" s="668"/>
      <c r="O594" s="668"/>
    </row>
    <row r="595" spans="1:15" s="679" customFormat="1" ht="31.5" x14ac:dyDescent="0.25">
      <c r="A595" s="665"/>
      <c r="B595" s="666" t="s">
        <v>1243</v>
      </c>
      <c r="C595" s="667">
        <f t="shared" ref="C595:O595" si="270">C430+C481+C493+C506+C521</f>
        <v>40088</v>
      </c>
      <c r="D595" s="667">
        <f t="shared" si="270"/>
        <v>0</v>
      </c>
      <c r="E595" s="667">
        <f t="shared" si="270"/>
        <v>0</v>
      </c>
      <c r="F595" s="667">
        <f t="shared" si="270"/>
        <v>0</v>
      </c>
      <c r="G595" s="667">
        <f t="shared" si="270"/>
        <v>0</v>
      </c>
      <c r="H595" s="667">
        <f t="shared" si="270"/>
        <v>0</v>
      </c>
      <c r="I595" s="667">
        <f t="shared" si="270"/>
        <v>0</v>
      </c>
      <c r="J595" s="667">
        <f t="shared" si="270"/>
        <v>40088</v>
      </c>
      <c r="K595" s="667">
        <f t="shared" si="270"/>
        <v>0</v>
      </c>
      <c r="L595" s="667">
        <f t="shared" si="270"/>
        <v>40088</v>
      </c>
      <c r="M595" s="667">
        <f t="shared" si="270"/>
        <v>0</v>
      </c>
      <c r="N595" s="667">
        <f t="shared" si="270"/>
        <v>67925</v>
      </c>
      <c r="O595" s="667">
        <f t="shared" si="270"/>
        <v>108013</v>
      </c>
    </row>
    <row r="596" spans="1:15" s="679" customFormat="1" ht="31.5" x14ac:dyDescent="0.25">
      <c r="A596" s="665"/>
      <c r="B596" s="666" t="s">
        <v>1197</v>
      </c>
      <c r="C596" s="667">
        <f t="shared" ref="C596:O596" si="271">C507</f>
        <v>0</v>
      </c>
      <c r="D596" s="667">
        <f t="shared" si="271"/>
        <v>0</v>
      </c>
      <c r="E596" s="667">
        <f t="shared" si="271"/>
        <v>0</v>
      </c>
      <c r="F596" s="667">
        <f t="shared" si="271"/>
        <v>0</v>
      </c>
      <c r="G596" s="667">
        <f t="shared" si="271"/>
        <v>0</v>
      </c>
      <c r="H596" s="667">
        <f t="shared" si="271"/>
        <v>0</v>
      </c>
      <c r="I596" s="667">
        <f t="shared" si="271"/>
        <v>0</v>
      </c>
      <c r="J596" s="667">
        <f t="shared" si="271"/>
        <v>0</v>
      </c>
      <c r="K596" s="667">
        <f t="shared" si="271"/>
        <v>0</v>
      </c>
      <c r="L596" s="667">
        <f t="shared" si="271"/>
        <v>0</v>
      </c>
      <c r="M596" s="667">
        <f t="shared" si="271"/>
        <v>130</v>
      </c>
      <c r="N596" s="667">
        <f t="shared" si="271"/>
        <v>0</v>
      </c>
      <c r="O596" s="667">
        <f t="shared" si="271"/>
        <v>130</v>
      </c>
    </row>
    <row r="597" spans="1:15" s="679" customFormat="1" ht="31.5" x14ac:dyDescent="0.25">
      <c r="A597" s="665"/>
      <c r="B597" s="666" t="s">
        <v>1216</v>
      </c>
      <c r="C597" s="667">
        <f t="shared" ref="C597:O597" si="272">C431+C482+C494+C508+C522</f>
        <v>0</v>
      </c>
      <c r="D597" s="667">
        <f t="shared" si="272"/>
        <v>0</v>
      </c>
      <c r="E597" s="667">
        <f t="shared" si="272"/>
        <v>0</v>
      </c>
      <c r="F597" s="667">
        <f t="shared" si="272"/>
        <v>0</v>
      </c>
      <c r="G597" s="667">
        <f t="shared" si="272"/>
        <v>0</v>
      </c>
      <c r="H597" s="667">
        <f t="shared" si="272"/>
        <v>0</v>
      </c>
      <c r="I597" s="667">
        <f t="shared" si="272"/>
        <v>0</v>
      </c>
      <c r="J597" s="667">
        <f t="shared" si="272"/>
        <v>0</v>
      </c>
      <c r="K597" s="667">
        <f t="shared" si="272"/>
        <v>0</v>
      </c>
      <c r="L597" s="667">
        <f t="shared" si="272"/>
        <v>0</v>
      </c>
      <c r="M597" s="667">
        <f t="shared" si="272"/>
        <v>14482</v>
      </c>
      <c r="N597" s="667">
        <f t="shared" si="272"/>
        <v>0</v>
      </c>
      <c r="O597" s="667">
        <f t="shared" si="272"/>
        <v>14482</v>
      </c>
    </row>
    <row r="598" spans="1:15" s="679" customFormat="1" x14ac:dyDescent="0.25">
      <c r="A598" s="665"/>
      <c r="B598" s="666" t="s">
        <v>1244</v>
      </c>
      <c r="C598" s="667">
        <f t="shared" ref="C598:O598" si="273">C159+C453+C454+C540</f>
        <v>0</v>
      </c>
      <c r="D598" s="667">
        <f t="shared" si="273"/>
        <v>0</v>
      </c>
      <c r="E598" s="667">
        <f t="shared" si="273"/>
        <v>0</v>
      </c>
      <c r="F598" s="667">
        <f t="shared" si="273"/>
        <v>0</v>
      </c>
      <c r="G598" s="667">
        <f t="shared" si="273"/>
        <v>0</v>
      </c>
      <c r="H598" s="667">
        <f t="shared" si="273"/>
        <v>0</v>
      </c>
      <c r="I598" s="667">
        <f t="shared" si="273"/>
        <v>0</v>
      </c>
      <c r="J598" s="667">
        <f t="shared" si="273"/>
        <v>0</v>
      </c>
      <c r="K598" s="667">
        <f t="shared" si="273"/>
        <v>0</v>
      </c>
      <c r="L598" s="667">
        <f t="shared" si="273"/>
        <v>0</v>
      </c>
      <c r="M598" s="667">
        <f t="shared" si="273"/>
        <v>350</v>
      </c>
      <c r="N598" s="667">
        <f t="shared" si="273"/>
        <v>0</v>
      </c>
      <c r="O598" s="667">
        <f t="shared" si="273"/>
        <v>350</v>
      </c>
    </row>
    <row r="599" spans="1:15" s="679" customFormat="1" x14ac:dyDescent="0.25">
      <c r="A599" s="665"/>
      <c r="B599" s="666" t="s">
        <v>1245</v>
      </c>
      <c r="C599" s="667">
        <f t="shared" ref="C599:O599" si="274">C432+C541</f>
        <v>0</v>
      </c>
      <c r="D599" s="667">
        <f t="shared" si="274"/>
        <v>0</v>
      </c>
      <c r="E599" s="667">
        <f t="shared" si="274"/>
        <v>0</v>
      </c>
      <c r="F599" s="667">
        <f t="shared" si="274"/>
        <v>0</v>
      </c>
      <c r="G599" s="667">
        <f t="shared" si="274"/>
        <v>0</v>
      </c>
      <c r="H599" s="667">
        <f t="shared" si="274"/>
        <v>0</v>
      </c>
      <c r="I599" s="667">
        <f t="shared" si="274"/>
        <v>0</v>
      </c>
      <c r="J599" s="667">
        <f t="shared" si="274"/>
        <v>0</v>
      </c>
      <c r="K599" s="667">
        <f t="shared" si="274"/>
        <v>0</v>
      </c>
      <c r="L599" s="667">
        <f t="shared" si="274"/>
        <v>0</v>
      </c>
      <c r="M599" s="667">
        <f t="shared" si="274"/>
        <v>250</v>
      </c>
      <c r="N599" s="667">
        <f t="shared" si="274"/>
        <v>0</v>
      </c>
      <c r="O599" s="667">
        <f t="shared" si="274"/>
        <v>250</v>
      </c>
    </row>
    <row r="600" spans="1:15" s="679" customFormat="1" x14ac:dyDescent="0.25">
      <c r="A600" s="665"/>
      <c r="B600" s="666" t="s">
        <v>1204</v>
      </c>
      <c r="C600" s="667">
        <f t="shared" ref="C600:O600" si="275">C19+C36+C55+C73+C90+C106+C124+C141+C160+C177+C194+C211+C228+C243+C261+C279+C296+C314+C331+C348+C370+C389+C406+C422+C433+C455+C472+C483+C495+C509+C523+C542</f>
        <v>0</v>
      </c>
      <c r="D600" s="667">
        <f t="shared" si="275"/>
        <v>0</v>
      </c>
      <c r="E600" s="667">
        <f t="shared" si="275"/>
        <v>0</v>
      </c>
      <c r="F600" s="667">
        <f t="shared" si="275"/>
        <v>0</v>
      </c>
      <c r="G600" s="667">
        <f t="shared" si="275"/>
        <v>0</v>
      </c>
      <c r="H600" s="667">
        <f t="shared" si="275"/>
        <v>0</v>
      </c>
      <c r="I600" s="667">
        <f t="shared" si="275"/>
        <v>0</v>
      </c>
      <c r="J600" s="667">
        <f t="shared" si="275"/>
        <v>0</v>
      </c>
      <c r="K600" s="667">
        <f t="shared" si="275"/>
        <v>0</v>
      </c>
      <c r="L600" s="667">
        <f t="shared" si="275"/>
        <v>0</v>
      </c>
      <c r="M600" s="667">
        <f t="shared" si="275"/>
        <v>76847</v>
      </c>
      <c r="N600" s="667">
        <f t="shared" si="275"/>
        <v>0</v>
      </c>
      <c r="O600" s="667">
        <f t="shared" si="275"/>
        <v>76847</v>
      </c>
    </row>
    <row r="601" spans="1:15" s="679" customFormat="1" ht="31.5" x14ac:dyDescent="0.25">
      <c r="A601" s="665"/>
      <c r="B601" s="666" t="s">
        <v>1198</v>
      </c>
      <c r="C601" s="667">
        <f t="shared" ref="C601:O601" si="276">C434+C484+C496+C510+C524</f>
        <v>0</v>
      </c>
      <c r="D601" s="667">
        <f t="shared" si="276"/>
        <v>0</v>
      </c>
      <c r="E601" s="667">
        <f t="shared" si="276"/>
        <v>0</v>
      </c>
      <c r="F601" s="667">
        <f t="shared" si="276"/>
        <v>0</v>
      </c>
      <c r="G601" s="667">
        <f t="shared" si="276"/>
        <v>0</v>
      </c>
      <c r="H601" s="667">
        <f t="shared" si="276"/>
        <v>0</v>
      </c>
      <c r="I601" s="667">
        <f t="shared" si="276"/>
        <v>0</v>
      </c>
      <c r="J601" s="667">
        <f t="shared" si="276"/>
        <v>0</v>
      </c>
      <c r="K601" s="667">
        <f t="shared" si="276"/>
        <v>0</v>
      </c>
      <c r="L601" s="667">
        <f t="shared" si="276"/>
        <v>0</v>
      </c>
      <c r="M601" s="667">
        <f t="shared" si="276"/>
        <v>-6092</v>
      </c>
      <c r="N601" s="667">
        <f t="shared" si="276"/>
        <v>0</v>
      </c>
      <c r="O601" s="667">
        <f t="shared" si="276"/>
        <v>-6092</v>
      </c>
    </row>
    <row r="602" spans="1:15" s="679" customFormat="1" x14ac:dyDescent="0.25">
      <c r="A602" s="665"/>
      <c r="B602" s="666" t="s">
        <v>1199</v>
      </c>
      <c r="C602" s="667">
        <f t="shared" ref="C602:O602" si="277">C435+C485</f>
        <v>0</v>
      </c>
      <c r="D602" s="667">
        <f t="shared" si="277"/>
        <v>0</v>
      </c>
      <c r="E602" s="667">
        <f t="shared" si="277"/>
        <v>0</v>
      </c>
      <c r="F602" s="667">
        <f t="shared" si="277"/>
        <v>0</v>
      </c>
      <c r="G602" s="667">
        <f t="shared" si="277"/>
        <v>0</v>
      </c>
      <c r="H602" s="667">
        <f t="shared" si="277"/>
        <v>0</v>
      </c>
      <c r="I602" s="667">
        <f t="shared" si="277"/>
        <v>0</v>
      </c>
      <c r="J602" s="667">
        <f t="shared" si="277"/>
        <v>0</v>
      </c>
      <c r="K602" s="667">
        <f t="shared" si="277"/>
        <v>0</v>
      </c>
      <c r="L602" s="667">
        <f t="shared" si="277"/>
        <v>0</v>
      </c>
      <c r="M602" s="667">
        <f t="shared" si="277"/>
        <v>-728</v>
      </c>
      <c r="N602" s="667">
        <f t="shared" si="277"/>
        <v>0</v>
      </c>
      <c r="O602" s="667">
        <f t="shared" si="277"/>
        <v>-728</v>
      </c>
    </row>
    <row r="603" spans="1:15" s="679" customFormat="1" ht="47.25" x14ac:dyDescent="0.25">
      <c r="A603" s="665"/>
      <c r="B603" s="666" t="s">
        <v>1246</v>
      </c>
      <c r="C603" s="667">
        <f t="shared" ref="C603:O603" si="278">C497</f>
        <v>0</v>
      </c>
      <c r="D603" s="667">
        <f t="shared" si="278"/>
        <v>0</v>
      </c>
      <c r="E603" s="667">
        <f t="shared" si="278"/>
        <v>0</v>
      </c>
      <c r="F603" s="667">
        <f t="shared" si="278"/>
        <v>0</v>
      </c>
      <c r="G603" s="667">
        <f t="shared" si="278"/>
        <v>0</v>
      </c>
      <c r="H603" s="667">
        <f t="shared" si="278"/>
        <v>-30000</v>
      </c>
      <c r="I603" s="667">
        <f t="shared" si="278"/>
        <v>0</v>
      </c>
      <c r="J603" s="667">
        <f t="shared" si="278"/>
        <v>-30000</v>
      </c>
      <c r="K603" s="667">
        <f t="shared" si="278"/>
        <v>0</v>
      </c>
      <c r="L603" s="667">
        <f t="shared" si="278"/>
        <v>-30000</v>
      </c>
      <c r="M603" s="667">
        <f t="shared" si="278"/>
        <v>30000</v>
      </c>
      <c r="N603" s="667">
        <f t="shared" si="278"/>
        <v>0</v>
      </c>
      <c r="O603" s="667">
        <f t="shared" si="278"/>
        <v>0</v>
      </c>
    </row>
    <row r="604" spans="1:15" s="679" customFormat="1" ht="47.25" x14ac:dyDescent="0.25">
      <c r="A604" s="665"/>
      <c r="B604" s="666" t="s">
        <v>1247</v>
      </c>
      <c r="C604" s="667">
        <f t="shared" ref="C604:O604" si="279">C525</f>
        <v>0</v>
      </c>
      <c r="D604" s="667">
        <f t="shared" si="279"/>
        <v>0</v>
      </c>
      <c r="E604" s="667">
        <f t="shared" si="279"/>
        <v>0</v>
      </c>
      <c r="F604" s="667">
        <f t="shared" si="279"/>
        <v>23000</v>
      </c>
      <c r="G604" s="667">
        <f t="shared" si="279"/>
        <v>0</v>
      </c>
      <c r="H604" s="667">
        <f t="shared" si="279"/>
        <v>0</v>
      </c>
      <c r="I604" s="667">
        <f t="shared" si="279"/>
        <v>0</v>
      </c>
      <c r="J604" s="667">
        <f t="shared" si="279"/>
        <v>23000</v>
      </c>
      <c r="K604" s="667">
        <f t="shared" si="279"/>
        <v>0</v>
      </c>
      <c r="L604" s="667">
        <f t="shared" si="279"/>
        <v>23000</v>
      </c>
      <c r="M604" s="667">
        <f t="shared" si="279"/>
        <v>-23000</v>
      </c>
      <c r="N604" s="667">
        <f t="shared" si="279"/>
        <v>0</v>
      </c>
      <c r="O604" s="667">
        <f t="shared" si="279"/>
        <v>0</v>
      </c>
    </row>
    <row r="605" spans="1:15" s="679" customFormat="1" ht="31.5" x14ac:dyDescent="0.25">
      <c r="A605" s="663"/>
      <c r="B605" s="951" t="s">
        <v>1248</v>
      </c>
      <c r="C605" s="952">
        <f t="shared" ref="C605:O605" si="280">C513</f>
        <v>0</v>
      </c>
      <c r="D605" s="952">
        <f t="shared" si="280"/>
        <v>0</v>
      </c>
      <c r="E605" s="952">
        <f t="shared" si="280"/>
        <v>0</v>
      </c>
      <c r="F605" s="952">
        <f t="shared" si="280"/>
        <v>0</v>
      </c>
      <c r="G605" s="952">
        <f t="shared" si="280"/>
        <v>0</v>
      </c>
      <c r="H605" s="952">
        <f t="shared" si="280"/>
        <v>-135000</v>
      </c>
      <c r="I605" s="952">
        <f t="shared" si="280"/>
        <v>0</v>
      </c>
      <c r="J605" s="952">
        <f t="shared" si="280"/>
        <v>-135000</v>
      </c>
      <c r="K605" s="952">
        <f t="shared" si="280"/>
        <v>0</v>
      </c>
      <c r="L605" s="952">
        <f t="shared" si="280"/>
        <v>-135000</v>
      </c>
      <c r="M605" s="952">
        <f t="shared" si="280"/>
        <v>135000</v>
      </c>
      <c r="N605" s="952">
        <f t="shared" si="280"/>
        <v>0</v>
      </c>
      <c r="O605" s="952">
        <f t="shared" si="280"/>
        <v>0</v>
      </c>
    </row>
    <row r="606" spans="1:15" s="679" customFormat="1" ht="69" customHeight="1" x14ac:dyDescent="0.25">
      <c r="A606" s="663"/>
      <c r="B606" s="951" t="s">
        <v>1249</v>
      </c>
      <c r="C606" s="952">
        <f t="shared" ref="C606:O606" si="281">C512</f>
        <v>0</v>
      </c>
      <c r="D606" s="952">
        <f t="shared" si="281"/>
        <v>0</v>
      </c>
      <c r="E606" s="952">
        <f t="shared" si="281"/>
        <v>0</v>
      </c>
      <c r="F606" s="952">
        <f t="shared" si="281"/>
        <v>0</v>
      </c>
      <c r="G606" s="952">
        <f t="shared" si="281"/>
        <v>0</v>
      </c>
      <c r="H606" s="952">
        <f t="shared" si="281"/>
        <v>0</v>
      </c>
      <c r="I606" s="952">
        <f t="shared" si="281"/>
        <v>0</v>
      </c>
      <c r="J606" s="952">
        <f t="shared" si="281"/>
        <v>0</v>
      </c>
      <c r="K606" s="952">
        <f t="shared" si="281"/>
        <v>0</v>
      </c>
      <c r="L606" s="952">
        <f t="shared" si="281"/>
        <v>0</v>
      </c>
      <c r="M606" s="952">
        <f t="shared" si="281"/>
        <v>61042</v>
      </c>
      <c r="N606" s="952">
        <f t="shared" si="281"/>
        <v>0</v>
      </c>
      <c r="O606" s="952">
        <f t="shared" si="281"/>
        <v>61042</v>
      </c>
    </row>
    <row r="607" spans="1:15" s="679" customFormat="1" ht="31.5" x14ac:dyDescent="0.25">
      <c r="A607" s="665"/>
      <c r="B607" s="666" t="s">
        <v>1250</v>
      </c>
      <c r="C607" s="667">
        <f>C561</f>
        <v>0</v>
      </c>
      <c r="D607" s="667">
        <f t="shared" ref="D607:O607" si="282">D561</f>
        <v>0</v>
      </c>
      <c r="E607" s="667">
        <f t="shared" si="282"/>
        <v>0</v>
      </c>
      <c r="F607" s="667">
        <f t="shared" si="282"/>
        <v>0</v>
      </c>
      <c r="G607" s="667">
        <f t="shared" si="282"/>
        <v>0</v>
      </c>
      <c r="H607" s="667">
        <f t="shared" si="282"/>
        <v>0</v>
      </c>
      <c r="I607" s="667">
        <f t="shared" si="282"/>
        <v>0</v>
      </c>
      <c r="J607" s="667">
        <f t="shared" si="282"/>
        <v>0</v>
      </c>
      <c r="K607" s="667">
        <f t="shared" si="282"/>
        <v>0</v>
      </c>
      <c r="L607" s="667">
        <f t="shared" si="282"/>
        <v>0</v>
      </c>
      <c r="M607" s="667">
        <f t="shared" si="282"/>
        <v>10668</v>
      </c>
      <c r="N607" s="667">
        <f t="shared" si="282"/>
        <v>0</v>
      </c>
      <c r="O607" s="667">
        <f t="shared" si="282"/>
        <v>10668</v>
      </c>
    </row>
    <row r="608" spans="1:15" s="679" customFormat="1" ht="31.5" x14ac:dyDescent="0.25">
      <c r="A608" s="665"/>
      <c r="B608" s="666" t="s">
        <v>1222</v>
      </c>
      <c r="C608" s="667">
        <f t="shared" ref="C608:O608" si="283">C456+C473+C498+C514+C543</f>
        <v>1915</v>
      </c>
      <c r="D608" s="667">
        <f t="shared" si="283"/>
        <v>0</v>
      </c>
      <c r="E608" s="667">
        <f t="shared" si="283"/>
        <v>0</v>
      </c>
      <c r="F608" s="667">
        <f t="shared" si="283"/>
        <v>0</v>
      </c>
      <c r="G608" s="667">
        <f t="shared" si="283"/>
        <v>0</v>
      </c>
      <c r="H608" s="667">
        <f t="shared" si="283"/>
        <v>50</v>
      </c>
      <c r="I608" s="667">
        <f t="shared" si="283"/>
        <v>0</v>
      </c>
      <c r="J608" s="667">
        <f t="shared" si="283"/>
        <v>1965</v>
      </c>
      <c r="K608" s="667">
        <f t="shared" si="283"/>
        <v>0</v>
      </c>
      <c r="L608" s="667">
        <f t="shared" si="283"/>
        <v>1965</v>
      </c>
      <c r="M608" s="667">
        <f t="shared" si="283"/>
        <v>0</v>
      </c>
      <c r="N608" s="667">
        <f t="shared" si="283"/>
        <v>0</v>
      </c>
      <c r="O608" s="667">
        <f t="shared" si="283"/>
        <v>1965</v>
      </c>
    </row>
    <row r="609" spans="1:15" s="679" customFormat="1" x14ac:dyDescent="0.25">
      <c r="A609" s="665"/>
      <c r="B609" s="666" t="s">
        <v>1201</v>
      </c>
      <c r="C609" s="667">
        <f t="shared" ref="C609:O609" si="284">C436+C486</f>
        <v>0</v>
      </c>
      <c r="D609" s="667">
        <f t="shared" si="284"/>
        <v>0</v>
      </c>
      <c r="E609" s="667">
        <f t="shared" si="284"/>
        <v>0</v>
      </c>
      <c r="F609" s="667">
        <f t="shared" si="284"/>
        <v>0</v>
      </c>
      <c r="G609" s="667">
        <f t="shared" si="284"/>
        <v>0</v>
      </c>
      <c r="H609" s="667">
        <f t="shared" si="284"/>
        <v>0</v>
      </c>
      <c r="I609" s="667">
        <f t="shared" si="284"/>
        <v>0</v>
      </c>
      <c r="J609" s="667">
        <f t="shared" si="284"/>
        <v>0</v>
      </c>
      <c r="K609" s="667">
        <f t="shared" si="284"/>
        <v>0</v>
      </c>
      <c r="L609" s="667">
        <f t="shared" si="284"/>
        <v>0</v>
      </c>
      <c r="M609" s="667">
        <f t="shared" si="284"/>
        <v>-7486</v>
      </c>
      <c r="N609" s="667">
        <f t="shared" si="284"/>
        <v>0</v>
      </c>
      <c r="O609" s="667">
        <f t="shared" si="284"/>
        <v>-7486</v>
      </c>
    </row>
    <row r="610" spans="1:15" s="679" customFormat="1" ht="31.5" x14ac:dyDescent="0.25">
      <c r="A610" s="665"/>
      <c r="B610" s="666" t="s">
        <v>1235</v>
      </c>
      <c r="C610" s="667">
        <f>C562</f>
        <v>0</v>
      </c>
      <c r="D610" s="667">
        <f t="shared" ref="D610:O610" si="285">D562</f>
        <v>0</v>
      </c>
      <c r="E610" s="667">
        <f t="shared" si="285"/>
        <v>0</v>
      </c>
      <c r="F610" s="667">
        <f t="shared" si="285"/>
        <v>0</v>
      </c>
      <c r="G610" s="667">
        <f t="shared" si="285"/>
        <v>0</v>
      </c>
      <c r="H610" s="667">
        <f t="shared" si="285"/>
        <v>0</v>
      </c>
      <c r="I610" s="667">
        <f t="shared" si="285"/>
        <v>0</v>
      </c>
      <c r="J610" s="667">
        <f t="shared" si="285"/>
        <v>0</v>
      </c>
      <c r="K610" s="667">
        <f t="shared" si="285"/>
        <v>0</v>
      </c>
      <c r="L610" s="667">
        <f t="shared" si="285"/>
        <v>0</v>
      </c>
      <c r="M610" s="667">
        <f t="shared" si="285"/>
        <v>-162250</v>
      </c>
      <c r="N610" s="667">
        <f t="shared" si="285"/>
        <v>0</v>
      </c>
      <c r="O610" s="667">
        <f t="shared" si="285"/>
        <v>-162250</v>
      </c>
    </row>
    <row r="611" spans="1:15" s="679" customFormat="1" ht="47.25" x14ac:dyDescent="0.25">
      <c r="A611" s="665"/>
      <c r="B611" s="666" t="s">
        <v>1251</v>
      </c>
      <c r="C611" s="667">
        <f>C499+C526+C511</f>
        <v>0</v>
      </c>
      <c r="D611" s="667">
        <f t="shared" ref="D611:O611" si="286">D499+D526+D511</f>
        <v>0</v>
      </c>
      <c r="E611" s="667">
        <f t="shared" si="286"/>
        <v>0</v>
      </c>
      <c r="F611" s="667">
        <f t="shared" si="286"/>
        <v>-108389</v>
      </c>
      <c r="G611" s="667">
        <f t="shared" si="286"/>
        <v>0</v>
      </c>
      <c r="H611" s="667">
        <f t="shared" si="286"/>
        <v>0</v>
      </c>
      <c r="I611" s="667">
        <f t="shared" si="286"/>
        <v>0</v>
      </c>
      <c r="J611" s="667">
        <f t="shared" si="286"/>
        <v>-108389</v>
      </c>
      <c r="K611" s="667">
        <f t="shared" si="286"/>
        <v>0</v>
      </c>
      <c r="L611" s="667">
        <f t="shared" si="286"/>
        <v>-108389</v>
      </c>
      <c r="M611" s="667">
        <f t="shared" si="286"/>
        <v>-56408</v>
      </c>
      <c r="N611" s="667">
        <f t="shared" si="286"/>
        <v>0</v>
      </c>
      <c r="O611" s="667">
        <f t="shared" si="286"/>
        <v>-164797</v>
      </c>
    </row>
    <row r="612" spans="1:15" s="679" customFormat="1" ht="63" x14ac:dyDescent="0.25">
      <c r="A612" s="665"/>
      <c r="B612" s="666" t="s">
        <v>1299</v>
      </c>
      <c r="C612" s="667">
        <f>C527</f>
        <v>20000</v>
      </c>
      <c r="D612" s="667">
        <f t="shared" ref="D612:O612" si="287">D527</f>
        <v>0</v>
      </c>
      <c r="E612" s="667">
        <f t="shared" si="287"/>
        <v>0</v>
      </c>
      <c r="F612" s="667">
        <f t="shared" si="287"/>
        <v>0</v>
      </c>
      <c r="G612" s="667">
        <f t="shared" si="287"/>
        <v>0</v>
      </c>
      <c r="H612" s="667">
        <f t="shared" si="287"/>
        <v>0</v>
      </c>
      <c r="I612" s="667">
        <f t="shared" si="287"/>
        <v>0</v>
      </c>
      <c r="J612" s="667">
        <f t="shared" si="287"/>
        <v>20000</v>
      </c>
      <c r="K612" s="667">
        <f t="shared" si="287"/>
        <v>0</v>
      </c>
      <c r="L612" s="667">
        <f t="shared" si="287"/>
        <v>20000</v>
      </c>
      <c r="M612" s="667">
        <f t="shared" si="287"/>
        <v>-20000</v>
      </c>
      <c r="N612" s="667">
        <f t="shared" si="287"/>
        <v>0</v>
      </c>
      <c r="O612" s="667">
        <f t="shared" si="287"/>
        <v>0</v>
      </c>
    </row>
    <row r="613" spans="1:15" s="679" customFormat="1" x14ac:dyDescent="0.25">
      <c r="A613" s="665"/>
      <c r="B613" s="668" t="s">
        <v>335</v>
      </c>
      <c r="C613" s="667"/>
      <c r="D613" s="667"/>
      <c r="E613" s="667"/>
      <c r="F613" s="667"/>
      <c r="G613" s="667"/>
      <c r="H613" s="667"/>
      <c r="I613" s="667"/>
      <c r="J613" s="667"/>
      <c r="K613" s="667"/>
      <c r="L613" s="667"/>
      <c r="M613" s="667"/>
      <c r="N613" s="667"/>
      <c r="O613" s="667"/>
    </row>
    <row r="614" spans="1:15" s="679" customFormat="1" ht="31.5" x14ac:dyDescent="0.25">
      <c r="A614" s="665"/>
      <c r="B614" s="666" t="s">
        <v>1235</v>
      </c>
      <c r="C614" s="667">
        <f>C564</f>
        <v>0</v>
      </c>
      <c r="D614" s="667">
        <f t="shared" ref="D614:O614" si="288">D564</f>
        <v>0</v>
      </c>
      <c r="E614" s="667">
        <f t="shared" si="288"/>
        <v>0</v>
      </c>
      <c r="F614" s="667">
        <f t="shared" si="288"/>
        <v>0</v>
      </c>
      <c r="G614" s="667">
        <f t="shared" si="288"/>
        <v>0</v>
      </c>
      <c r="H614" s="667">
        <f t="shared" si="288"/>
        <v>0</v>
      </c>
      <c r="I614" s="667">
        <f t="shared" si="288"/>
        <v>0</v>
      </c>
      <c r="J614" s="667">
        <f t="shared" si="288"/>
        <v>0</v>
      </c>
      <c r="K614" s="667">
        <f t="shared" si="288"/>
        <v>0</v>
      </c>
      <c r="L614" s="667">
        <f t="shared" si="288"/>
        <v>0</v>
      </c>
      <c r="M614" s="667">
        <f t="shared" si="288"/>
        <v>-57579</v>
      </c>
      <c r="N614" s="667">
        <f t="shared" si="288"/>
        <v>0</v>
      </c>
      <c r="O614" s="667">
        <f t="shared" si="288"/>
        <v>-57579</v>
      </c>
    </row>
    <row r="615" spans="1:15" s="679" customFormat="1" ht="16.5" thickBot="1" x14ac:dyDescent="0.3">
      <c r="A615" s="665"/>
      <c r="B615" s="666"/>
      <c r="C615" s="667"/>
      <c r="D615" s="667"/>
      <c r="E615" s="667"/>
      <c r="F615" s="667"/>
      <c r="G615" s="667"/>
      <c r="H615" s="667"/>
      <c r="I615" s="667"/>
      <c r="J615" s="667"/>
      <c r="K615" s="667"/>
      <c r="L615" s="667"/>
      <c r="M615" s="667"/>
      <c r="N615" s="667"/>
      <c r="O615" s="667"/>
    </row>
    <row r="616" spans="1:15" ht="17.25" thickTop="1" thickBot="1" x14ac:dyDescent="0.3">
      <c r="A616" s="638"/>
      <c r="B616" s="647" t="s">
        <v>377</v>
      </c>
      <c r="C616" s="647">
        <f t="shared" ref="C616:N616" si="289">SUM(C570:C615)</f>
        <v>1284893</v>
      </c>
      <c r="D616" s="647">
        <f t="shared" si="289"/>
        <v>0</v>
      </c>
      <c r="E616" s="647">
        <f t="shared" si="289"/>
        <v>350</v>
      </c>
      <c r="F616" s="647">
        <f t="shared" si="289"/>
        <v>1392333</v>
      </c>
      <c r="G616" s="647">
        <f t="shared" si="289"/>
        <v>0</v>
      </c>
      <c r="H616" s="647">
        <f t="shared" si="289"/>
        <v>50</v>
      </c>
      <c r="I616" s="647">
        <f t="shared" si="289"/>
        <v>0</v>
      </c>
      <c r="J616" s="647">
        <f t="shared" si="289"/>
        <v>2677626</v>
      </c>
      <c r="K616" s="647">
        <f t="shared" si="289"/>
        <v>0</v>
      </c>
      <c r="L616" s="647">
        <f t="shared" si="289"/>
        <v>2677626</v>
      </c>
      <c r="M616" s="647">
        <f t="shared" si="289"/>
        <v>11621659</v>
      </c>
      <c r="N616" s="647">
        <f t="shared" si="289"/>
        <v>848460</v>
      </c>
      <c r="O616" s="647">
        <f>SUM(O570:O615)</f>
        <v>15147745</v>
      </c>
    </row>
    <row r="617" spans="1:15" ht="17.25" thickTop="1" thickBot="1" x14ac:dyDescent="0.3">
      <c r="A617" s="638"/>
      <c r="B617" s="647" t="s">
        <v>380</v>
      </c>
      <c r="C617" s="647">
        <f t="shared" ref="C617:O617" si="290">SUM(C21+C38+C57+C75+C92+C108+C126+C143+C162+C179+C196+C213+C230+C245+C263+C281+C298+C316+C333+C350+C372+C391+C408+C424+C458+C475+C545+C566)</f>
        <v>978104</v>
      </c>
      <c r="D617" s="647">
        <f t="shared" si="290"/>
        <v>0</v>
      </c>
      <c r="E617" s="647">
        <f t="shared" si="290"/>
        <v>0</v>
      </c>
      <c r="F617" s="647">
        <f t="shared" si="290"/>
        <v>1080818</v>
      </c>
      <c r="G617" s="647">
        <f t="shared" si="290"/>
        <v>0</v>
      </c>
      <c r="H617" s="647">
        <f t="shared" si="290"/>
        <v>0</v>
      </c>
      <c r="I617" s="647">
        <f t="shared" si="290"/>
        <v>0</v>
      </c>
      <c r="J617" s="647">
        <f t="shared" si="290"/>
        <v>2058922</v>
      </c>
      <c r="K617" s="647">
        <f t="shared" si="290"/>
        <v>0</v>
      </c>
      <c r="L617" s="647">
        <f t="shared" si="290"/>
        <v>2058922</v>
      </c>
      <c r="M617" s="647">
        <f t="shared" si="290"/>
        <v>8685673</v>
      </c>
      <c r="N617" s="647">
        <f t="shared" si="290"/>
        <v>591270</v>
      </c>
      <c r="O617" s="647">
        <f t="shared" si="290"/>
        <v>11335865</v>
      </c>
    </row>
    <row r="618" spans="1:15" ht="17.25" thickTop="1" thickBot="1" x14ac:dyDescent="0.3">
      <c r="A618" s="638"/>
      <c r="B618" s="647" t="s">
        <v>379</v>
      </c>
      <c r="C618" s="647">
        <f t="shared" ref="C618:O618" si="291">SUM(C22+C39+C58+C76+C93+C109+C127+C144+C163+C180+C197+C214+C231+C246+C264+C282+C299+C317+C334+C351+C373+C392+C409+C425+C438+C459+C476+C501+C516+C529+C546+C567+C488)</f>
        <v>232472</v>
      </c>
      <c r="D618" s="647">
        <f t="shared" si="291"/>
        <v>0</v>
      </c>
      <c r="E618" s="647">
        <f t="shared" si="291"/>
        <v>0</v>
      </c>
      <c r="F618" s="647">
        <f t="shared" si="291"/>
        <v>311515</v>
      </c>
      <c r="G618" s="647">
        <f t="shared" si="291"/>
        <v>0</v>
      </c>
      <c r="H618" s="647">
        <f t="shared" si="291"/>
        <v>50</v>
      </c>
      <c r="I618" s="647">
        <f t="shared" si="291"/>
        <v>0</v>
      </c>
      <c r="J618" s="647">
        <f t="shared" si="291"/>
        <v>544037</v>
      </c>
      <c r="K618" s="647">
        <f t="shared" si="291"/>
        <v>0</v>
      </c>
      <c r="L618" s="647">
        <f t="shared" si="291"/>
        <v>544037</v>
      </c>
      <c r="M618" s="647">
        <f t="shared" si="291"/>
        <v>2026248</v>
      </c>
      <c r="N618" s="647">
        <f t="shared" si="291"/>
        <v>257190</v>
      </c>
      <c r="O618" s="647">
        <f t="shared" si="291"/>
        <v>2827475</v>
      </c>
    </row>
    <row r="619" spans="1:15" ht="33" thickTop="1" thickBot="1" x14ac:dyDescent="0.3">
      <c r="A619" s="638"/>
      <c r="B619" s="647" t="s">
        <v>448</v>
      </c>
      <c r="C619" s="647">
        <f t="shared" ref="C619:O619" si="292">SUM(C568)</f>
        <v>74317</v>
      </c>
      <c r="D619" s="647">
        <f t="shared" si="292"/>
        <v>0</v>
      </c>
      <c r="E619" s="647">
        <f t="shared" si="292"/>
        <v>350</v>
      </c>
      <c r="F619" s="647">
        <f t="shared" si="292"/>
        <v>0</v>
      </c>
      <c r="G619" s="647">
        <f t="shared" si="292"/>
        <v>0</v>
      </c>
      <c r="H619" s="647">
        <f t="shared" si="292"/>
        <v>0</v>
      </c>
      <c r="I619" s="647">
        <f t="shared" si="292"/>
        <v>0</v>
      </c>
      <c r="J619" s="647">
        <f t="shared" si="292"/>
        <v>74667</v>
      </c>
      <c r="K619" s="647">
        <f t="shared" si="292"/>
        <v>0</v>
      </c>
      <c r="L619" s="647">
        <f t="shared" si="292"/>
        <v>74667</v>
      </c>
      <c r="M619" s="647">
        <f t="shared" si="292"/>
        <v>909738</v>
      </c>
      <c r="N619" s="647">
        <f t="shared" si="292"/>
        <v>0</v>
      </c>
      <c r="O619" s="647">
        <f t="shared" si="292"/>
        <v>984405</v>
      </c>
    </row>
    <row r="620" spans="1:15" ht="16.5" thickTop="1" x14ac:dyDescent="0.25"/>
    <row r="621" spans="1:15" hidden="1" x14ac:dyDescent="0.25"/>
    <row r="622" spans="1:15" hidden="1" x14ac:dyDescent="0.25">
      <c r="C622" s="669">
        <f>SUM(C616-C570)</f>
        <v>529174</v>
      </c>
      <c r="D622" s="669">
        <f t="shared" ref="D622:O622" si="293">SUM(D616-D570)</f>
        <v>0</v>
      </c>
      <c r="E622" s="669">
        <f t="shared" si="293"/>
        <v>0</v>
      </c>
      <c r="F622" s="669">
        <f t="shared" si="293"/>
        <v>-96906</v>
      </c>
      <c r="G622" s="669">
        <f t="shared" si="293"/>
        <v>0</v>
      </c>
      <c r="H622" s="669">
        <f t="shared" si="293"/>
        <v>-164950</v>
      </c>
      <c r="I622" s="669">
        <f t="shared" si="293"/>
        <v>0</v>
      </c>
      <c r="J622" s="669">
        <f t="shared" si="293"/>
        <v>267318</v>
      </c>
      <c r="K622" s="669">
        <f t="shared" si="293"/>
        <v>0</v>
      </c>
      <c r="L622" s="669">
        <f t="shared" si="293"/>
        <v>267318</v>
      </c>
      <c r="M622" s="669">
        <f t="shared" si="293"/>
        <v>-1401591</v>
      </c>
      <c r="N622" s="669">
        <f t="shared" si="293"/>
        <v>639031</v>
      </c>
      <c r="O622" s="669">
        <f t="shared" si="293"/>
        <v>-495242</v>
      </c>
    </row>
    <row r="623" spans="1:15" hidden="1" x14ac:dyDescent="0.25"/>
    <row r="624" spans="1:15" hidden="1" x14ac:dyDescent="0.25">
      <c r="B624" s="630" t="s">
        <v>684</v>
      </c>
      <c r="C624" s="669">
        <f t="shared" ref="C624:O627" si="294">+C616</f>
        <v>1284893</v>
      </c>
      <c r="D624" s="669">
        <f t="shared" si="294"/>
        <v>0</v>
      </c>
      <c r="E624" s="669">
        <f t="shared" si="294"/>
        <v>350</v>
      </c>
      <c r="F624" s="669">
        <f t="shared" si="294"/>
        <v>1392333</v>
      </c>
      <c r="G624" s="669">
        <f t="shared" si="294"/>
        <v>0</v>
      </c>
      <c r="H624" s="669">
        <f t="shared" si="294"/>
        <v>50</v>
      </c>
      <c r="I624" s="669">
        <f t="shared" si="294"/>
        <v>0</v>
      </c>
      <c r="J624" s="669">
        <f t="shared" si="294"/>
        <v>2677626</v>
      </c>
      <c r="K624" s="669">
        <f t="shared" si="294"/>
        <v>0</v>
      </c>
      <c r="L624" s="669">
        <f t="shared" si="294"/>
        <v>2677626</v>
      </c>
      <c r="M624" s="669">
        <f t="shared" si="294"/>
        <v>11621659</v>
      </c>
      <c r="N624" s="669">
        <f t="shared" si="294"/>
        <v>848460</v>
      </c>
      <c r="O624" s="669">
        <f t="shared" si="294"/>
        <v>15147745</v>
      </c>
    </row>
    <row r="625" spans="2:15" hidden="1" x14ac:dyDescent="0.25">
      <c r="B625" s="630" t="s">
        <v>687</v>
      </c>
      <c r="C625" s="669">
        <f>+C617</f>
        <v>978104</v>
      </c>
      <c r="D625" s="669">
        <f>+D617</f>
        <v>0</v>
      </c>
      <c r="F625" s="669">
        <f>+F617</f>
        <v>1080818</v>
      </c>
      <c r="G625" s="669">
        <f t="shared" si="294"/>
        <v>0</v>
      </c>
      <c r="H625" s="669">
        <f t="shared" si="294"/>
        <v>0</v>
      </c>
      <c r="I625" s="669">
        <f t="shared" si="294"/>
        <v>0</v>
      </c>
      <c r="J625" s="669">
        <f t="shared" si="294"/>
        <v>2058922</v>
      </c>
      <c r="K625" s="669">
        <f t="shared" si="294"/>
        <v>0</v>
      </c>
      <c r="L625" s="669">
        <f t="shared" si="294"/>
        <v>2058922</v>
      </c>
      <c r="M625" s="669">
        <f t="shared" si="294"/>
        <v>8685673</v>
      </c>
      <c r="N625" s="669">
        <f t="shared" si="294"/>
        <v>591270</v>
      </c>
      <c r="O625" s="669">
        <f t="shared" si="294"/>
        <v>11335865</v>
      </c>
    </row>
    <row r="626" spans="2:15" hidden="1" x14ac:dyDescent="0.25">
      <c r="B626" s="630" t="s">
        <v>379</v>
      </c>
      <c r="C626" s="669">
        <f>+C618</f>
        <v>232472</v>
      </c>
      <c r="F626" s="669">
        <f>+F618</f>
        <v>311515</v>
      </c>
      <c r="G626" s="669">
        <f t="shared" si="294"/>
        <v>0</v>
      </c>
      <c r="H626" s="669">
        <f>+H618</f>
        <v>50</v>
      </c>
      <c r="I626" s="669">
        <f>+I618-0</f>
        <v>0</v>
      </c>
      <c r="J626" s="669">
        <f>+J618</f>
        <v>544037</v>
      </c>
      <c r="L626" s="669">
        <f>+L618</f>
        <v>544037</v>
      </c>
      <c r="M626" s="669">
        <f>+M618</f>
        <v>2026248</v>
      </c>
      <c r="N626" s="669">
        <f>+N618</f>
        <v>257190</v>
      </c>
      <c r="O626" s="669">
        <f>+O618</f>
        <v>2827475</v>
      </c>
    </row>
    <row r="627" spans="2:15" hidden="1" x14ac:dyDescent="0.25">
      <c r="B627" s="630" t="s">
        <v>448</v>
      </c>
      <c r="C627" s="669">
        <f>+C619</f>
        <v>74317</v>
      </c>
      <c r="E627" s="669">
        <f>+E619</f>
        <v>350</v>
      </c>
      <c r="F627" s="669">
        <f>+F619</f>
        <v>0</v>
      </c>
      <c r="G627" s="669">
        <f t="shared" si="294"/>
        <v>0</v>
      </c>
      <c r="H627" s="669">
        <f>+H619-0</f>
        <v>0</v>
      </c>
      <c r="J627" s="669">
        <f>+J619</f>
        <v>74667</v>
      </c>
      <c r="L627" s="669">
        <f>+L619</f>
        <v>74667</v>
      </c>
      <c r="M627" s="669">
        <f>+M619</f>
        <v>909738</v>
      </c>
      <c r="O627" s="669">
        <f>+O619</f>
        <v>984405</v>
      </c>
    </row>
    <row r="628" spans="2:15" hidden="1" x14ac:dyDescent="0.25"/>
    <row r="629" spans="2:15" hidden="1" x14ac:dyDescent="0.25">
      <c r="B629" s="630" t="s">
        <v>688</v>
      </c>
    </row>
    <row r="630" spans="2:15" hidden="1" x14ac:dyDescent="0.25">
      <c r="B630" s="630" t="s">
        <v>684</v>
      </c>
      <c r="C630" s="669">
        <f t="shared" ref="C630:O630" si="295">+C622</f>
        <v>529174</v>
      </c>
      <c r="D630" s="669">
        <f t="shared" si="295"/>
        <v>0</v>
      </c>
      <c r="E630" s="669">
        <f t="shared" si="295"/>
        <v>0</v>
      </c>
      <c r="F630" s="669">
        <f t="shared" si="295"/>
        <v>-96906</v>
      </c>
      <c r="G630" s="669">
        <f t="shared" si="295"/>
        <v>0</v>
      </c>
      <c r="H630" s="669">
        <f t="shared" si="295"/>
        <v>-164950</v>
      </c>
      <c r="I630" s="669">
        <f t="shared" si="295"/>
        <v>0</v>
      </c>
      <c r="J630" s="669">
        <f t="shared" si="295"/>
        <v>267318</v>
      </c>
      <c r="K630" s="669">
        <f t="shared" si="295"/>
        <v>0</v>
      </c>
      <c r="L630" s="669">
        <f t="shared" si="295"/>
        <v>267318</v>
      </c>
      <c r="M630" s="669">
        <f t="shared" si="295"/>
        <v>-1401591</v>
      </c>
      <c r="N630" s="669">
        <f t="shared" si="295"/>
        <v>639031</v>
      </c>
      <c r="O630" s="669">
        <f t="shared" si="295"/>
        <v>-495242</v>
      </c>
    </row>
    <row r="631" spans="2:15" hidden="1" x14ac:dyDescent="0.25">
      <c r="B631" s="630" t="s">
        <v>687</v>
      </c>
      <c r="C631" s="669">
        <f>C572+C573+C574+C575+C576+C577+C578+C579+C580+C581+C582+C583+C584+C585+C586+C587+C588+C589+C590+C591+C592+C593</f>
        <v>467171</v>
      </c>
      <c r="D631" s="669">
        <f t="shared" ref="D631:O631" si="296">D572+D573+D574+D575+D576+D577+D578+D579+D580+D581+D582+D583+D584+D585+D586+D587+D588+D589+D590+D591+D592+D593</f>
        <v>0</v>
      </c>
      <c r="E631" s="669">
        <f t="shared" si="296"/>
        <v>0</v>
      </c>
      <c r="F631" s="669">
        <f t="shared" si="296"/>
        <v>-11517</v>
      </c>
      <c r="G631" s="669">
        <f t="shared" si="296"/>
        <v>0</v>
      </c>
      <c r="H631" s="669">
        <f t="shared" si="296"/>
        <v>0</v>
      </c>
      <c r="I631" s="669">
        <f t="shared" si="296"/>
        <v>0</v>
      </c>
      <c r="J631" s="669">
        <f t="shared" si="296"/>
        <v>455654</v>
      </c>
      <c r="K631" s="669">
        <f t="shared" si="296"/>
        <v>0</v>
      </c>
      <c r="L631" s="669">
        <f t="shared" si="296"/>
        <v>455654</v>
      </c>
      <c r="M631" s="669">
        <f t="shared" si="296"/>
        <v>-1396817</v>
      </c>
      <c r="N631" s="669">
        <f t="shared" si="296"/>
        <v>571106</v>
      </c>
      <c r="O631" s="669">
        <f t="shared" si="296"/>
        <v>-370057</v>
      </c>
    </row>
    <row r="632" spans="2:15" hidden="1" x14ac:dyDescent="0.25">
      <c r="B632" s="630" t="s">
        <v>379</v>
      </c>
      <c r="C632" s="669">
        <f>C595+C596+C597+C598+C599+C600+C601+C602+C603+C604+C605+C606+C607+C608+C609+C610+C611+C612</f>
        <v>62003</v>
      </c>
      <c r="D632" s="669">
        <f t="shared" ref="D632:O632" si="297">D595+D596+D597+D598+D599+D600+D601+D602+D603+D604+D605+D606+D607+D608+D609+D610+D611+D612</f>
        <v>0</v>
      </c>
      <c r="E632" s="669">
        <f t="shared" si="297"/>
        <v>0</v>
      </c>
      <c r="F632" s="669">
        <f t="shared" si="297"/>
        <v>-85389</v>
      </c>
      <c r="G632" s="669">
        <f t="shared" si="297"/>
        <v>0</v>
      </c>
      <c r="H632" s="669">
        <f t="shared" si="297"/>
        <v>-164950</v>
      </c>
      <c r="I632" s="669">
        <f t="shared" si="297"/>
        <v>0</v>
      </c>
      <c r="J632" s="669">
        <f t="shared" si="297"/>
        <v>-188336</v>
      </c>
      <c r="K632" s="669">
        <f t="shared" si="297"/>
        <v>0</v>
      </c>
      <c r="L632" s="669">
        <f t="shared" si="297"/>
        <v>-188336</v>
      </c>
      <c r="M632" s="669">
        <f t="shared" si="297"/>
        <v>52805</v>
      </c>
      <c r="N632" s="669">
        <f t="shared" si="297"/>
        <v>67925</v>
      </c>
      <c r="O632" s="669">
        <f t="shared" si="297"/>
        <v>-67606</v>
      </c>
    </row>
    <row r="633" spans="2:15" hidden="1" x14ac:dyDescent="0.25">
      <c r="B633" s="630" t="s">
        <v>448</v>
      </c>
      <c r="C633" s="669">
        <f>C614+C615</f>
        <v>0</v>
      </c>
      <c r="D633" s="669">
        <f t="shared" ref="D633:O633" si="298">D614+D615</f>
        <v>0</v>
      </c>
      <c r="E633" s="669">
        <f t="shared" si="298"/>
        <v>0</v>
      </c>
      <c r="F633" s="669">
        <f t="shared" si="298"/>
        <v>0</v>
      </c>
      <c r="G633" s="669">
        <f t="shared" si="298"/>
        <v>0</v>
      </c>
      <c r="H633" s="669">
        <f t="shared" si="298"/>
        <v>0</v>
      </c>
      <c r="I633" s="669">
        <f t="shared" si="298"/>
        <v>0</v>
      </c>
      <c r="J633" s="669">
        <f t="shared" si="298"/>
        <v>0</v>
      </c>
      <c r="K633" s="669">
        <f t="shared" si="298"/>
        <v>0</v>
      </c>
      <c r="L633" s="669">
        <f t="shared" si="298"/>
        <v>0</v>
      </c>
      <c r="M633" s="669">
        <f t="shared" si="298"/>
        <v>-57579</v>
      </c>
      <c r="N633" s="669">
        <f t="shared" si="298"/>
        <v>0</v>
      </c>
      <c r="O633" s="669">
        <f t="shared" si="298"/>
        <v>-57579</v>
      </c>
    </row>
    <row r="634" spans="2:15" hidden="1" x14ac:dyDescent="0.25"/>
    <row r="635" spans="2:15" hidden="1" x14ac:dyDescent="0.25">
      <c r="B635" s="630" t="s">
        <v>689</v>
      </c>
      <c r="C635" s="669">
        <f>C633+C632+C631</f>
        <v>529174</v>
      </c>
      <c r="D635" s="669">
        <f t="shared" ref="D635:O635" si="299">D633+D632+D631</f>
        <v>0</v>
      </c>
      <c r="E635" s="669">
        <f t="shared" si="299"/>
        <v>0</v>
      </c>
      <c r="F635" s="669">
        <f t="shared" si="299"/>
        <v>-96906</v>
      </c>
      <c r="G635" s="669">
        <f t="shared" si="299"/>
        <v>0</v>
      </c>
      <c r="H635" s="669">
        <f t="shared" si="299"/>
        <v>-164950</v>
      </c>
      <c r="I635" s="669">
        <f t="shared" si="299"/>
        <v>0</v>
      </c>
      <c r="J635" s="669">
        <f t="shared" si="299"/>
        <v>267318</v>
      </c>
      <c r="K635" s="669">
        <f t="shared" si="299"/>
        <v>0</v>
      </c>
      <c r="L635" s="669">
        <f t="shared" si="299"/>
        <v>267318</v>
      </c>
      <c r="M635" s="669">
        <f t="shared" si="299"/>
        <v>-1401591</v>
      </c>
      <c r="N635" s="669">
        <f t="shared" si="299"/>
        <v>639031</v>
      </c>
      <c r="O635" s="669">
        <f t="shared" si="299"/>
        <v>-495242</v>
      </c>
    </row>
    <row r="636" spans="2:15" hidden="1" x14ac:dyDescent="0.25"/>
    <row r="637" spans="2:15" hidden="1" x14ac:dyDescent="0.25"/>
    <row r="638" spans="2:15" hidden="1" x14ac:dyDescent="0.25"/>
    <row r="639" spans="2:15" hidden="1" x14ac:dyDescent="0.25"/>
    <row r="640" spans="2:15" hidden="1" x14ac:dyDescent="0.25"/>
    <row r="641" hidden="1" x14ac:dyDescent="0.25"/>
  </sheetData>
  <mergeCells count="16">
    <mergeCell ref="M1:N1"/>
    <mergeCell ref="O1:O2"/>
    <mergeCell ref="M3:N3"/>
    <mergeCell ref="M4:N4"/>
    <mergeCell ref="G1:G2"/>
    <mergeCell ref="H1:H2"/>
    <mergeCell ref="I1:I2"/>
    <mergeCell ref="J1:J2"/>
    <mergeCell ref="K1:K2"/>
    <mergeCell ref="L1:L2"/>
    <mergeCell ref="F1:F2"/>
    <mergeCell ref="A1:A3"/>
    <mergeCell ref="B1:B2"/>
    <mergeCell ref="C1:C2"/>
    <mergeCell ref="D1:D2"/>
    <mergeCell ref="E1:E2"/>
  </mergeCells>
  <pageMargins left="0.47244094488188981" right="0.11811023622047245" top="0.74803149606299213" bottom="0.74803149606299213" header="0.31496062992125984" footer="0.31496062992125984"/>
  <pageSetup paperSize="9" scale="50" orientation="landscape" r:id="rId1"/>
  <headerFooter>
    <oddHeader>&amp;C&amp;"-,Félkövér"
Költségvetési szervek 2020.évi bevételi előirányzata (eFt-ban)&amp;R&amp;"Times New Roman,Félkövér" 7.melléklet a 24/2020.(VI.3.) önkormányzati rendelethez&amp;"-,Normál"
7.&amp;"-,Dőlt"&amp;10 melléklet
 az 5/2020.(II.17.) önkormányzati rendelethez</oddHeader>
  </headerFooter>
  <rowBreaks count="5" manualBreakCount="5">
    <brk id="197" max="14" man="1"/>
    <brk id="238" max="14" man="1"/>
    <brk id="280" max="14" man="1"/>
    <brk id="322" max="14" man="1"/>
    <brk id="362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652"/>
  <sheetViews>
    <sheetView view="pageBreakPreview" zoomScale="70" zoomScaleNormal="80" zoomScaleSheetLayoutView="70" workbookViewId="0">
      <pane xSplit="2" ySplit="6" topLeftCell="C604" activePane="bottomRight" state="frozen"/>
      <selection pane="topRight" activeCell="C1" sqref="C1"/>
      <selection pane="bottomLeft" activeCell="A7" sqref="A7"/>
      <selection pane="bottomRight" activeCell="E623" sqref="E623"/>
    </sheetView>
  </sheetViews>
  <sheetFormatPr defaultRowHeight="15.75" x14ac:dyDescent="0.25"/>
  <cols>
    <col min="1" max="1" width="3.625" style="154" customWidth="1"/>
    <col min="2" max="2" width="36.75" style="154" customWidth="1"/>
    <col min="3" max="3" width="10.875" style="154" customWidth="1"/>
    <col min="4" max="4" width="15.625" style="154" customWidth="1"/>
    <col min="5" max="5" width="11.25" style="154" customWidth="1"/>
    <col min="6" max="6" width="11" style="154" customWidth="1"/>
    <col min="7" max="7" width="10.875" style="154" customWidth="1"/>
    <col min="8" max="8" width="11.125" style="154" customWidth="1"/>
    <col min="9" max="9" width="12.5" style="154" customWidth="1"/>
    <col min="10" max="10" width="11.5" style="154" customWidth="1"/>
    <col min="11" max="11" width="13.25" style="154" customWidth="1"/>
    <col min="12" max="12" width="13.125" style="154" customWidth="1"/>
    <col min="13" max="13" width="12.625" style="154" customWidth="1"/>
    <col min="14" max="14" width="14" style="154" customWidth="1"/>
    <col min="15" max="15" width="12.25" style="154" customWidth="1"/>
    <col min="16" max="16" width="16.375" style="154" customWidth="1"/>
    <col min="17" max="16384" width="9" style="154"/>
  </cols>
  <sheetData>
    <row r="1" spans="1:15" x14ac:dyDescent="0.25">
      <c r="A1" s="912" t="s">
        <v>826</v>
      </c>
      <c r="B1" s="912"/>
      <c r="C1" s="912"/>
      <c r="D1" s="912"/>
      <c r="E1" s="912"/>
      <c r="F1" s="912"/>
      <c r="G1" s="912"/>
      <c r="H1" s="912"/>
      <c r="I1" s="912"/>
      <c r="J1" s="912"/>
      <c r="K1" s="912"/>
      <c r="L1" s="912"/>
      <c r="M1" s="912"/>
      <c r="N1" s="912"/>
      <c r="O1" s="912"/>
    </row>
    <row r="3" spans="1:15" ht="16.5" thickBot="1" x14ac:dyDescent="0.3"/>
    <row r="4" spans="1:15" ht="58.5" thickTop="1" thickBot="1" x14ac:dyDescent="0.3">
      <c r="A4" s="217" t="s">
        <v>443</v>
      </c>
      <c r="B4" s="216" t="s">
        <v>442</v>
      </c>
      <c r="C4" s="215" t="s">
        <v>31</v>
      </c>
      <c r="D4" s="211" t="s">
        <v>441</v>
      </c>
      <c r="E4" s="211" t="s">
        <v>57</v>
      </c>
      <c r="F4" s="212" t="s">
        <v>440</v>
      </c>
      <c r="G4" s="211" t="s">
        <v>439</v>
      </c>
      <c r="H4" s="211" t="s">
        <v>450</v>
      </c>
      <c r="I4" s="214" t="s">
        <v>52</v>
      </c>
      <c r="J4" s="213" t="s">
        <v>60</v>
      </c>
      <c r="K4" s="212" t="s">
        <v>256</v>
      </c>
      <c r="L4" s="211" t="s">
        <v>451</v>
      </c>
      <c r="M4" s="211" t="s">
        <v>257</v>
      </c>
      <c r="N4" s="211" t="s">
        <v>438</v>
      </c>
      <c r="O4" s="211" t="s">
        <v>437</v>
      </c>
    </row>
    <row r="5" spans="1:15" ht="17.25" thickTop="1" thickBot="1" x14ac:dyDescent="0.3">
      <c r="A5" s="217"/>
      <c r="B5" s="216"/>
      <c r="C5" s="215" t="s">
        <v>155</v>
      </c>
      <c r="D5" s="211" t="s">
        <v>156</v>
      </c>
      <c r="E5" s="211" t="s">
        <v>157</v>
      </c>
      <c r="F5" s="212" t="s">
        <v>158</v>
      </c>
      <c r="G5" s="211" t="s">
        <v>258</v>
      </c>
      <c r="H5" s="211" t="s">
        <v>436</v>
      </c>
      <c r="I5" s="214" t="s">
        <v>159</v>
      </c>
      <c r="J5" s="213" t="s">
        <v>160</v>
      </c>
      <c r="K5" s="212" t="s">
        <v>161</v>
      </c>
      <c r="L5" s="211" t="s">
        <v>435</v>
      </c>
      <c r="M5" s="211" t="s">
        <v>273</v>
      </c>
      <c r="N5" s="211" t="s">
        <v>210</v>
      </c>
      <c r="O5" s="211" t="s">
        <v>434</v>
      </c>
    </row>
    <row r="6" spans="1:15" s="204" customFormat="1" ht="14.25" thickTop="1" thickBot="1" x14ac:dyDescent="0.25">
      <c r="A6" s="210" t="s">
        <v>138</v>
      </c>
      <c r="B6" s="209" t="s">
        <v>139</v>
      </c>
      <c r="C6" s="205" t="s">
        <v>495</v>
      </c>
      <c r="D6" s="205" t="s">
        <v>141</v>
      </c>
      <c r="E6" s="205" t="s">
        <v>142</v>
      </c>
      <c r="F6" s="206" t="s">
        <v>143</v>
      </c>
      <c r="G6" s="205" t="s">
        <v>416</v>
      </c>
      <c r="H6" s="208" t="s">
        <v>433</v>
      </c>
      <c r="I6" s="207" t="s">
        <v>36</v>
      </c>
      <c r="J6" s="205" t="s">
        <v>37</v>
      </c>
      <c r="K6" s="206" t="s">
        <v>432</v>
      </c>
      <c r="L6" s="205" t="s">
        <v>431</v>
      </c>
      <c r="M6" s="205" t="s">
        <v>430</v>
      </c>
      <c r="N6" s="205" t="s">
        <v>429</v>
      </c>
      <c r="O6" s="205" t="s">
        <v>428</v>
      </c>
    </row>
    <row r="7" spans="1:15" ht="16.5" thickTop="1" x14ac:dyDescent="0.25">
      <c r="A7" s="164" t="s">
        <v>145</v>
      </c>
      <c r="B7" s="523" t="s">
        <v>412</v>
      </c>
      <c r="C7" s="524"/>
      <c r="D7" s="525"/>
      <c r="E7" s="525"/>
      <c r="F7" s="526"/>
      <c r="G7" s="525"/>
      <c r="H7" s="527"/>
      <c r="I7" s="528"/>
      <c r="J7" s="526"/>
      <c r="K7" s="526"/>
      <c r="L7" s="527"/>
      <c r="M7" s="529"/>
      <c r="N7" s="529"/>
      <c r="O7" s="529"/>
    </row>
    <row r="8" spans="1:15" x14ac:dyDescent="0.25">
      <c r="A8" s="164"/>
      <c r="B8" s="530" t="s">
        <v>349</v>
      </c>
      <c r="C8" s="524">
        <f>SUM(C9:C10)</f>
        <v>577330</v>
      </c>
      <c r="D8" s="524">
        <f>SUM(D9:D10)</f>
        <v>107601</v>
      </c>
      <c r="E8" s="524">
        <f>SUM(E9:E10)</f>
        <v>964239</v>
      </c>
      <c r="F8" s="526"/>
      <c r="G8" s="525"/>
      <c r="H8" s="527">
        <f>SUM(C8:G8)</f>
        <v>1649170</v>
      </c>
      <c r="I8" s="528"/>
      <c r="J8" s="526"/>
      <c r="K8" s="526"/>
      <c r="L8" s="527">
        <f t="shared" ref="L8:L20" si="0">SUM(I8:K8)</f>
        <v>0</v>
      </c>
      <c r="M8" s="529">
        <f t="shared" ref="M8:M20" si="1">SUM(H8+L8)</f>
        <v>1649170</v>
      </c>
      <c r="N8" s="529"/>
      <c r="O8" s="529">
        <f t="shared" ref="O8:O20" si="2">SUM(M8+N8)</f>
        <v>1649170</v>
      </c>
    </row>
    <row r="9" spans="1:15" s="168" customFormat="1" x14ac:dyDescent="0.25">
      <c r="A9" s="177"/>
      <c r="B9" s="165" t="s">
        <v>383</v>
      </c>
      <c r="C9" s="185">
        <v>432998</v>
      </c>
      <c r="D9" s="175">
        <v>80701</v>
      </c>
      <c r="E9" s="175">
        <v>924609</v>
      </c>
      <c r="F9" s="171"/>
      <c r="G9" s="175"/>
      <c r="H9" s="170">
        <f>SUM(C9:G9)</f>
        <v>1438308</v>
      </c>
      <c r="I9" s="203"/>
      <c r="J9" s="179"/>
      <c r="K9" s="179"/>
      <c r="L9" s="170">
        <f t="shared" si="0"/>
        <v>0</v>
      </c>
      <c r="M9" s="169">
        <f t="shared" si="1"/>
        <v>1438308</v>
      </c>
      <c r="N9" s="169"/>
      <c r="O9" s="169">
        <f t="shared" si="2"/>
        <v>1438308</v>
      </c>
    </row>
    <row r="10" spans="1:15" x14ac:dyDescent="0.25">
      <c r="A10" s="164"/>
      <c r="B10" s="165" t="s">
        <v>382</v>
      </c>
      <c r="C10" s="185">
        <v>144332</v>
      </c>
      <c r="D10" s="175">
        <v>26900</v>
      </c>
      <c r="E10" s="175">
        <v>39630</v>
      </c>
      <c r="F10" s="526"/>
      <c r="G10" s="525"/>
      <c r="H10" s="170">
        <f>SUM(C10:G10)</f>
        <v>210862</v>
      </c>
      <c r="I10" s="528"/>
      <c r="J10" s="526"/>
      <c r="K10" s="526"/>
      <c r="L10" s="527">
        <f t="shared" si="0"/>
        <v>0</v>
      </c>
      <c r="M10" s="169">
        <f t="shared" si="1"/>
        <v>210862</v>
      </c>
      <c r="N10" s="169"/>
      <c r="O10" s="169">
        <f t="shared" si="2"/>
        <v>210862</v>
      </c>
    </row>
    <row r="11" spans="1:15" s="168" customFormat="1" x14ac:dyDescent="0.25">
      <c r="A11" s="177"/>
      <c r="B11" s="165" t="s">
        <v>132</v>
      </c>
      <c r="C11" s="185"/>
      <c r="D11" s="175"/>
      <c r="E11" s="175"/>
      <c r="F11" s="171"/>
      <c r="G11" s="175"/>
      <c r="H11" s="527"/>
      <c r="I11" s="203"/>
      <c r="J11" s="179"/>
      <c r="K11" s="179"/>
      <c r="L11" s="527">
        <f t="shared" si="0"/>
        <v>0</v>
      </c>
      <c r="M11" s="529">
        <f t="shared" si="1"/>
        <v>0</v>
      </c>
      <c r="N11" s="169"/>
      <c r="O11" s="529">
        <f t="shared" si="2"/>
        <v>0</v>
      </c>
    </row>
    <row r="12" spans="1:15" ht="36" customHeight="1" x14ac:dyDescent="0.25">
      <c r="A12" s="164"/>
      <c r="B12" s="530" t="s">
        <v>1196</v>
      </c>
      <c r="C12" s="524">
        <v>77453</v>
      </c>
      <c r="D12" s="525">
        <v>14359</v>
      </c>
      <c r="E12" s="525">
        <v>56180</v>
      </c>
      <c r="F12" s="526"/>
      <c r="G12" s="525"/>
      <c r="H12" s="527">
        <f t="shared" ref="H12:H20" si="3">SUM(C12:G12)</f>
        <v>147992</v>
      </c>
      <c r="I12" s="528"/>
      <c r="J12" s="526"/>
      <c r="K12" s="526"/>
      <c r="L12" s="527">
        <f t="shared" si="0"/>
        <v>0</v>
      </c>
      <c r="M12" s="529">
        <f t="shared" si="1"/>
        <v>147992</v>
      </c>
      <c r="N12" s="529"/>
      <c r="O12" s="529">
        <f t="shared" si="2"/>
        <v>147992</v>
      </c>
    </row>
    <row r="13" spans="1:15" ht="31.5" x14ac:dyDescent="0.25">
      <c r="A13" s="164"/>
      <c r="B13" s="530" t="s">
        <v>1252</v>
      </c>
      <c r="C13" s="524">
        <v>567</v>
      </c>
      <c r="D13" s="525">
        <v>99</v>
      </c>
      <c r="E13" s="525"/>
      <c r="F13" s="526"/>
      <c r="G13" s="525"/>
      <c r="H13" s="527">
        <f t="shared" si="3"/>
        <v>666</v>
      </c>
      <c r="I13" s="531"/>
      <c r="J13" s="532"/>
      <c r="K13" s="532"/>
      <c r="L13" s="527">
        <f t="shared" si="0"/>
        <v>0</v>
      </c>
      <c r="M13" s="529">
        <f t="shared" si="1"/>
        <v>666</v>
      </c>
      <c r="N13" s="529"/>
      <c r="O13" s="529">
        <f t="shared" si="2"/>
        <v>666</v>
      </c>
    </row>
    <row r="14" spans="1:15" ht="31.5" x14ac:dyDescent="0.25">
      <c r="A14" s="164"/>
      <c r="B14" s="530" t="s">
        <v>1198</v>
      </c>
      <c r="C14" s="524"/>
      <c r="D14" s="525">
        <v>-5505</v>
      </c>
      <c r="E14" s="525"/>
      <c r="F14" s="526"/>
      <c r="G14" s="525"/>
      <c r="H14" s="527">
        <f t="shared" si="3"/>
        <v>-5505</v>
      </c>
      <c r="I14" s="531"/>
      <c r="J14" s="532"/>
      <c r="K14" s="532"/>
      <c r="L14" s="527">
        <f t="shared" si="0"/>
        <v>0</v>
      </c>
      <c r="M14" s="529">
        <f t="shared" si="1"/>
        <v>-5505</v>
      </c>
      <c r="N14" s="529"/>
      <c r="O14" s="529">
        <f t="shared" si="2"/>
        <v>-5505</v>
      </c>
    </row>
    <row r="15" spans="1:15" x14ac:dyDescent="0.25">
      <c r="A15" s="164"/>
      <c r="B15" s="530" t="s">
        <v>1199</v>
      </c>
      <c r="C15" s="524">
        <v>-4411</v>
      </c>
      <c r="D15" s="525">
        <v>-772</v>
      </c>
      <c r="E15" s="525"/>
      <c r="F15" s="526"/>
      <c r="G15" s="525"/>
      <c r="H15" s="527">
        <f t="shared" si="3"/>
        <v>-5183</v>
      </c>
      <c r="I15" s="531"/>
      <c r="J15" s="532"/>
      <c r="K15" s="532"/>
      <c r="L15" s="527">
        <f t="shared" si="0"/>
        <v>0</v>
      </c>
      <c r="M15" s="529">
        <f t="shared" si="1"/>
        <v>-5183</v>
      </c>
      <c r="N15" s="529"/>
      <c r="O15" s="529">
        <f t="shared" si="2"/>
        <v>-5183</v>
      </c>
    </row>
    <row r="16" spans="1:15" ht="47.25" x14ac:dyDescent="0.25">
      <c r="A16" s="164"/>
      <c r="B16" s="530" t="s">
        <v>1200</v>
      </c>
      <c r="C16" s="524">
        <v>1188</v>
      </c>
      <c r="D16" s="525">
        <v>208</v>
      </c>
      <c r="E16" s="525"/>
      <c r="F16" s="526"/>
      <c r="G16" s="525"/>
      <c r="H16" s="527">
        <f t="shared" si="3"/>
        <v>1396</v>
      </c>
      <c r="I16" s="531"/>
      <c r="J16" s="532"/>
      <c r="K16" s="532"/>
      <c r="L16" s="527">
        <f t="shared" si="0"/>
        <v>0</v>
      </c>
      <c r="M16" s="529">
        <f t="shared" si="1"/>
        <v>1396</v>
      </c>
      <c r="N16" s="529"/>
      <c r="O16" s="529">
        <f t="shared" si="2"/>
        <v>1396</v>
      </c>
    </row>
    <row r="17" spans="1:16" ht="31.5" x14ac:dyDescent="0.25">
      <c r="A17" s="164"/>
      <c r="B17" s="530" t="s">
        <v>584</v>
      </c>
      <c r="C17" s="524"/>
      <c r="D17" s="525"/>
      <c r="E17" s="525">
        <v>-7784</v>
      </c>
      <c r="F17" s="526"/>
      <c r="G17" s="525"/>
      <c r="H17" s="527">
        <f t="shared" si="3"/>
        <v>-7784</v>
      </c>
      <c r="I17" s="531">
        <v>7784</v>
      </c>
      <c r="J17" s="532"/>
      <c r="K17" s="532"/>
      <c r="L17" s="527">
        <f t="shared" si="0"/>
        <v>7784</v>
      </c>
      <c r="M17" s="529">
        <f t="shared" si="1"/>
        <v>0</v>
      </c>
      <c r="N17" s="529"/>
      <c r="O17" s="529">
        <f t="shared" si="2"/>
        <v>0</v>
      </c>
    </row>
    <row r="18" spans="1:16" x14ac:dyDescent="0.25">
      <c r="A18" s="164"/>
      <c r="B18" s="530" t="s">
        <v>1201</v>
      </c>
      <c r="C18" s="524">
        <v>-1053</v>
      </c>
      <c r="D18" s="525">
        <v>-184</v>
      </c>
      <c r="E18" s="525">
        <v>-1029</v>
      </c>
      <c r="F18" s="526"/>
      <c r="G18" s="525"/>
      <c r="H18" s="527">
        <f t="shared" si="3"/>
        <v>-2266</v>
      </c>
      <c r="I18" s="531"/>
      <c r="J18" s="532"/>
      <c r="K18" s="532"/>
      <c r="L18" s="527">
        <f t="shared" si="0"/>
        <v>0</v>
      </c>
      <c r="M18" s="529">
        <f t="shared" si="1"/>
        <v>-2266</v>
      </c>
      <c r="N18" s="529"/>
      <c r="O18" s="529">
        <f t="shared" si="2"/>
        <v>-2266</v>
      </c>
    </row>
    <row r="19" spans="1:16" ht="31.5" x14ac:dyDescent="0.25">
      <c r="A19" s="164"/>
      <c r="B19" s="530" t="s">
        <v>1202</v>
      </c>
      <c r="C19" s="524">
        <v>555</v>
      </c>
      <c r="D19" s="525">
        <v>97</v>
      </c>
      <c r="E19" s="525"/>
      <c r="F19" s="526"/>
      <c r="G19" s="525"/>
      <c r="H19" s="527">
        <f t="shared" si="3"/>
        <v>652</v>
      </c>
      <c r="I19" s="531"/>
      <c r="J19" s="532"/>
      <c r="K19" s="532"/>
      <c r="L19" s="527">
        <f t="shared" si="0"/>
        <v>0</v>
      </c>
      <c r="M19" s="529">
        <f t="shared" si="1"/>
        <v>652</v>
      </c>
      <c r="N19" s="529"/>
      <c r="O19" s="529">
        <f t="shared" si="2"/>
        <v>652</v>
      </c>
    </row>
    <row r="20" spans="1:16" ht="117.75" customHeight="1" x14ac:dyDescent="0.25">
      <c r="A20" s="164"/>
      <c r="B20" s="530" t="s">
        <v>1203</v>
      </c>
      <c r="C20" s="524"/>
      <c r="D20" s="525"/>
      <c r="E20" s="525">
        <v>-600000</v>
      </c>
      <c r="F20" s="526"/>
      <c r="G20" s="525"/>
      <c r="H20" s="527">
        <f t="shared" si="3"/>
        <v>-600000</v>
      </c>
      <c r="I20" s="531"/>
      <c r="J20" s="532"/>
      <c r="K20" s="532"/>
      <c r="L20" s="527">
        <f t="shared" si="0"/>
        <v>0</v>
      </c>
      <c r="M20" s="529">
        <f t="shared" si="1"/>
        <v>-600000</v>
      </c>
      <c r="N20" s="529"/>
      <c r="O20" s="529">
        <f t="shared" si="2"/>
        <v>-600000</v>
      </c>
    </row>
    <row r="21" spans="1:16" s="168" customFormat="1" x14ac:dyDescent="0.25">
      <c r="A21" s="177"/>
      <c r="B21" s="165" t="s">
        <v>133</v>
      </c>
      <c r="C21" s="185"/>
      <c r="D21" s="175"/>
      <c r="E21" s="175"/>
      <c r="F21" s="171"/>
      <c r="G21" s="175"/>
      <c r="H21" s="527"/>
      <c r="I21" s="203"/>
      <c r="J21" s="179"/>
      <c r="K21" s="179"/>
      <c r="L21" s="527"/>
      <c r="M21" s="529"/>
      <c r="N21" s="169"/>
      <c r="O21" s="529"/>
    </row>
    <row r="22" spans="1:16" ht="16.5" thickBot="1" x14ac:dyDescent="0.3">
      <c r="A22" s="164"/>
      <c r="B22" s="530" t="s">
        <v>1204</v>
      </c>
      <c r="C22" s="524">
        <v>4109</v>
      </c>
      <c r="D22" s="525">
        <v>1335</v>
      </c>
      <c r="E22" s="525"/>
      <c r="F22" s="526"/>
      <c r="G22" s="525"/>
      <c r="H22" s="527">
        <f>SUM(C22:G22)</f>
        <v>5444</v>
      </c>
      <c r="I22" s="531"/>
      <c r="J22" s="532"/>
      <c r="K22" s="532"/>
      <c r="L22" s="527">
        <f>SUM(I22:K22)</f>
        <v>0</v>
      </c>
      <c r="M22" s="529">
        <f>SUM(H22+L22)</f>
        <v>5444</v>
      </c>
      <c r="N22" s="529"/>
      <c r="O22" s="529">
        <f>SUM(M22+N22)</f>
        <v>5444</v>
      </c>
    </row>
    <row r="23" spans="1:16" ht="17.25" thickTop="1" thickBot="1" x14ac:dyDescent="0.3">
      <c r="A23" s="157"/>
      <c r="B23" s="156" t="s">
        <v>381</v>
      </c>
      <c r="C23" s="155">
        <f>+C8+C12+C22+C13+C14+C15+C16+C17+C18+C19+C20</f>
        <v>655738</v>
      </c>
      <c r="D23" s="155">
        <f t="shared" ref="D23:O23" si="4">+D8+D12+D22+D13+D14+D15+D16+D17+D18+D19+D20</f>
        <v>117238</v>
      </c>
      <c r="E23" s="155">
        <f t="shared" si="4"/>
        <v>411606</v>
      </c>
      <c r="F23" s="155">
        <f t="shared" si="4"/>
        <v>0</v>
      </c>
      <c r="G23" s="155">
        <f t="shared" si="4"/>
        <v>0</v>
      </c>
      <c r="H23" s="155">
        <f t="shared" si="4"/>
        <v>1184582</v>
      </c>
      <c r="I23" s="155">
        <f t="shared" si="4"/>
        <v>7784</v>
      </c>
      <c r="J23" s="155">
        <f t="shared" si="4"/>
        <v>0</v>
      </c>
      <c r="K23" s="155">
        <f t="shared" si="4"/>
        <v>0</v>
      </c>
      <c r="L23" s="155">
        <f t="shared" si="4"/>
        <v>7784</v>
      </c>
      <c r="M23" s="155">
        <f t="shared" si="4"/>
        <v>1192366</v>
      </c>
      <c r="N23" s="155">
        <f t="shared" si="4"/>
        <v>0</v>
      </c>
      <c r="O23" s="155">
        <f t="shared" si="4"/>
        <v>1192366</v>
      </c>
      <c r="P23" s="150"/>
    </row>
    <row r="24" spans="1:16" ht="17.25" thickTop="1" thickBot="1" x14ac:dyDescent="0.3">
      <c r="A24" s="157"/>
      <c r="B24" s="156" t="s">
        <v>380</v>
      </c>
      <c r="C24" s="155">
        <f t="shared" ref="C24:O24" si="5">+C9+C12+C13+C14+C15+C16+C17+C18+C19+C20</f>
        <v>507297</v>
      </c>
      <c r="D24" s="155">
        <f t="shared" si="5"/>
        <v>89003</v>
      </c>
      <c r="E24" s="155">
        <f t="shared" si="5"/>
        <v>371976</v>
      </c>
      <c r="F24" s="155">
        <f t="shared" si="5"/>
        <v>0</v>
      </c>
      <c r="G24" s="155">
        <f t="shared" si="5"/>
        <v>0</v>
      </c>
      <c r="H24" s="155">
        <f t="shared" si="5"/>
        <v>968276</v>
      </c>
      <c r="I24" s="155">
        <f t="shared" si="5"/>
        <v>7784</v>
      </c>
      <c r="J24" s="155">
        <f t="shared" si="5"/>
        <v>0</v>
      </c>
      <c r="K24" s="155">
        <f t="shared" si="5"/>
        <v>0</v>
      </c>
      <c r="L24" s="155">
        <f t="shared" si="5"/>
        <v>7784</v>
      </c>
      <c r="M24" s="155">
        <f t="shared" si="5"/>
        <v>976060</v>
      </c>
      <c r="N24" s="155">
        <f t="shared" si="5"/>
        <v>0</v>
      </c>
      <c r="O24" s="155">
        <f t="shared" si="5"/>
        <v>976060</v>
      </c>
      <c r="P24" s="150"/>
    </row>
    <row r="25" spans="1:16" ht="17.25" thickTop="1" thickBot="1" x14ac:dyDescent="0.3">
      <c r="A25" s="157"/>
      <c r="B25" s="156" t="s">
        <v>379</v>
      </c>
      <c r="C25" s="155">
        <f>+C10+C22</f>
        <v>148441</v>
      </c>
      <c r="D25" s="155">
        <f t="shared" ref="D25:O25" si="6">+D10+D22</f>
        <v>28235</v>
      </c>
      <c r="E25" s="155">
        <f t="shared" si="6"/>
        <v>39630</v>
      </c>
      <c r="F25" s="155">
        <f t="shared" si="6"/>
        <v>0</v>
      </c>
      <c r="G25" s="155">
        <f t="shared" si="6"/>
        <v>0</v>
      </c>
      <c r="H25" s="155">
        <f t="shared" si="6"/>
        <v>216306</v>
      </c>
      <c r="I25" s="155">
        <f t="shared" si="6"/>
        <v>0</v>
      </c>
      <c r="J25" s="155">
        <f t="shared" si="6"/>
        <v>0</v>
      </c>
      <c r="K25" s="155">
        <f t="shared" si="6"/>
        <v>0</v>
      </c>
      <c r="L25" s="155">
        <f t="shared" si="6"/>
        <v>0</v>
      </c>
      <c r="M25" s="155">
        <f t="shared" si="6"/>
        <v>216306</v>
      </c>
      <c r="N25" s="155">
        <f t="shared" si="6"/>
        <v>0</v>
      </c>
      <c r="O25" s="155">
        <f t="shared" si="6"/>
        <v>216306</v>
      </c>
    </row>
    <row r="26" spans="1:16" ht="32.25" thickTop="1" x14ac:dyDescent="0.25">
      <c r="A26" s="164" t="s">
        <v>146</v>
      </c>
      <c r="B26" s="523" t="s">
        <v>411</v>
      </c>
      <c r="C26" s="524"/>
      <c r="D26" s="525"/>
      <c r="E26" s="525"/>
      <c r="F26" s="526"/>
      <c r="G26" s="525"/>
      <c r="H26" s="527"/>
      <c r="I26" s="528"/>
      <c r="J26" s="526"/>
      <c r="K26" s="526"/>
      <c r="L26" s="527"/>
      <c r="M26" s="529"/>
      <c r="N26" s="529"/>
      <c r="O26" s="529"/>
    </row>
    <row r="27" spans="1:16" x14ac:dyDescent="0.25">
      <c r="A27" s="164"/>
      <c r="B27" s="530" t="s">
        <v>349</v>
      </c>
      <c r="C27" s="524">
        <f>SUM(C28:C29)</f>
        <v>79034</v>
      </c>
      <c r="D27" s="524">
        <f>SUM(D28:D29)</f>
        <v>13472</v>
      </c>
      <c r="E27" s="524">
        <f>SUM(E28:E29)</f>
        <v>29382</v>
      </c>
      <c r="F27" s="526"/>
      <c r="G27" s="525"/>
      <c r="H27" s="527">
        <f>SUM(C27:G27)</f>
        <v>121888</v>
      </c>
      <c r="I27" s="528"/>
      <c r="J27" s="526"/>
      <c r="K27" s="526"/>
      <c r="L27" s="527">
        <f>SUM(I27:K27)</f>
        <v>0</v>
      </c>
      <c r="M27" s="529">
        <f>SUM(H27+L27)</f>
        <v>121888</v>
      </c>
      <c r="N27" s="529"/>
      <c r="O27" s="529">
        <f>SUM(M27+N27)</f>
        <v>121888</v>
      </c>
    </row>
    <row r="28" spans="1:16" s="168" customFormat="1" x14ac:dyDescent="0.25">
      <c r="A28" s="177"/>
      <c r="B28" s="165" t="s">
        <v>383</v>
      </c>
      <c r="C28" s="185">
        <v>31614</v>
      </c>
      <c r="D28" s="175">
        <v>5389</v>
      </c>
      <c r="E28" s="175">
        <v>11753</v>
      </c>
      <c r="F28" s="171"/>
      <c r="G28" s="175"/>
      <c r="H28" s="170">
        <f>SUM(C28:G28)</f>
        <v>48756</v>
      </c>
      <c r="I28" s="172"/>
      <c r="J28" s="171"/>
      <c r="K28" s="171"/>
      <c r="L28" s="170">
        <f>SUM(I28:K28)</f>
        <v>0</v>
      </c>
      <c r="M28" s="169">
        <f>SUM(H28+L28)</f>
        <v>48756</v>
      </c>
      <c r="N28" s="169"/>
      <c r="O28" s="169">
        <f>SUM(M28+N28)</f>
        <v>48756</v>
      </c>
    </row>
    <row r="29" spans="1:16" x14ac:dyDescent="0.25">
      <c r="A29" s="164"/>
      <c r="B29" s="165" t="s">
        <v>382</v>
      </c>
      <c r="C29" s="185">
        <v>47420</v>
      </c>
      <c r="D29" s="175">
        <v>8083</v>
      </c>
      <c r="E29" s="175">
        <v>17629</v>
      </c>
      <c r="F29" s="171"/>
      <c r="G29" s="175"/>
      <c r="H29" s="170">
        <f>SUM(C29:G29)</f>
        <v>73132</v>
      </c>
      <c r="I29" s="172"/>
      <c r="J29" s="171"/>
      <c r="K29" s="171"/>
      <c r="L29" s="170">
        <f>SUM(I29:K29)</f>
        <v>0</v>
      </c>
      <c r="M29" s="169">
        <f>SUM(H29+L29)</f>
        <v>73132</v>
      </c>
      <c r="N29" s="169"/>
      <c r="O29" s="169">
        <f>SUM(M29+N29)</f>
        <v>73132</v>
      </c>
    </row>
    <row r="30" spans="1:16" x14ac:dyDescent="0.25">
      <c r="A30" s="167"/>
      <c r="B30" s="166" t="s">
        <v>132</v>
      </c>
      <c r="C30" s="524"/>
      <c r="D30" s="525"/>
      <c r="E30" s="525"/>
      <c r="F30" s="526"/>
      <c r="G30" s="525"/>
      <c r="H30" s="170"/>
      <c r="I30" s="528"/>
      <c r="J30" s="526"/>
      <c r="K30" s="526"/>
      <c r="L30" s="170"/>
      <c r="M30" s="170"/>
      <c r="N30" s="527"/>
      <c r="O30" s="170"/>
    </row>
    <row r="31" spans="1:16" ht="32.25" customHeight="1" x14ac:dyDescent="0.25">
      <c r="A31" s="167"/>
      <c r="B31" s="523" t="s">
        <v>1196</v>
      </c>
      <c r="C31" s="524">
        <v>7072</v>
      </c>
      <c r="D31" s="525">
        <v>1299</v>
      </c>
      <c r="E31" s="525">
        <v>519</v>
      </c>
      <c r="F31" s="526"/>
      <c r="G31" s="525"/>
      <c r="H31" s="196">
        <f t="shared" ref="H31:H38" si="7">SUM(C31:G31)</f>
        <v>8890</v>
      </c>
      <c r="I31" s="528"/>
      <c r="J31" s="526"/>
      <c r="K31" s="526"/>
      <c r="L31" s="196">
        <f t="shared" ref="L31:L38" si="8">SUM(I31:K31)</f>
        <v>0</v>
      </c>
      <c r="M31" s="196">
        <f t="shared" ref="M31:M38" si="9">SUM(H31+L31)</f>
        <v>8890</v>
      </c>
      <c r="N31" s="527"/>
      <c r="O31" s="196">
        <f t="shared" ref="O31:O38" si="10">SUM(M31+N31)</f>
        <v>8890</v>
      </c>
    </row>
    <row r="32" spans="1:16" ht="31.5" x14ac:dyDescent="0.25">
      <c r="A32" s="164"/>
      <c r="B32" s="530" t="s">
        <v>1252</v>
      </c>
      <c r="C32" s="524">
        <v>132</v>
      </c>
      <c r="D32" s="525">
        <v>23</v>
      </c>
      <c r="E32" s="525"/>
      <c r="F32" s="526"/>
      <c r="G32" s="525"/>
      <c r="H32" s="196">
        <f t="shared" si="7"/>
        <v>155</v>
      </c>
      <c r="I32" s="528"/>
      <c r="J32" s="526"/>
      <c r="K32" s="526"/>
      <c r="L32" s="196">
        <f t="shared" si="8"/>
        <v>0</v>
      </c>
      <c r="M32" s="195">
        <f t="shared" si="9"/>
        <v>155</v>
      </c>
      <c r="N32" s="529"/>
      <c r="O32" s="195">
        <f t="shared" si="10"/>
        <v>155</v>
      </c>
    </row>
    <row r="33" spans="1:16" ht="31.5" x14ac:dyDescent="0.25">
      <c r="A33" s="164"/>
      <c r="B33" s="530" t="s">
        <v>1253</v>
      </c>
      <c r="C33" s="524">
        <v>5341</v>
      </c>
      <c r="D33" s="525">
        <v>935</v>
      </c>
      <c r="E33" s="525"/>
      <c r="F33" s="526"/>
      <c r="G33" s="525"/>
      <c r="H33" s="196">
        <f t="shared" si="7"/>
        <v>6276</v>
      </c>
      <c r="I33" s="528"/>
      <c r="J33" s="526"/>
      <c r="K33" s="526"/>
      <c r="L33" s="196">
        <f t="shared" si="8"/>
        <v>0</v>
      </c>
      <c r="M33" s="195">
        <f t="shared" si="9"/>
        <v>6276</v>
      </c>
      <c r="N33" s="529"/>
      <c r="O33" s="195">
        <f t="shared" si="10"/>
        <v>6276</v>
      </c>
    </row>
    <row r="34" spans="1:16" ht="31.5" x14ac:dyDescent="0.25">
      <c r="A34" s="164"/>
      <c r="B34" s="530" t="s">
        <v>1198</v>
      </c>
      <c r="C34" s="524"/>
      <c r="D34" s="525">
        <v>-756</v>
      </c>
      <c r="E34" s="525"/>
      <c r="F34" s="526"/>
      <c r="G34" s="525"/>
      <c r="H34" s="196">
        <f t="shared" si="7"/>
        <v>-756</v>
      </c>
      <c r="I34" s="528"/>
      <c r="J34" s="526"/>
      <c r="K34" s="526"/>
      <c r="L34" s="196">
        <f t="shared" si="8"/>
        <v>0</v>
      </c>
      <c r="M34" s="195">
        <f t="shared" si="9"/>
        <v>-756</v>
      </c>
      <c r="N34" s="529"/>
      <c r="O34" s="195">
        <f t="shared" si="10"/>
        <v>-756</v>
      </c>
    </row>
    <row r="35" spans="1:16" x14ac:dyDescent="0.25">
      <c r="A35" s="164"/>
      <c r="B35" s="530" t="s">
        <v>1199</v>
      </c>
      <c r="C35" s="524">
        <v>-705</v>
      </c>
      <c r="D35" s="525">
        <v>-123</v>
      </c>
      <c r="E35" s="525"/>
      <c r="F35" s="526"/>
      <c r="G35" s="525"/>
      <c r="H35" s="196">
        <f t="shared" si="7"/>
        <v>-828</v>
      </c>
      <c r="I35" s="528"/>
      <c r="J35" s="526"/>
      <c r="K35" s="526"/>
      <c r="L35" s="196">
        <f t="shared" si="8"/>
        <v>0</v>
      </c>
      <c r="M35" s="195">
        <f t="shared" si="9"/>
        <v>-828</v>
      </c>
      <c r="N35" s="529"/>
      <c r="O35" s="195">
        <f t="shared" si="10"/>
        <v>-828</v>
      </c>
    </row>
    <row r="36" spans="1:16" ht="31.5" x14ac:dyDescent="0.25">
      <c r="A36" s="164"/>
      <c r="B36" s="530" t="s">
        <v>584</v>
      </c>
      <c r="C36" s="524"/>
      <c r="D36" s="525"/>
      <c r="E36" s="525">
        <v>-31</v>
      </c>
      <c r="F36" s="526"/>
      <c r="G36" s="525"/>
      <c r="H36" s="196">
        <f t="shared" si="7"/>
        <v>-31</v>
      </c>
      <c r="I36" s="528">
        <v>31</v>
      </c>
      <c r="J36" s="526"/>
      <c r="K36" s="526"/>
      <c r="L36" s="196">
        <f t="shared" si="8"/>
        <v>31</v>
      </c>
      <c r="M36" s="195">
        <f t="shared" si="9"/>
        <v>0</v>
      </c>
      <c r="N36" s="529"/>
      <c r="O36" s="195">
        <f t="shared" si="10"/>
        <v>0</v>
      </c>
    </row>
    <row r="37" spans="1:16" x14ac:dyDescent="0.25">
      <c r="A37" s="164"/>
      <c r="B37" s="530" t="s">
        <v>1201</v>
      </c>
      <c r="C37" s="524"/>
      <c r="D37" s="525"/>
      <c r="E37" s="525">
        <v>-1927</v>
      </c>
      <c r="F37" s="526"/>
      <c r="G37" s="525"/>
      <c r="H37" s="196">
        <f t="shared" si="7"/>
        <v>-1927</v>
      </c>
      <c r="I37" s="528"/>
      <c r="J37" s="526"/>
      <c r="K37" s="526"/>
      <c r="L37" s="196">
        <f t="shared" si="8"/>
        <v>0</v>
      </c>
      <c r="M37" s="195">
        <f t="shared" si="9"/>
        <v>-1927</v>
      </c>
      <c r="N37" s="529"/>
      <c r="O37" s="195">
        <f t="shared" si="10"/>
        <v>-1927</v>
      </c>
    </row>
    <row r="38" spans="1:16" ht="31.5" x14ac:dyDescent="0.25">
      <c r="A38" s="164"/>
      <c r="B38" s="530" t="s">
        <v>1202</v>
      </c>
      <c r="C38" s="524">
        <v>350</v>
      </c>
      <c r="D38" s="525">
        <v>61</v>
      </c>
      <c r="E38" s="525"/>
      <c r="F38" s="526"/>
      <c r="G38" s="525"/>
      <c r="H38" s="196">
        <f t="shared" si="7"/>
        <v>411</v>
      </c>
      <c r="I38" s="528"/>
      <c r="J38" s="526"/>
      <c r="K38" s="526"/>
      <c r="L38" s="196">
        <f t="shared" si="8"/>
        <v>0</v>
      </c>
      <c r="M38" s="195">
        <f t="shared" si="9"/>
        <v>411</v>
      </c>
      <c r="N38" s="529"/>
      <c r="O38" s="195">
        <f t="shared" si="10"/>
        <v>411</v>
      </c>
    </row>
    <row r="39" spans="1:16" x14ac:dyDescent="0.25">
      <c r="A39" s="164"/>
      <c r="B39" s="165" t="s">
        <v>133</v>
      </c>
      <c r="C39" s="524"/>
      <c r="D39" s="525"/>
      <c r="E39" s="525"/>
      <c r="F39" s="526"/>
      <c r="G39" s="525"/>
      <c r="H39" s="170"/>
      <c r="I39" s="528"/>
      <c r="J39" s="526"/>
      <c r="K39" s="526"/>
      <c r="L39" s="196"/>
      <c r="M39" s="195"/>
      <c r="N39" s="529"/>
      <c r="O39" s="195"/>
    </row>
    <row r="40" spans="1:16" ht="16.5" thickBot="1" x14ac:dyDescent="0.3">
      <c r="A40" s="164"/>
      <c r="B40" s="530" t="s">
        <v>1204</v>
      </c>
      <c r="C40" s="524">
        <v>889</v>
      </c>
      <c r="D40" s="525">
        <v>289</v>
      </c>
      <c r="E40" s="525"/>
      <c r="F40" s="526"/>
      <c r="G40" s="525"/>
      <c r="H40" s="196">
        <f>SUM(C40:G40)</f>
        <v>1178</v>
      </c>
      <c r="I40" s="528"/>
      <c r="J40" s="526"/>
      <c r="K40" s="526"/>
      <c r="L40" s="196">
        <f>SUM(I40:K40)</f>
        <v>0</v>
      </c>
      <c r="M40" s="195">
        <f>SUM(H40+L40)</f>
        <v>1178</v>
      </c>
      <c r="N40" s="529"/>
      <c r="O40" s="195">
        <f>SUM(M40+N40)</f>
        <v>1178</v>
      </c>
    </row>
    <row r="41" spans="1:16" ht="17.25" thickTop="1" thickBot="1" x14ac:dyDescent="0.3">
      <c r="A41" s="157"/>
      <c r="B41" s="156" t="s">
        <v>381</v>
      </c>
      <c r="C41" s="155">
        <f>+C27+C31+C40+C32+C33+C34+C35+C36+C37+C38</f>
        <v>92113</v>
      </c>
      <c r="D41" s="155">
        <f t="shared" ref="D41:O41" si="11">+D27+D31+D40+D32+D33+D34+D35+D36+D37+D38</f>
        <v>15200</v>
      </c>
      <c r="E41" s="155">
        <f t="shared" si="11"/>
        <v>27943</v>
      </c>
      <c r="F41" s="155">
        <f t="shared" si="11"/>
        <v>0</v>
      </c>
      <c r="G41" s="155">
        <f t="shared" si="11"/>
        <v>0</v>
      </c>
      <c r="H41" s="155">
        <f t="shared" si="11"/>
        <v>135256</v>
      </c>
      <c r="I41" s="155">
        <f t="shared" si="11"/>
        <v>31</v>
      </c>
      <c r="J41" s="155">
        <f t="shared" si="11"/>
        <v>0</v>
      </c>
      <c r="K41" s="155">
        <f t="shared" si="11"/>
        <v>0</v>
      </c>
      <c r="L41" s="155">
        <f t="shared" si="11"/>
        <v>31</v>
      </c>
      <c r="M41" s="155">
        <f t="shared" si="11"/>
        <v>135287</v>
      </c>
      <c r="N41" s="155">
        <f t="shared" si="11"/>
        <v>0</v>
      </c>
      <c r="O41" s="155">
        <f t="shared" si="11"/>
        <v>135287</v>
      </c>
    </row>
    <row r="42" spans="1:16" ht="17.25" thickTop="1" thickBot="1" x14ac:dyDescent="0.3">
      <c r="A42" s="157"/>
      <c r="B42" s="156" t="s">
        <v>380</v>
      </c>
      <c r="C42" s="155">
        <f t="shared" ref="C42:O42" si="12">+C28+C31+C32+C33+C34+C35+C36+C37+C38</f>
        <v>43804</v>
      </c>
      <c r="D42" s="155">
        <f t="shared" si="12"/>
        <v>6828</v>
      </c>
      <c r="E42" s="155">
        <f t="shared" si="12"/>
        <v>10314</v>
      </c>
      <c r="F42" s="155">
        <f t="shared" si="12"/>
        <v>0</v>
      </c>
      <c r="G42" s="155">
        <f t="shared" si="12"/>
        <v>0</v>
      </c>
      <c r="H42" s="155">
        <f t="shared" si="12"/>
        <v>60946</v>
      </c>
      <c r="I42" s="155">
        <f t="shared" si="12"/>
        <v>31</v>
      </c>
      <c r="J42" s="155">
        <f t="shared" si="12"/>
        <v>0</v>
      </c>
      <c r="K42" s="155">
        <f t="shared" si="12"/>
        <v>0</v>
      </c>
      <c r="L42" s="155">
        <f t="shared" si="12"/>
        <v>31</v>
      </c>
      <c r="M42" s="155">
        <f t="shared" si="12"/>
        <v>60977</v>
      </c>
      <c r="N42" s="155">
        <f t="shared" si="12"/>
        <v>0</v>
      </c>
      <c r="O42" s="155">
        <f t="shared" si="12"/>
        <v>60977</v>
      </c>
      <c r="P42" s="150"/>
    </row>
    <row r="43" spans="1:16" ht="17.25" thickTop="1" thickBot="1" x14ac:dyDescent="0.3">
      <c r="A43" s="157"/>
      <c r="B43" s="156" t="s">
        <v>379</v>
      </c>
      <c r="C43" s="155">
        <f>+C29+C40</f>
        <v>48309</v>
      </c>
      <c r="D43" s="155">
        <f t="shared" ref="D43:O43" si="13">+D29+D40</f>
        <v>8372</v>
      </c>
      <c r="E43" s="155">
        <f t="shared" si="13"/>
        <v>17629</v>
      </c>
      <c r="F43" s="155">
        <f t="shared" si="13"/>
        <v>0</v>
      </c>
      <c r="G43" s="155">
        <f t="shared" si="13"/>
        <v>0</v>
      </c>
      <c r="H43" s="155">
        <f t="shared" si="13"/>
        <v>74310</v>
      </c>
      <c r="I43" s="155">
        <f t="shared" si="13"/>
        <v>0</v>
      </c>
      <c r="J43" s="155">
        <f t="shared" si="13"/>
        <v>0</v>
      </c>
      <c r="K43" s="155">
        <f t="shared" si="13"/>
        <v>0</v>
      </c>
      <c r="L43" s="155">
        <f t="shared" si="13"/>
        <v>0</v>
      </c>
      <c r="M43" s="155">
        <f t="shared" si="13"/>
        <v>74310</v>
      </c>
      <c r="N43" s="155">
        <f t="shared" si="13"/>
        <v>0</v>
      </c>
      <c r="O43" s="155">
        <f t="shared" si="13"/>
        <v>74310</v>
      </c>
    </row>
    <row r="44" spans="1:16" ht="17.25" thickTop="1" thickBot="1" x14ac:dyDescent="0.3">
      <c r="A44" s="157"/>
      <c r="B44" s="156" t="s">
        <v>410</v>
      </c>
      <c r="C44" s="155">
        <f t="shared" ref="C44:O44" si="14">SUM(C23+C41)</f>
        <v>747851</v>
      </c>
      <c r="D44" s="155">
        <f t="shared" si="14"/>
        <v>132438</v>
      </c>
      <c r="E44" s="155">
        <f t="shared" si="14"/>
        <v>439549</v>
      </c>
      <c r="F44" s="155">
        <f t="shared" si="14"/>
        <v>0</v>
      </c>
      <c r="G44" s="155">
        <f t="shared" si="14"/>
        <v>0</v>
      </c>
      <c r="H44" s="155">
        <f t="shared" si="14"/>
        <v>1319838</v>
      </c>
      <c r="I44" s="155">
        <f t="shared" si="14"/>
        <v>7815</v>
      </c>
      <c r="J44" s="155">
        <f t="shared" si="14"/>
        <v>0</v>
      </c>
      <c r="K44" s="155">
        <f t="shared" si="14"/>
        <v>0</v>
      </c>
      <c r="L44" s="155">
        <f t="shared" si="14"/>
        <v>7815</v>
      </c>
      <c r="M44" s="155">
        <f t="shared" si="14"/>
        <v>1327653</v>
      </c>
      <c r="N44" s="155">
        <f t="shared" si="14"/>
        <v>0</v>
      </c>
      <c r="O44" s="155">
        <f t="shared" si="14"/>
        <v>1327653</v>
      </c>
    </row>
    <row r="45" spans="1:16" ht="16.5" thickTop="1" x14ac:dyDescent="0.25">
      <c r="A45" s="164" t="s">
        <v>147</v>
      </c>
      <c r="B45" s="533" t="s">
        <v>409</v>
      </c>
      <c r="C45" s="534"/>
      <c r="D45" s="535"/>
      <c r="E45" s="525"/>
      <c r="F45" s="525"/>
      <c r="G45" s="535"/>
      <c r="H45" s="527"/>
      <c r="I45" s="536"/>
      <c r="J45" s="537"/>
      <c r="K45" s="537"/>
      <c r="L45" s="527"/>
      <c r="M45" s="538"/>
      <c r="N45" s="538"/>
      <c r="O45" s="538"/>
    </row>
    <row r="46" spans="1:16" x14ac:dyDescent="0.25">
      <c r="A46" s="164"/>
      <c r="B46" s="530" t="s">
        <v>349</v>
      </c>
      <c r="C46" s="534">
        <f>SUM(C47:C48)</f>
        <v>73962</v>
      </c>
      <c r="D46" s="534">
        <f>SUM(D47:D48)</f>
        <v>12590</v>
      </c>
      <c r="E46" s="534">
        <f>SUM(E47:E48)</f>
        <v>16687</v>
      </c>
      <c r="F46" s="535"/>
      <c r="G46" s="525"/>
      <c r="H46" s="527">
        <f>SUM(C46:G46)</f>
        <v>103239</v>
      </c>
      <c r="I46" s="528"/>
      <c r="J46" s="526"/>
      <c r="K46" s="526"/>
      <c r="L46" s="527">
        <f>SUM(I46:K46)</f>
        <v>0</v>
      </c>
      <c r="M46" s="529">
        <f>SUM(H46+L46)</f>
        <v>103239</v>
      </c>
      <c r="N46" s="529"/>
      <c r="O46" s="538">
        <f>SUM(M46+N46)</f>
        <v>103239</v>
      </c>
    </row>
    <row r="47" spans="1:16" s="168" customFormat="1" x14ac:dyDescent="0.25">
      <c r="A47" s="177"/>
      <c r="B47" s="165" t="s">
        <v>383</v>
      </c>
      <c r="C47" s="185">
        <v>73962</v>
      </c>
      <c r="D47" s="175">
        <v>12590</v>
      </c>
      <c r="E47" s="175">
        <v>16687</v>
      </c>
      <c r="F47" s="171"/>
      <c r="G47" s="175"/>
      <c r="H47" s="527">
        <f>SUM(C47:G47)</f>
        <v>103239</v>
      </c>
      <c r="I47" s="528"/>
      <c r="J47" s="526"/>
      <c r="K47" s="526"/>
      <c r="L47" s="527">
        <f>SUM(I47:K47)</f>
        <v>0</v>
      </c>
      <c r="M47" s="529">
        <f>SUM(H47+L47)</f>
        <v>103239</v>
      </c>
      <c r="N47" s="529"/>
      <c r="O47" s="538">
        <f>SUM(M47+N47)</f>
        <v>103239</v>
      </c>
    </row>
    <row r="48" spans="1:16" s="168" customFormat="1" x14ac:dyDescent="0.25">
      <c r="A48" s="177"/>
      <c r="B48" s="165" t="s">
        <v>382</v>
      </c>
      <c r="C48" s="176"/>
      <c r="D48" s="173"/>
      <c r="E48" s="175"/>
      <c r="F48" s="173"/>
      <c r="G48" s="175"/>
      <c r="H48" s="170">
        <f>SUM(C48:G48)</f>
        <v>0</v>
      </c>
      <c r="I48" s="172"/>
      <c r="J48" s="171"/>
      <c r="K48" s="171"/>
      <c r="L48" s="170">
        <f>SUM(I48:K48)</f>
        <v>0</v>
      </c>
      <c r="M48" s="169">
        <f>SUM(H48+L48)</f>
        <v>0</v>
      </c>
      <c r="N48" s="169"/>
      <c r="O48" s="222">
        <f>SUM(M48+N48)</f>
        <v>0</v>
      </c>
    </row>
    <row r="49" spans="1:16" x14ac:dyDescent="0.25">
      <c r="A49" s="164"/>
      <c r="B49" s="165" t="s">
        <v>132</v>
      </c>
      <c r="C49" s="534"/>
      <c r="D49" s="535"/>
      <c r="E49" s="525"/>
      <c r="F49" s="535"/>
      <c r="G49" s="525"/>
      <c r="H49" s="170"/>
      <c r="I49" s="528"/>
      <c r="J49" s="526"/>
      <c r="K49" s="526"/>
      <c r="L49" s="170"/>
      <c r="M49" s="169"/>
      <c r="N49" s="529"/>
      <c r="O49" s="222"/>
    </row>
    <row r="50" spans="1:16" ht="30.75" customHeight="1" x14ac:dyDescent="0.25">
      <c r="A50" s="164"/>
      <c r="B50" s="530" t="s">
        <v>1196</v>
      </c>
      <c r="C50" s="534">
        <v>5435</v>
      </c>
      <c r="D50" s="535">
        <v>1009</v>
      </c>
      <c r="E50" s="525">
        <v>1316</v>
      </c>
      <c r="F50" s="535"/>
      <c r="G50" s="525"/>
      <c r="H50" s="196">
        <f t="shared" ref="H50:H57" si="15">SUM(C50:G50)</f>
        <v>7760</v>
      </c>
      <c r="I50" s="528"/>
      <c r="J50" s="526"/>
      <c r="K50" s="526"/>
      <c r="L50" s="196">
        <f t="shared" ref="L50:L57" si="16">SUM(I50:K50)</f>
        <v>0</v>
      </c>
      <c r="M50" s="195">
        <f t="shared" ref="M50:M57" si="17">SUM(H50+L50)</f>
        <v>7760</v>
      </c>
      <c r="N50" s="529"/>
      <c r="O50" s="223">
        <f t="shared" ref="O50:O57" si="18">SUM(M50+N50)</f>
        <v>7760</v>
      </c>
    </row>
    <row r="51" spans="1:16" ht="31.5" x14ac:dyDescent="0.25">
      <c r="A51" s="164"/>
      <c r="B51" s="530" t="s">
        <v>1252</v>
      </c>
      <c r="C51" s="534">
        <v>32</v>
      </c>
      <c r="D51" s="535">
        <v>6</v>
      </c>
      <c r="E51" s="525"/>
      <c r="F51" s="535"/>
      <c r="G51" s="525"/>
      <c r="H51" s="196">
        <f t="shared" si="15"/>
        <v>38</v>
      </c>
      <c r="I51" s="528"/>
      <c r="J51" s="526"/>
      <c r="K51" s="526"/>
      <c r="L51" s="196">
        <f t="shared" si="16"/>
        <v>0</v>
      </c>
      <c r="M51" s="195">
        <f t="shared" si="17"/>
        <v>38</v>
      </c>
      <c r="N51" s="529"/>
      <c r="O51" s="223">
        <f t="shared" si="18"/>
        <v>38</v>
      </c>
    </row>
    <row r="52" spans="1:16" ht="31.5" x14ac:dyDescent="0.25">
      <c r="A52" s="164"/>
      <c r="B52" s="530" t="s">
        <v>1253</v>
      </c>
      <c r="C52" s="534">
        <v>453</v>
      </c>
      <c r="D52" s="535">
        <v>79</v>
      </c>
      <c r="E52" s="525"/>
      <c r="F52" s="535"/>
      <c r="G52" s="525"/>
      <c r="H52" s="196">
        <f t="shared" si="15"/>
        <v>532</v>
      </c>
      <c r="I52" s="528"/>
      <c r="J52" s="526"/>
      <c r="K52" s="526"/>
      <c r="L52" s="196">
        <f t="shared" si="16"/>
        <v>0</v>
      </c>
      <c r="M52" s="195">
        <f t="shared" si="17"/>
        <v>532</v>
      </c>
      <c r="N52" s="529"/>
      <c r="O52" s="223">
        <f t="shared" si="18"/>
        <v>532</v>
      </c>
    </row>
    <row r="53" spans="1:16" ht="31.5" x14ac:dyDescent="0.25">
      <c r="A53" s="164"/>
      <c r="B53" s="530" t="s">
        <v>1198</v>
      </c>
      <c r="C53" s="534"/>
      <c r="D53" s="535">
        <v>-705</v>
      </c>
      <c r="E53" s="525"/>
      <c r="F53" s="535"/>
      <c r="G53" s="525"/>
      <c r="H53" s="196">
        <f t="shared" si="15"/>
        <v>-705</v>
      </c>
      <c r="I53" s="528"/>
      <c r="J53" s="526"/>
      <c r="K53" s="526"/>
      <c r="L53" s="196">
        <f t="shared" si="16"/>
        <v>0</v>
      </c>
      <c r="M53" s="195">
        <f t="shared" si="17"/>
        <v>-705</v>
      </c>
      <c r="N53" s="529"/>
      <c r="O53" s="223">
        <f t="shared" si="18"/>
        <v>-705</v>
      </c>
    </row>
    <row r="54" spans="1:16" x14ac:dyDescent="0.25">
      <c r="A54" s="164"/>
      <c r="B54" s="530" t="s">
        <v>1199</v>
      </c>
      <c r="C54" s="534">
        <v>-513</v>
      </c>
      <c r="D54" s="535">
        <v>-90</v>
      </c>
      <c r="E54" s="525"/>
      <c r="F54" s="535"/>
      <c r="G54" s="525"/>
      <c r="H54" s="196">
        <f t="shared" si="15"/>
        <v>-603</v>
      </c>
      <c r="I54" s="528"/>
      <c r="J54" s="526"/>
      <c r="K54" s="526"/>
      <c r="L54" s="196">
        <f t="shared" si="16"/>
        <v>0</v>
      </c>
      <c r="M54" s="195">
        <f t="shared" si="17"/>
        <v>-603</v>
      </c>
      <c r="N54" s="529"/>
      <c r="O54" s="223">
        <f t="shared" si="18"/>
        <v>-603</v>
      </c>
    </row>
    <row r="55" spans="1:16" ht="31.5" x14ac:dyDescent="0.25">
      <c r="A55" s="164"/>
      <c r="B55" s="530" t="s">
        <v>1254</v>
      </c>
      <c r="C55" s="534"/>
      <c r="D55" s="535"/>
      <c r="E55" s="525">
        <v>85</v>
      </c>
      <c r="F55" s="535"/>
      <c r="G55" s="525"/>
      <c r="H55" s="196">
        <f t="shared" si="15"/>
        <v>85</v>
      </c>
      <c r="I55" s="528"/>
      <c r="J55" s="526"/>
      <c r="K55" s="526"/>
      <c r="L55" s="196">
        <f t="shared" si="16"/>
        <v>0</v>
      </c>
      <c r="M55" s="195">
        <f t="shared" si="17"/>
        <v>85</v>
      </c>
      <c r="N55" s="529"/>
      <c r="O55" s="223">
        <f t="shared" si="18"/>
        <v>85</v>
      </c>
    </row>
    <row r="56" spans="1:16" x14ac:dyDescent="0.25">
      <c r="A56" s="164"/>
      <c r="B56" s="530" t="s">
        <v>1201</v>
      </c>
      <c r="C56" s="534"/>
      <c r="D56" s="535"/>
      <c r="E56" s="525">
        <v>-1833</v>
      </c>
      <c r="F56" s="535"/>
      <c r="G56" s="525"/>
      <c r="H56" s="196">
        <f t="shared" si="15"/>
        <v>-1833</v>
      </c>
      <c r="I56" s="528"/>
      <c r="J56" s="526"/>
      <c r="K56" s="526"/>
      <c r="L56" s="196">
        <f t="shared" si="16"/>
        <v>0</v>
      </c>
      <c r="M56" s="195">
        <f t="shared" si="17"/>
        <v>-1833</v>
      </c>
      <c r="N56" s="529"/>
      <c r="O56" s="223">
        <f t="shared" si="18"/>
        <v>-1833</v>
      </c>
    </row>
    <row r="57" spans="1:16" ht="31.5" x14ac:dyDescent="0.25">
      <c r="A57" s="164"/>
      <c r="B57" s="530" t="s">
        <v>1202</v>
      </c>
      <c r="C57" s="534">
        <v>50</v>
      </c>
      <c r="D57" s="535">
        <v>9</v>
      </c>
      <c r="E57" s="525"/>
      <c r="F57" s="535"/>
      <c r="G57" s="525"/>
      <c r="H57" s="196">
        <f t="shared" si="15"/>
        <v>59</v>
      </c>
      <c r="I57" s="528"/>
      <c r="J57" s="526"/>
      <c r="K57" s="526"/>
      <c r="L57" s="196">
        <f t="shared" si="16"/>
        <v>0</v>
      </c>
      <c r="M57" s="195">
        <f t="shared" si="17"/>
        <v>59</v>
      </c>
      <c r="N57" s="529"/>
      <c r="O57" s="223">
        <f t="shared" si="18"/>
        <v>59</v>
      </c>
    </row>
    <row r="58" spans="1:16" x14ac:dyDescent="0.25">
      <c r="A58" s="167"/>
      <c r="B58" s="523" t="s">
        <v>133</v>
      </c>
      <c r="C58" s="524"/>
      <c r="D58" s="525"/>
      <c r="E58" s="525"/>
      <c r="F58" s="525"/>
      <c r="G58" s="525"/>
      <c r="H58" s="196"/>
      <c r="I58" s="528"/>
      <c r="J58" s="526"/>
      <c r="K58" s="526"/>
      <c r="L58" s="196"/>
      <c r="M58" s="196"/>
      <c r="N58" s="527"/>
      <c r="O58" s="196"/>
    </row>
    <row r="59" spans="1:16" ht="16.5" thickBot="1" x14ac:dyDescent="0.3">
      <c r="A59" s="953"/>
      <c r="B59" s="954" t="s">
        <v>1204</v>
      </c>
      <c r="C59" s="955">
        <v>813</v>
      </c>
      <c r="D59" s="955">
        <v>264</v>
      </c>
      <c r="E59" s="955"/>
      <c r="F59" s="955"/>
      <c r="G59" s="955"/>
      <c r="H59" s="956">
        <f>SUM(C59:G59)</f>
        <v>1077</v>
      </c>
      <c r="I59" s="955"/>
      <c r="J59" s="955"/>
      <c r="K59" s="955"/>
      <c r="L59" s="956">
        <f>SUM(I59:K59)</f>
        <v>0</v>
      </c>
      <c r="M59" s="956">
        <f>SUM(H59+L59)</f>
        <v>1077</v>
      </c>
      <c r="N59" s="955"/>
      <c r="O59" s="956">
        <f>SUM(M59+N59)</f>
        <v>1077</v>
      </c>
    </row>
    <row r="60" spans="1:16" ht="17.25" thickTop="1" thickBot="1" x14ac:dyDescent="0.3">
      <c r="A60" s="157"/>
      <c r="B60" s="156" t="s">
        <v>381</v>
      </c>
      <c r="C60" s="155">
        <f>+C46+C50+C59+C51+C52+C53+C54+C55+C56+C57</f>
        <v>80232</v>
      </c>
      <c r="D60" s="155">
        <f t="shared" ref="D60:O60" si="19">+D46+D50+D59+D51+D52+D53+D54+D55+D56+D57</f>
        <v>13162</v>
      </c>
      <c r="E60" s="155">
        <f t="shared" si="19"/>
        <v>16255</v>
      </c>
      <c r="F60" s="155">
        <f t="shared" si="19"/>
        <v>0</v>
      </c>
      <c r="G60" s="155">
        <f t="shared" si="19"/>
        <v>0</v>
      </c>
      <c r="H60" s="155">
        <f t="shared" si="19"/>
        <v>109649</v>
      </c>
      <c r="I60" s="155">
        <f t="shared" si="19"/>
        <v>0</v>
      </c>
      <c r="J60" s="155">
        <f t="shared" si="19"/>
        <v>0</v>
      </c>
      <c r="K60" s="155">
        <f t="shared" si="19"/>
        <v>0</v>
      </c>
      <c r="L60" s="155">
        <f t="shared" si="19"/>
        <v>0</v>
      </c>
      <c r="M60" s="155">
        <f t="shared" si="19"/>
        <v>109649</v>
      </c>
      <c r="N60" s="155">
        <f t="shared" si="19"/>
        <v>0</v>
      </c>
      <c r="O60" s="155">
        <f t="shared" si="19"/>
        <v>109649</v>
      </c>
      <c r="P60" s="150"/>
    </row>
    <row r="61" spans="1:16" ht="17.25" thickTop="1" thickBot="1" x14ac:dyDescent="0.3">
      <c r="A61" s="157"/>
      <c r="B61" s="156" t="s">
        <v>380</v>
      </c>
      <c r="C61" s="155">
        <f t="shared" ref="C61:O61" si="20">+C47+C50+C51+C52+C53+C54+C55+C56+C57</f>
        <v>79419</v>
      </c>
      <c r="D61" s="155">
        <f t="shared" si="20"/>
        <v>12898</v>
      </c>
      <c r="E61" s="155">
        <f t="shared" si="20"/>
        <v>16255</v>
      </c>
      <c r="F61" s="155">
        <f t="shared" si="20"/>
        <v>0</v>
      </c>
      <c r="G61" s="155">
        <f t="shared" si="20"/>
        <v>0</v>
      </c>
      <c r="H61" s="155">
        <f t="shared" si="20"/>
        <v>108572</v>
      </c>
      <c r="I61" s="155">
        <f t="shared" si="20"/>
        <v>0</v>
      </c>
      <c r="J61" s="155">
        <f t="shared" si="20"/>
        <v>0</v>
      </c>
      <c r="K61" s="155">
        <f t="shared" si="20"/>
        <v>0</v>
      </c>
      <c r="L61" s="155">
        <f t="shared" si="20"/>
        <v>0</v>
      </c>
      <c r="M61" s="155">
        <f t="shared" si="20"/>
        <v>108572</v>
      </c>
      <c r="N61" s="155">
        <f t="shared" si="20"/>
        <v>0</v>
      </c>
      <c r="O61" s="155">
        <f t="shared" si="20"/>
        <v>108572</v>
      </c>
    </row>
    <row r="62" spans="1:16" ht="17.25" thickTop="1" thickBot="1" x14ac:dyDescent="0.3">
      <c r="A62" s="157"/>
      <c r="B62" s="156" t="s">
        <v>379</v>
      </c>
      <c r="C62" s="155">
        <f>+C48+C59</f>
        <v>813</v>
      </c>
      <c r="D62" s="155">
        <f t="shared" ref="D62:O62" si="21">+D48+D59</f>
        <v>264</v>
      </c>
      <c r="E62" s="155">
        <f t="shared" si="21"/>
        <v>0</v>
      </c>
      <c r="F62" s="155">
        <f t="shared" si="21"/>
        <v>0</v>
      </c>
      <c r="G62" s="155">
        <f t="shared" si="21"/>
        <v>0</v>
      </c>
      <c r="H62" s="155">
        <f t="shared" si="21"/>
        <v>1077</v>
      </c>
      <c r="I62" s="155">
        <f t="shared" si="21"/>
        <v>0</v>
      </c>
      <c r="J62" s="155">
        <f t="shared" si="21"/>
        <v>0</v>
      </c>
      <c r="K62" s="155">
        <f t="shared" si="21"/>
        <v>0</v>
      </c>
      <c r="L62" s="155">
        <f t="shared" si="21"/>
        <v>0</v>
      </c>
      <c r="M62" s="155">
        <f t="shared" si="21"/>
        <v>1077</v>
      </c>
      <c r="N62" s="155">
        <f t="shared" si="21"/>
        <v>0</v>
      </c>
      <c r="O62" s="155">
        <f t="shared" si="21"/>
        <v>1077</v>
      </c>
    </row>
    <row r="63" spans="1:16" ht="16.5" thickTop="1" x14ac:dyDescent="0.25">
      <c r="A63" s="164" t="s">
        <v>148</v>
      </c>
      <c r="B63" s="523" t="s">
        <v>827</v>
      </c>
      <c r="C63" s="524"/>
      <c r="D63" s="525"/>
      <c r="E63" s="525"/>
      <c r="F63" s="532"/>
      <c r="G63" s="525"/>
      <c r="H63" s="527"/>
      <c r="I63" s="528"/>
      <c r="J63" s="526"/>
      <c r="K63" s="526"/>
      <c r="L63" s="527"/>
      <c r="M63" s="527"/>
      <c r="N63" s="527"/>
      <c r="O63" s="527"/>
    </row>
    <row r="64" spans="1:16" x14ac:dyDescent="0.25">
      <c r="A64" s="164"/>
      <c r="B64" s="530" t="s">
        <v>349</v>
      </c>
      <c r="C64" s="524">
        <f>SUM(C65:C66)</f>
        <v>79868</v>
      </c>
      <c r="D64" s="524">
        <f>SUM(D65:D66)</f>
        <v>13686</v>
      </c>
      <c r="E64" s="524">
        <f>SUM(E65:E66)</f>
        <v>13809</v>
      </c>
      <c r="F64" s="526"/>
      <c r="G64" s="525"/>
      <c r="H64" s="527">
        <f>SUM(C64:G64)</f>
        <v>107363</v>
      </c>
      <c r="I64" s="531"/>
      <c r="J64" s="532"/>
      <c r="K64" s="532"/>
      <c r="L64" s="527">
        <f>SUM(I64:K64)</f>
        <v>0</v>
      </c>
      <c r="M64" s="529">
        <f>SUM(H64+L64)</f>
        <v>107363</v>
      </c>
      <c r="N64" s="529"/>
      <c r="O64" s="529">
        <f>SUM(M64+N64)</f>
        <v>107363</v>
      </c>
    </row>
    <row r="65" spans="1:16" s="168" customFormat="1" x14ac:dyDescent="0.25">
      <c r="A65" s="177"/>
      <c r="B65" s="165" t="s">
        <v>383</v>
      </c>
      <c r="C65" s="185">
        <v>79868</v>
      </c>
      <c r="D65" s="175">
        <v>13686</v>
      </c>
      <c r="E65" s="175">
        <v>13809</v>
      </c>
      <c r="F65" s="171"/>
      <c r="G65" s="175"/>
      <c r="H65" s="170">
        <f>SUM(C65:G65)</f>
        <v>107363</v>
      </c>
      <c r="I65" s="203"/>
      <c r="J65" s="179"/>
      <c r="K65" s="179"/>
      <c r="L65" s="170">
        <f>SUM(I65:K65)</f>
        <v>0</v>
      </c>
      <c r="M65" s="169">
        <f>SUM(H65+L65)</f>
        <v>107363</v>
      </c>
      <c r="N65" s="169"/>
      <c r="O65" s="169">
        <f>SUM(M65+N65)</f>
        <v>107363</v>
      </c>
    </row>
    <row r="66" spans="1:16" s="168" customFormat="1" x14ac:dyDescent="0.25">
      <c r="A66" s="177"/>
      <c r="B66" s="165" t="s">
        <v>382</v>
      </c>
      <c r="C66" s="185"/>
      <c r="D66" s="175"/>
      <c r="E66" s="175"/>
      <c r="F66" s="171"/>
      <c r="G66" s="175"/>
      <c r="H66" s="170">
        <f>SUM(C66:G66)</f>
        <v>0</v>
      </c>
      <c r="I66" s="203"/>
      <c r="J66" s="179"/>
      <c r="K66" s="179"/>
      <c r="L66" s="170">
        <f>SUM(I66:K66)</f>
        <v>0</v>
      </c>
      <c r="M66" s="169">
        <f>SUM(H66+L66)</f>
        <v>0</v>
      </c>
      <c r="N66" s="169"/>
      <c r="O66" s="169">
        <f>SUM(M66+N66)</f>
        <v>0</v>
      </c>
    </row>
    <row r="67" spans="1:16" x14ac:dyDescent="0.25">
      <c r="A67" s="202"/>
      <c r="B67" s="165" t="s">
        <v>132</v>
      </c>
      <c r="C67" s="201"/>
      <c r="D67" s="199"/>
      <c r="E67" s="199"/>
      <c r="F67" s="200"/>
      <c r="G67" s="199"/>
      <c r="H67" s="170"/>
      <c r="I67" s="198"/>
      <c r="J67" s="197"/>
      <c r="K67" s="197"/>
      <c r="L67" s="170"/>
      <c r="M67" s="169"/>
      <c r="N67" s="195"/>
      <c r="O67" s="169"/>
    </row>
    <row r="68" spans="1:16" ht="33.75" customHeight="1" x14ac:dyDescent="0.25">
      <c r="A68" s="202"/>
      <c r="B68" s="530" t="s">
        <v>1196</v>
      </c>
      <c r="C68" s="201">
        <v>5881</v>
      </c>
      <c r="D68" s="199">
        <v>1095</v>
      </c>
      <c r="E68" s="199">
        <v>631</v>
      </c>
      <c r="F68" s="200"/>
      <c r="G68" s="199"/>
      <c r="H68" s="196">
        <f t="shared" ref="H68:H75" si="22">SUM(C68:G68)</f>
        <v>7607</v>
      </c>
      <c r="I68" s="198"/>
      <c r="J68" s="197"/>
      <c r="K68" s="197"/>
      <c r="L68" s="196">
        <f t="shared" ref="L68:L75" si="23">SUM(I68:K68)</f>
        <v>0</v>
      </c>
      <c r="M68" s="195">
        <f t="shared" ref="M68:M75" si="24">SUM(H68+L68)</f>
        <v>7607</v>
      </c>
      <c r="N68" s="195"/>
      <c r="O68" s="195">
        <f t="shared" ref="O68:O75" si="25">SUM(M68+N68)</f>
        <v>7607</v>
      </c>
    </row>
    <row r="69" spans="1:16" ht="31.5" x14ac:dyDescent="0.25">
      <c r="A69" s="202"/>
      <c r="B69" s="530" t="s">
        <v>1252</v>
      </c>
      <c r="C69" s="201">
        <v>100</v>
      </c>
      <c r="D69" s="199">
        <v>18</v>
      </c>
      <c r="E69" s="199"/>
      <c r="F69" s="200"/>
      <c r="G69" s="199"/>
      <c r="H69" s="196">
        <f t="shared" si="22"/>
        <v>118</v>
      </c>
      <c r="I69" s="198"/>
      <c r="J69" s="197"/>
      <c r="K69" s="197"/>
      <c r="L69" s="196">
        <f t="shared" si="23"/>
        <v>0</v>
      </c>
      <c r="M69" s="195">
        <f t="shared" si="24"/>
        <v>118</v>
      </c>
      <c r="N69" s="195"/>
      <c r="O69" s="195">
        <f t="shared" si="25"/>
        <v>118</v>
      </c>
    </row>
    <row r="70" spans="1:16" ht="31.5" x14ac:dyDescent="0.25">
      <c r="A70" s="202"/>
      <c r="B70" s="530" t="s">
        <v>1253</v>
      </c>
      <c r="C70" s="201">
        <v>506</v>
      </c>
      <c r="D70" s="199">
        <v>88</v>
      </c>
      <c r="E70" s="199"/>
      <c r="F70" s="200"/>
      <c r="G70" s="199"/>
      <c r="H70" s="196">
        <f t="shared" si="22"/>
        <v>594</v>
      </c>
      <c r="I70" s="198"/>
      <c r="J70" s="197"/>
      <c r="K70" s="197"/>
      <c r="L70" s="196">
        <f t="shared" si="23"/>
        <v>0</v>
      </c>
      <c r="M70" s="195">
        <f t="shared" si="24"/>
        <v>594</v>
      </c>
      <c r="N70" s="195"/>
      <c r="O70" s="195">
        <f t="shared" si="25"/>
        <v>594</v>
      </c>
    </row>
    <row r="71" spans="1:16" ht="31.5" x14ac:dyDescent="0.25">
      <c r="A71" s="202"/>
      <c r="B71" s="530" t="s">
        <v>1198</v>
      </c>
      <c r="C71" s="201"/>
      <c r="D71" s="199">
        <v>-767</v>
      </c>
      <c r="E71" s="199"/>
      <c r="F71" s="200"/>
      <c r="G71" s="199"/>
      <c r="H71" s="196">
        <f t="shared" si="22"/>
        <v>-767</v>
      </c>
      <c r="I71" s="198"/>
      <c r="J71" s="197"/>
      <c r="K71" s="197"/>
      <c r="L71" s="196">
        <f t="shared" si="23"/>
        <v>0</v>
      </c>
      <c r="M71" s="195">
        <f t="shared" si="24"/>
        <v>-767</v>
      </c>
      <c r="N71" s="195"/>
      <c r="O71" s="195">
        <f t="shared" si="25"/>
        <v>-767</v>
      </c>
    </row>
    <row r="72" spans="1:16" x14ac:dyDescent="0.25">
      <c r="A72" s="202"/>
      <c r="B72" s="530" t="s">
        <v>1199</v>
      </c>
      <c r="C72" s="201">
        <v>-514</v>
      </c>
      <c r="D72" s="199">
        <v>-90</v>
      </c>
      <c r="E72" s="199"/>
      <c r="F72" s="200"/>
      <c r="G72" s="199"/>
      <c r="H72" s="196">
        <f t="shared" si="22"/>
        <v>-604</v>
      </c>
      <c r="I72" s="198"/>
      <c r="J72" s="197"/>
      <c r="K72" s="197"/>
      <c r="L72" s="196">
        <f t="shared" si="23"/>
        <v>0</v>
      </c>
      <c r="M72" s="195">
        <f t="shared" si="24"/>
        <v>-604</v>
      </c>
      <c r="N72" s="195"/>
      <c r="O72" s="195">
        <f t="shared" si="25"/>
        <v>-604</v>
      </c>
    </row>
    <row r="73" spans="1:16" ht="47.25" x14ac:dyDescent="0.25">
      <c r="A73" s="202"/>
      <c r="B73" s="530" t="s">
        <v>1200</v>
      </c>
      <c r="C73" s="201">
        <v>900</v>
      </c>
      <c r="D73" s="199">
        <v>158</v>
      </c>
      <c r="E73" s="199"/>
      <c r="F73" s="200"/>
      <c r="G73" s="199"/>
      <c r="H73" s="196">
        <f t="shared" si="22"/>
        <v>1058</v>
      </c>
      <c r="I73" s="198"/>
      <c r="J73" s="197"/>
      <c r="K73" s="197"/>
      <c r="L73" s="196">
        <f t="shared" si="23"/>
        <v>0</v>
      </c>
      <c r="M73" s="195">
        <f t="shared" si="24"/>
        <v>1058</v>
      </c>
      <c r="N73" s="195"/>
      <c r="O73" s="195">
        <f t="shared" si="25"/>
        <v>1058</v>
      </c>
    </row>
    <row r="74" spans="1:16" x14ac:dyDescent="0.25">
      <c r="A74" s="202"/>
      <c r="B74" s="530" t="s">
        <v>1201</v>
      </c>
      <c r="C74" s="201"/>
      <c r="D74" s="199"/>
      <c r="E74" s="199">
        <v>-1870</v>
      </c>
      <c r="F74" s="200"/>
      <c r="G74" s="199"/>
      <c r="H74" s="196">
        <f t="shared" si="22"/>
        <v>-1870</v>
      </c>
      <c r="I74" s="198"/>
      <c r="J74" s="197"/>
      <c r="K74" s="197"/>
      <c r="L74" s="196">
        <f t="shared" si="23"/>
        <v>0</v>
      </c>
      <c r="M74" s="195">
        <f t="shared" si="24"/>
        <v>-1870</v>
      </c>
      <c r="N74" s="195"/>
      <c r="O74" s="195">
        <f t="shared" si="25"/>
        <v>-1870</v>
      </c>
    </row>
    <row r="75" spans="1:16" ht="31.5" x14ac:dyDescent="0.25">
      <c r="A75" s="202"/>
      <c r="B75" s="530" t="s">
        <v>1208</v>
      </c>
      <c r="C75" s="201">
        <v>330</v>
      </c>
      <c r="D75" s="199">
        <v>50</v>
      </c>
      <c r="E75" s="199"/>
      <c r="F75" s="200"/>
      <c r="G75" s="199"/>
      <c r="H75" s="196">
        <f t="shared" si="22"/>
        <v>380</v>
      </c>
      <c r="I75" s="198"/>
      <c r="J75" s="197"/>
      <c r="K75" s="197"/>
      <c r="L75" s="196">
        <f t="shared" si="23"/>
        <v>0</v>
      </c>
      <c r="M75" s="195">
        <f t="shared" si="24"/>
        <v>380</v>
      </c>
      <c r="N75" s="195"/>
      <c r="O75" s="195">
        <f t="shared" si="25"/>
        <v>380</v>
      </c>
    </row>
    <row r="76" spans="1:16" x14ac:dyDescent="0.25">
      <c r="A76" s="202"/>
      <c r="B76" s="165" t="s">
        <v>133</v>
      </c>
      <c r="C76" s="201"/>
      <c r="D76" s="199"/>
      <c r="E76" s="199"/>
      <c r="F76" s="200"/>
      <c r="G76" s="199"/>
      <c r="H76" s="170"/>
      <c r="I76" s="198"/>
      <c r="J76" s="197"/>
      <c r="K76" s="197"/>
      <c r="L76" s="170"/>
      <c r="M76" s="169"/>
      <c r="N76" s="195"/>
      <c r="O76" s="169"/>
    </row>
    <row r="77" spans="1:16" ht="16.5" thickBot="1" x14ac:dyDescent="0.3">
      <c r="A77" s="202"/>
      <c r="B77" s="530" t="s">
        <v>1204</v>
      </c>
      <c r="C77" s="201">
        <v>856</v>
      </c>
      <c r="D77" s="199">
        <v>278</v>
      </c>
      <c r="E77" s="199"/>
      <c r="F77" s="200"/>
      <c r="G77" s="199"/>
      <c r="H77" s="196">
        <f>SUM(C77:G77)</f>
        <v>1134</v>
      </c>
      <c r="I77" s="198"/>
      <c r="J77" s="197"/>
      <c r="K77" s="197"/>
      <c r="L77" s="196">
        <f>SUM(I77:K77)</f>
        <v>0</v>
      </c>
      <c r="M77" s="195">
        <f>SUM(H77+L77)</f>
        <v>1134</v>
      </c>
      <c r="N77" s="195"/>
      <c r="O77" s="195">
        <f>SUM(M77+N77)</f>
        <v>1134</v>
      </c>
    </row>
    <row r="78" spans="1:16" ht="17.25" thickTop="1" thickBot="1" x14ac:dyDescent="0.3">
      <c r="A78" s="157"/>
      <c r="B78" s="156" t="s">
        <v>381</v>
      </c>
      <c r="C78" s="155">
        <f>+C64+C68+C77+C69+C70+C71+C72+C73+C74+C75</f>
        <v>87927</v>
      </c>
      <c r="D78" s="155">
        <f t="shared" ref="D78:O78" si="26">+D64+D68+D77+D69+D70+D71+D72+D73+D74+D75</f>
        <v>14516</v>
      </c>
      <c r="E78" s="155">
        <f t="shared" si="26"/>
        <v>12570</v>
      </c>
      <c r="F78" s="155">
        <f t="shared" si="26"/>
        <v>0</v>
      </c>
      <c r="G78" s="155">
        <f t="shared" si="26"/>
        <v>0</v>
      </c>
      <c r="H78" s="155">
        <f t="shared" si="26"/>
        <v>115013</v>
      </c>
      <c r="I78" s="155">
        <f t="shared" si="26"/>
        <v>0</v>
      </c>
      <c r="J78" s="155">
        <f t="shared" si="26"/>
        <v>0</v>
      </c>
      <c r="K78" s="155">
        <f t="shared" si="26"/>
        <v>0</v>
      </c>
      <c r="L78" s="155">
        <f t="shared" si="26"/>
        <v>0</v>
      </c>
      <c r="M78" s="155">
        <f t="shared" si="26"/>
        <v>115013</v>
      </c>
      <c r="N78" s="155">
        <f t="shared" si="26"/>
        <v>0</v>
      </c>
      <c r="O78" s="155">
        <f t="shared" si="26"/>
        <v>115013</v>
      </c>
      <c r="P78" s="150"/>
    </row>
    <row r="79" spans="1:16" ht="17.25" thickTop="1" thickBot="1" x14ac:dyDescent="0.3">
      <c r="A79" s="157"/>
      <c r="B79" s="156" t="s">
        <v>380</v>
      </c>
      <c r="C79" s="155">
        <f t="shared" ref="C79:O79" si="27">+C65+C68+C69+C70+C71+C72+C73+C74+C75</f>
        <v>87071</v>
      </c>
      <c r="D79" s="155">
        <f t="shared" si="27"/>
        <v>14238</v>
      </c>
      <c r="E79" s="155">
        <f t="shared" si="27"/>
        <v>12570</v>
      </c>
      <c r="F79" s="155">
        <f t="shared" si="27"/>
        <v>0</v>
      </c>
      <c r="G79" s="155">
        <f t="shared" si="27"/>
        <v>0</v>
      </c>
      <c r="H79" s="155">
        <f t="shared" si="27"/>
        <v>113879</v>
      </c>
      <c r="I79" s="155">
        <f t="shared" si="27"/>
        <v>0</v>
      </c>
      <c r="J79" s="155">
        <f t="shared" si="27"/>
        <v>0</v>
      </c>
      <c r="K79" s="155">
        <f t="shared" si="27"/>
        <v>0</v>
      </c>
      <c r="L79" s="155">
        <f t="shared" si="27"/>
        <v>0</v>
      </c>
      <c r="M79" s="155">
        <f t="shared" si="27"/>
        <v>113879</v>
      </c>
      <c r="N79" s="155">
        <f t="shared" si="27"/>
        <v>0</v>
      </c>
      <c r="O79" s="155">
        <f t="shared" si="27"/>
        <v>113879</v>
      </c>
    </row>
    <row r="80" spans="1:16" ht="17.25" thickTop="1" thickBot="1" x14ac:dyDescent="0.3">
      <c r="A80" s="157"/>
      <c r="B80" s="156" t="s">
        <v>379</v>
      </c>
      <c r="C80" s="155">
        <f>+C66+C77</f>
        <v>856</v>
      </c>
      <c r="D80" s="155">
        <f t="shared" ref="D80:O80" si="28">+D66+D77</f>
        <v>278</v>
      </c>
      <c r="E80" s="155">
        <f t="shared" si="28"/>
        <v>0</v>
      </c>
      <c r="F80" s="155">
        <f t="shared" si="28"/>
        <v>0</v>
      </c>
      <c r="G80" s="155">
        <f t="shared" si="28"/>
        <v>0</v>
      </c>
      <c r="H80" s="155">
        <f t="shared" si="28"/>
        <v>1134</v>
      </c>
      <c r="I80" s="155">
        <f t="shared" si="28"/>
        <v>0</v>
      </c>
      <c r="J80" s="155">
        <f t="shared" si="28"/>
        <v>0</v>
      </c>
      <c r="K80" s="155">
        <f t="shared" si="28"/>
        <v>0</v>
      </c>
      <c r="L80" s="155">
        <f t="shared" si="28"/>
        <v>0</v>
      </c>
      <c r="M80" s="155">
        <f t="shared" si="28"/>
        <v>1134</v>
      </c>
      <c r="N80" s="155">
        <f t="shared" si="28"/>
        <v>0</v>
      </c>
      <c r="O80" s="155">
        <f t="shared" si="28"/>
        <v>1134</v>
      </c>
    </row>
    <row r="81" spans="1:16" ht="16.5" thickTop="1" x14ac:dyDescent="0.25">
      <c r="A81" s="164" t="s">
        <v>149</v>
      </c>
      <c r="B81" s="523" t="s">
        <v>408</v>
      </c>
      <c r="C81" s="524"/>
      <c r="D81" s="525"/>
      <c r="E81" s="525"/>
      <c r="F81" s="532"/>
      <c r="G81" s="525"/>
      <c r="H81" s="527"/>
      <c r="I81" s="528"/>
      <c r="J81" s="526"/>
      <c r="K81" s="526"/>
      <c r="L81" s="527"/>
      <c r="M81" s="527"/>
      <c r="N81" s="527"/>
      <c r="O81" s="527"/>
    </row>
    <row r="82" spans="1:16" x14ac:dyDescent="0.25">
      <c r="A82" s="164"/>
      <c r="B82" s="530" t="s">
        <v>349</v>
      </c>
      <c r="C82" s="524">
        <f>SUM(C83:C84)</f>
        <v>77201</v>
      </c>
      <c r="D82" s="524">
        <f>SUM(D83:D84)</f>
        <v>13153</v>
      </c>
      <c r="E82" s="524">
        <f>SUM(E83:E84)</f>
        <v>12269</v>
      </c>
      <c r="F82" s="526"/>
      <c r="G82" s="525"/>
      <c r="H82" s="527">
        <f>SUM(C82:G82)</f>
        <v>102623</v>
      </c>
      <c r="I82" s="528"/>
      <c r="J82" s="526"/>
      <c r="K82" s="526"/>
      <c r="L82" s="527">
        <f>SUM(I82:K82)</f>
        <v>0</v>
      </c>
      <c r="M82" s="529">
        <f>SUM(H82+L82)</f>
        <v>102623</v>
      </c>
      <c r="N82" s="529"/>
      <c r="O82" s="529">
        <f>SUM(M82+N82)</f>
        <v>102623</v>
      </c>
    </row>
    <row r="83" spans="1:16" s="168" customFormat="1" x14ac:dyDescent="0.25">
      <c r="A83" s="177"/>
      <c r="B83" s="165" t="s">
        <v>383</v>
      </c>
      <c r="C83" s="185">
        <v>77201</v>
      </c>
      <c r="D83" s="175">
        <v>13153</v>
      </c>
      <c r="E83" s="175">
        <v>12269</v>
      </c>
      <c r="F83" s="171"/>
      <c r="G83" s="175"/>
      <c r="H83" s="170">
        <f>SUM(C83:G83)</f>
        <v>102623</v>
      </c>
      <c r="I83" s="172"/>
      <c r="J83" s="171"/>
      <c r="K83" s="171"/>
      <c r="L83" s="170">
        <f>SUM(I83:K83)</f>
        <v>0</v>
      </c>
      <c r="M83" s="169">
        <f>SUM(H83+L83)</f>
        <v>102623</v>
      </c>
      <c r="N83" s="169"/>
      <c r="O83" s="169">
        <f>SUM(M83+N83)</f>
        <v>102623</v>
      </c>
    </row>
    <row r="84" spans="1:16" s="168" customFormat="1" x14ac:dyDescent="0.25">
      <c r="A84" s="177"/>
      <c r="B84" s="165" t="s">
        <v>382</v>
      </c>
      <c r="C84" s="185"/>
      <c r="D84" s="175"/>
      <c r="E84" s="175"/>
      <c r="F84" s="171"/>
      <c r="G84" s="175"/>
      <c r="H84" s="170">
        <f>SUM(C84:G84)</f>
        <v>0</v>
      </c>
      <c r="I84" s="172"/>
      <c r="J84" s="171"/>
      <c r="K84" s="171"/>
      <c r="L84" s="170">
        <f>SUM(I84:K84)</f>
        <v>0</v>
      </c>
      <c r="M84" s="169">
        <f>SUM(H84+L84)</f>
        <v>0</v>
      </c>
      <c r="N84" s="169"/>
      <c r="O84" s="169">
        <f>SUM(M84+N84)</f>
        <v>0</v>
      </c>
    </row>
    <row r="85" spans="1:16" s="168" customFormat="1" x14ac:dyDescent="0.25">
      <c r="A85" s="177"/>
      <c r="B85" s="165" t="s">
        <v>132</v>
      </c>
      <c r="C85" s="185"/>
      <c r="D85" s="175"/>
      <c r="E85" s="175"/>
      <c r="F85" s="171"/>
      <c r="G85" s="175"/>
      <c r="H85" s="170"/>
      <c r="I85" s="172"/>
      <c r="J85" s="171"/>
      <c r="K85" s="171"/>
      <c r="L85" s="170"/>
      <c r="M85" s="169"/>
      <c r="N85" s="169"/>
      <c r="O85" s="169"/>
    </row>
    <row r="86" spans="1:16" s="168" customFormat="1" ht="31.5" customHeight="1" x14ac:dyDescent="0.25">
      <c r="A86" s="177"/>
      <c r="B86" s="530" t="s">
        <v>1196</v>
      </c>
      <c r="C86" s="201">
        <v>5818</v>
      </c>
      <c r="D86" s="199">
        <v>1029</v>
      </c>
      <c r="E86" s="199"/>
      <c r="F86" s="200"/>
      <c r="G86" s="199"/>
      <c r="H86" s="196">
        <f t="shared" ref="H86:H92" si="29">SUM(C86:G86)</f>
        <v>6847</v>
      </c>
      <c r="I86" s="218"/>
      <c r="J86" s="200"/>
      <c r="K86" s="200"/>
      <c r="L86" s="196">
        <f t="shared" ref="L86:L92" si="30">SUM(I86:K86)</f>
        <v>0</v>
      </c>
      <c r="M86" s="195">
        <f t="shared" ref="M86:M92" si="31">SUM(H86+L86)</f>
        <v>6847</v>
      </c>
      <c r="N86" s="195"/>
      <c r="O86" s="195">
        <f t="shared" ref="O86:O92" si="32">SUM(M86+N86)</f>
        <v>6847</v>
      </c>
    </row>
    <row r="87" spans="1:16" s="168" customFormat="1" ht="31.5" x14ac:dyDescent="0.25">
      <c r="A87" s="186"/>
      <c r="B87" s="523" t="s">
        <v>1252</v>
      </c>
      <c r="C87" s="201">
        <v>41</v>
      </c>
      <c r="D87" s="199">
        <v>7</v>
      </c>
      <c r="E87" s="199"/>
      <c r="F87" s="200"/>
      <c r="G87" s="199"/>
      <c r="H87" s="196">
        <f t="shared" si="29"/>
        <v>48</v>
      </c>
      <c r="I87" s="218"/>
      <c r="J87" s="200"/>
      <c r="K87" s="200"/>
      <c r="L87" s="196">
        <f t="shared" si="30"/>
        <v>0</v>
      </c>
      <c r="M87" s="196">
        <f t="shared" si="31"/>
        <v>48</v>
      </c>
      <c r="N87" s="196"/>
      <c r="O87" s="196">
        <f t="shared" si="32"/>
        <v>48</v>
      </c>
    </row>
    <row r="88" spans="1:16" s="168" customFormat="1" ht="31.5" x14ac:dyDescent="0.25">
      <c r="A88" s="186"/>
      <c r="B88" s="523" t="s">
        <v>1253</v>
      </c>
      <c r="C88" s="201">
        <v>542</v>
      </c>
      <c r="D88" s="199">
        <v>95</v>
      </c>
      <c r="E88" s="199"/>
      <c r="F88" s="200"/>
      <c r="G88" s="199"/>
      <c r="H88" s="196">
        <f t="shared" si="29"/>
        <v>637</v>
      </c>
      <c r="I88" s="218"/>
      <c r="J88" s="200"/>
      <c r="K88" s="200"/>
      <c r="L88" s="196">
        <f t="shared" si="30"/>
        <v>0</v>
      </c>
      <c r="M88" s="196">
        <f t="shared" si="31"/>
        <v>637</v>
      </c>
      <c r="N88" s="196"/>
      <c r="O88" s="196">
        <f t="shared" si="32"/>
        <v>637</v>
      </c>
    </row>
    <row r="89" spans="1:16" s="168" customFormat="1" ht="31.5" x14ac:dyDescent="0.25">
      <c r="A89" s="177"/>
      <c r="B89" s="530" t="s">
        <v>1198</v>
      </c>
      <c r="C89" s="201"/>
      <c r="D89" s="199">
        <v>-738</v>
      </c>
      <c r="E89" s="199"/>
      <c r="F89" s="200"/>
      <c r="G89" s="199"/>
      <c r="H89" s="196">
        <f t="shared" si="29"/>
        <v>-738</v>
      </c>
      <c r="I89" s="218"/>
      <c r="J89" s="200"/>
      <c r="K89" s="200"/>
      <c r="L89" s="196">
        <f t="shared" si="30"/>
        <v>0</v>
      </c>
      <c r="M89" s="195">
        <f t="shared" si="31"/>
        <v>-738</v>
      </c>
      <c r="N89" s="195"/>
      <c r="O89" s="195">
        <f t="shared" si="32"/>
        <v>-738</v>
      </c>
    </row>
    <row r="90" spans="1:16" s="168" customFormat="1" x14ac:dyDescent="0.25">
      <c r="A90" s="177"/>
      <c r="B90" s="530" t="s">
        <v>1199</v>
      </c>
      <c r="C90" s="201">
        <v>-503</v>
      </c>
      <c r="D90" s="199">
        <v>-88</v>
      </c>
      <c r="E90" s="199"/>
      <c r="F90" s="200"/>
      <c r="G90" s="199"/>
      <c r="H90" s="196">
        <f t="shared" si="29"/>
        <v>-591</v>
      </c>
      <c r="I90" s="218"/>
      <c r="J90" s="200"/>
      <c r="K90" s="200"/>
      <c r="L90" s="196">
        <f t="shared" si="30"/>
        <v>0</v>
      </c>
      <c r="M90" s="195">
        <f t="shared" si="31"/>
        <v>-591</v>
      </c>
      <c r="N90" s="195"/>
      <c r="O90" s="195">
        <f t="shared" si="32"/>
        <v>-591</v>
      </c>
    </row>
    <row r="91" spans="1:16" s="168" customFormat="1" x14ac:dyDescent="0.25">
      <c r="A91" s="177"/>
      <c r="B91" s="530" t="s">
        <v>1201</v>
      </c>
      <c r="C91" s="201"/>
      <c r="D91" s="199"/>
      <c r="E91" s="199">
        <v>-1771</v>
      </c>
      <c r="F91" s="200"/>
      <c r="G91" s="199"/>
      <c r="H91" s="196">
        <f t="shared" si="29"/>
        <v>-1771</v>
      </c>
      <c r="I91" s="218"/>
      <c r="J91" s="200"/>
      <c r="K91" s="200"/>
      <c r="L91" s="196">
        <f t="shared" si="30"/>
        <v>0</v>
      </c>
      <c r="M91" s="195">
        <f t="shared" si="31"/>
        <v>-1771</v>
      </c>
      <c r="N91" s="195"/>
      <c r="O91" s="195">
        <f t="shared" si="32"/>
        <v>-1771</v>
      </c>
    </row>
    <row r="92" spans="1:16" s="168" customFormat="1" ht="31.5" x14ac:dyDescent="0.25">
      <c r="A92" s="177"/>
      <c r="B92" s="530" t="s">
        <v>1202</v>
      </c>
      <c r="C92" s="201">
        <v>50</v>
      </c>
      <c r="D92" s="199">
        <v>9</v>
      </c>
      <c r="E92" s="199"/>
      <c r="F92" s="200"/>
      <c r="G92" s="199"/>
      <c r="H92" s="196">
        <f t="shared" si="29"/>
        <v>59</v>
      </c>
      <c r="I92" s="218"/>
      <c r="J92" s="200"/>
      <c r="K92" s="200"/>
      <c r="L92" s="196">
        <f t="shared" si="30"/>
        <v>0</v>
      </c>
      <c r="M92" s="195">
        <f t="shared" si="31"/>
        <v>59</v>
      </c>
      <c r="N92" s="195"/>
      <c r="O92" s="195">
        <f t="shared" si="32"/>
        <v>59</v>
      </c>
    </row>
    <row r="93" spans="1:16" s="168" customFormat="1" x14ac:dyDescent="0.25">
      <c r="A93" s="177"/>
      <c r="B93" s="165" t="s">
        <v>133</v>
      </c>
      <c r="C93" s="185"/>
      <c r="D93" s="175"/>
      <c r="E93" s="175"/>
      <c r="F93" s="171"/>
      <c r="G93" s="175"/>
      <c r="H93" s="170"/>
      <c r="I93" s="172"/>
      <c r="J93" s="171"/>
      <c r="K93" s="171"/>
      <c r="L93" s="170"/>
      <c r="M93" s="169"/>
      <c r="N93" s="169"/>
      <c r="O93" s="169"/>
    </row>
    <row r="94" spans="1:16" s="168" customFormat="1" ht="16.5" thickBot="1" x14ac:dyDescent="0.3">
      <c r="A94" s="177"/>
      <c r="B94" s="530" t="s">
        <v>1204</v>
      </c>
      <c r="C94" s="201">
        <v>889</v>
      </c>
      <c r="D94" s="199">
        <v>289</v>
      </c>
      <c r="E94" s="199"/>
      <c r="F94" s="200"/>
      <c r="G94" s="199"/>
      <c r="H94" s="196">
        <f>SUM(C94:G94)</f>
        <v>1178</v>
      </c>
      <c r="I94" s="218"/>
      <c r="J94" s="200"/>
      <c r="K94" s="200"/>
      <c r="L94" s="196">
        <f>SUM(I94:K94)</f>
        <v>0</v>
      </c>
      <c r="M94" s="195">
        <f>SUM(H94+L94)</f>
        <v>1178</v>
      </c>
      <c r="N94" s="195"/>
      <c r="O94" s="195">
        <f>SUM(M94+N94)</f>
        <v>1178</v>
      </c>
    </row>
    <row r="95" spans="1:16" ht="17.25" thickTop="1" thickBot="1" x14ac:dyDescent="0.3">
      <c r="A95" s="157"/>
      <c r="B95" s="156" t="s">
        <v>381</v>
      </c>
      <c r="C95" s="155">
        <f>+C82+C86+C94+C87+C88+C89+C90+C91+C92</f>
        <v>84038</v>
      </c>
      <c r="D95" s="155">
        <f t="shared" ref="D95:O95" si="33">+D82+D86+D94+D87+D88+D89+D90+D91+D92</f>
        <v>13756</v>
      </c>
      <c r="E95" s="155">
        <f t="shared" si="33"/>
        <v>10498</v>
      </c>
      <c r="F95" s="155">
        <f t="shared" si="33"/>
        <v>0</v>
      </c>
      <c r="G95" s="155">
        <f t="shared" si="33"/>
        <v>0</v>
      </c>
      <c r="H95" s="155">
        <f t="shared" si="33"/>
        <v>108292</v>
      </c>
      <c r="I95" s="155">
        <f t="shared" si="33"/>
        <v>0</v>
      </c>
      <c r="J95" s="155">
        <f t="shared" si="33"/>
        <v>0</v>
      </c>
      <c r="K95" s="155">
        <f t="shared" si="33"/>
        <v>0</v>
      </c>
      <c r="L95" s="155">
        <f t="shared" si="33"/>
        <v>0</v>
      </c>
      <c r="M95" s="155">
        <f t="shared" si="33"/>
        <v>108292</v>
      </c>
      <c r="N95" s="155">
        <f t="shared" si="33"/>
        <v>0</v>
      </c>
      <c r="O95" s="155">
        <f t="shared" si="33"/>
        <v>108292</v>
      </c>
      <c r="P95" s="150"/>
    </row>
    <row r="96" spans="1:16" ht="17.25" thickTop="1" thickBot="1" x14ac:dyDescent="0.3">
      <c r="A96" s="157"/>
      <c r="B96" s="156" t="s">
        <v>380</v>
      </c>
      <c r="C96" s="155">
        <f>+C83+C86+C87+C88+C89+C90+C91+C92</f>
        <v>83149</v>
      </c>
      <c r="D96" s="155">
        <f t="shared" ref="D96:O96" si="34">+D83+D86+D87+D88+D89+D90+D91+D92</f>
        <v>13467</v>
      </c>
      <c r="E96" s="155">
        <f t="shared" si="34"/>
        <v>10498</v>
      </c>
      <c r="F96" s="155">
        <f t="shared" si="34"/>
        <v>0</v>
      </c>
      <c r="G96" s="155">
        <f t="shared" si="34"/>
        <v>0</v>
      </c>
      <c r="H96" s="155">
        <f t="shared" si="34"/>
        <v>107114</v>
      </c>
      <c r="I96" s="155">
        <f t="shared" si="34"/>
        <v>0</v>
      </c>
      <c r="J96" s="155">
        <f t="shared" si="34"/>
        <v>0</v>
      </c>
      <c r="K96" s="155">
        <f t="shared" si="34"/>
        <v>0</v>
      </c>
      <c r="L96" s="155">
        <f t="shared" si="34"/>
        <v>0</v>
      </c>
      <c r="M96" s="155">
        <f t="shared" si="34"/>
        <v>107114</v>
      </c>
      <c r="N96" s="155">
        <f t="shared" si="34"/>
        <v>0</v>
      </c>
      <c r="O96" s="155">
        <f t="shared" si="34"/>
        <v>107114</v>
      </c>
    </row>
    <row r="97" spans="1:16" ht="17.25" thickTop="1" thickBot="1" x14ac:dyDescent="0.3">
      <c r="A97" s="157"/>
      <c r="B97" s="156" t="s">
        <v>379</v>
      </c>
      <c r="C97" s="155">
        <f>+C84+C94</f>
        <v>889</v>
      </c>
      <c r="D97" s="155">
        <f t="shared" ref="D97:O97" si="35">+D84+D94</f>
        <v>289</v>
      </c>
      <c r="E97" s="155">
        <f t="shared" si="35"/>
        <v>0</v>
      </c>
      <c r="F97" s="155">
        <f t="shared" si="35"/>
        <v>0</v>
      </c>
      <c r="G97" s="155">
        <f t="shared" si="35"/>
        <v>0</v>
      </c>
      <c r="H97" s="155">
        <f t="shared" si="35"/>
        <v>1178</v>
      </c>
      <c r="I97" s="155">
        <f t="shared" si="35"/>
        <v>0</v>
      </c>
      <c r="J97" s="155">
        <f t="shared" si="35"/>
        <v>0</v>
      </c>
      <c r="K97" s="155">
        <f t="shared" si="35"/>
        <v>0</v>
      </c>
      <c r="L97" s="155">
        <f t="shared" si="35"/>
        <v>0</v>
      </c>
      <c r="M97" s="155">
        <f t="shared" si="35"/>
        <v>1178</v>
      </c>
      <c r="N97" s="155">
        <f t="shared" si="35"/>
        <v>0</v>
      </c>
      <c r="O97" s="155">
        <f t="shared" si="35"/>
        <v>1178</v>
      </c>
    </row>
    <row r="98" spans="1:16" ht="16.5" thickTop="1" x14ac:dyDescent="0.25">
      <c r="A98" s="161" t="s">
        <v>150</v>
      </c>
      <c r="B98" s="539" t="s">
        <v>407</v>
      </c>
      <c r="C98" s="540"/>
      <c r="D98" s="541"/>
      <c r="E98" s="541"/>
      <c r="F98" s="542"/>
      <c r="G98" s="541"/>
      <c r="H98" s="543"/>
      <c r="I98" s="544"/>
      <c r="J98" s="542"/>
      <c r="K98" s="542"/>
      <c r="L98" s="543"/>
      <c r="M98" s="543"/>
      <c r="N98" s="543"/>
      <c r="O98" s="543"/>
    </row>
    <row r="99" spans="1:16" x14ac:dyDescent="0.25">
      <c r="A99" s="164"/>
      <c r="B99" s="530" t="s">
        <v>349</v>
      </c>
      <c r="C99" s="524">
        <f>SUM(C100:C101)</f>
        <v>45780</v>
      </c>
      <c r="D99" s="524">
        <f>SUM(D100:D101)</f>
        <v>7888</v>
      </c>
      <c r="E99" s="524">
        <f>SUM(E100:E101)</f>
        <v>6677</v>
      </c>
      <c r="F99" s="526"/>
      <c r="G99" s="525"/>
      <c r="H99" s="527">
        <f>SUM(C99:G99)</f>
        <v>60345</v>
      </c>
      <c r="I99" s="528"/>
      <c r="J99" s="526"/>
      <c r="K99" s="526"/>
      <c r="L99" s="527">
        <f>SUM(I99:K99)</f>
        <v>0</v>
      </c>
      <c r="M99" s="529">
        <f>SUM(H99+L99)</f>
        <v>60345</v>
      </c>
      <c r="N99" s="529"/>
      <c r="O99" s="529">
        <f>SUM(M99+N99)</f>
        <v>60345</v>
      </c>
    </row>
    <row r="100" spans="1:16" s="168" customFormat="1" x14ac:dyDescent="0.25">
      <c r="A100" s="177"/>
      <c r="B100" s="165" t="s">
        <v>383</v>
      </c>
      <c r="C100" s="185">
        <v>45780</v>
      </c>
      <c r="D100" s="175">
        <v>7888</v>
      </c>
      <c r="E100" s="175">
        <v>6677</v>
      </c>
      <c r="F100" s="171"/>
      <c r="G100" s="175"/>
      <c r="H100" s="170">
        <f>SUM(C100:G100)</f>
        <v>60345</v>
      </c>
      <c r="I100" s="172"/>
      <c r="J100" s="171"/>
      <c r="K100" s="171"/>
      <c r="L100" s="170">
        <f>SUM(I100:K100)</f>
        <v>0</v>
      </c>
      <c r="M100" s="169">
        <f>SUM(H100+L100)</f>
        <v>60345</v>
      </c>
      <c r="N100" s="169"/>
      <c r="O100" s="169">
        <f>SUM(M100+N100)</f>
        <v>60345</v>
      </c>
    </row>
    <row r="101" spans="1:16" s="168" customFormat="1" x14ac:dyDescent="0.25">
      <c r="A101" s="177"/>
      <c r="B101" s="165" t="s">
        <v>382</v>
      </c>
      <c r="C101" s="185"/>
      <c r="D101" s="175"/>
      <c r="E101" s="175"/>
      <c r="F101" s="171"/>
      <c r="G101" s="175"/>
      <c r="H101" s="170">
        <f>SUM(C101:G101)</f>
        <v>0</v>
      </c>
      <c r="I101" s="172"/>
      <c r="J101" s="171"/>
      <c r="K101" s="171"/>
      <c r="L101" s="170">
        <f>SUM(I101:K101)</f>
        <v>0</v>
      </c>
      <c r="M101" s="169">
        <f>SUM(H101+L101)</f>
        <v>0</v>
      </c>
      <c r="N101" s="169"/>
      <c r="O101" s="169">
        <f>SUM(M101+N101)</f>
        <v>0</v>
      </c>
    </row>
    <row r="102" spans="1:16" s="168" customFormat="1" x14ac:dyDescent="0.25">
      <c r="A102" s="177"/>
      <c r="B102" s="165" t="s">
        <v>132</v>
      </c>
      <c r="C102" s="185"/>
      <c r="D102" s="175"/>
      <c r="E102" s="175"/>
      <c r="F102" s="171"/>
      <c r="G102" s="175"/>
      <c r="H102" s="170"/>
      <c r="I102" s="172"/>
      <c r="J102" s="171"/>
      <c r="K102" s="171"/>
      <c r="L102" s="170"/>
      <c r="M102" s="169"/>
      <c r="N102" s="169"/>
      <c r="O102" s="169"/>
    </row>
    <row r="103" spans="1:16" s="168" customFormat="1" ht="33.75" customHeight="1" x14ac:dyDescent="0.25">
      <c r="A103" s="177"/>
      <c r="B103" s="530" t="s">
        <v>1196</v>
      </c>
      <c r="C103" s="201">
        <v>3380</v>
      </c>
      <c r="D103" s="199">
        <v>601</v>
      </c>
      <c r="E103" s="199">
        <v>65</v>
      </c>
      <c r="F103" s="200"/>
      <c r="G103" s="199"/>
      <c r="H103" s="196">
        <f t="shared" ref="H103:H108" si="36">SUM(C103:G103)</f>
        <v>4046</v>
      </c>
      <c r="I103" s="218"/>
      <c r="J103" s="200"/>
      <c r="K103" s="200"/>
      <c r="L103" s="196">
        <f t="shared" ref="L103:L108" si="37">SUM(I103:K103)</f>
        <v>0</v>
      </c>
      <c r="M103" s="195">
        <f t="shared" ref="M103:M108" si="38">SUM(H103+L103)</f>
        <v>4046</v>
      </c>
      <c r="N103" s="195"/>
      <c r="O103" s="195">
        <f t="shared" ref="O103:O108" si="39">SUM(M103+N103)</f>
        <v>4046</v>
      </c>
    </row>
    <row r="104" spans="1:16" s="168" customFormat="1" ht="31.5" x14ac:dyDescent="0.25">
      <c r="A104" s="177"/>
      <c r="B104" s="530" t="s">
        <v>1252</v>
      </c>
      <c r="C104" s="201">
        <v>21</v>
      </c>
      <c r="D104" s="199">
        <v>4</v>
      </c>
      <c r="E104" s="199"/>
      <c r="F104" s="200"/>
      <c r="G104" s="199"/>
      <c r="H104" s="196">
        <f t="shared" si="36"/>
        <v>25</v>
      </c>
      <c r="I104" s="218"/>
      <c r="J104" s="200"/>
      <c r="K104" s="200"/>
      <c r="L104" s="196">
        <f t="shared" si="37"/>
        <v>0</v>
      </c>
      <c r="M104" s="195">
        <f t="shared" si="38"/>
        <v>25</v>
      </c>
      <c r="N104" s="195"/>
      <c r="O104" s="195">
        <f t="shared" si="39"/>
        <v>25</v>
      </c>
    </row>
    <row r="105" spans="1:16" s="168" customFormat="1" ht="31.5" x14ac:dyDescent="0.25">
      <c r="A105" s="177"/>
      <c r="B105" s="530" t="s">
        <v>1253</v>
      </c>
      <c r="C105" s="201">
        <v>278</v>
      </c>
      <c r="D105" s="199">
        <v>49</v>
      </c>
      <c r="E105" s="199"/>
      <c r="F105" s="200"/>
      <c r="G105" s="199"/>
      <c r="H105" s="196">
        <f t="shared" si="36"/>
        <v>327</v>
      </c>
      <c r="I105" s="218"/>
      <c r="J105" s="200"/>
      <c r="K105" s="200"/>
      <c r="L105" s="196">
        <f t="shared" si="37"/>
        <v>0</v>
      </c>
      <c r="M105" s="195">
        <f t="shared" si="38"/>
        <v>327</v>
      </c>
      <c r="N105" s="195"/>
      <c r="O105" s="195">
        <f t="shared" si="39"/>
        <v>327</v>
      </c>
    </row>
    <row r="106" spans="1:16" s="168" customFormat="1" ht="31.5" x14ac:dyDescent="0.25">
      <c r="A106" s="177"/>
      <c r="B106" s="530" t="s">
        <v>1198</v>
      </c>
      <c r="C106" s="201"/>
      <c r="D106" s="199">
        <v>-441</v>
      </c>
      <c r="E106" s="199"/>
      <c r="F106" s="200"/>
      <c r="G106" s="199"/>
      <c r="H106" s="196">
        <f t="shared" si="36"/>
        <v>-441</v>
      </c>
      <c r="I106" s="218"/>
      <c r="J106" s="200"/>
      <c r="K106" s="200"/>
      <c r="L106" s="196">
        <f t="shared" si="37"/>
        <v>0</v>
      </c>
      <c r="M106" s="195">
        <f t="shared" si="38"/>
        <v>-441</v>
      </c>
      <c r="N106" s="195"/>
      <c r="O106" s="195">
        <f t="shared" si="39"/>
        <v>-441</v>
      </c>
    </row>
    <row r="107" spans="1:16" s="168" customFormat="1" x14ac:dyDescent="0.25">
      <c r="A107" s="177"/>
      <c r="B107" s="530" t="s">
        <v>1199</v>
      </c>
      <c r="C107" s="201">
        <v>-312</v>
      </c>
      <c r="D107" s="199">
        <v>-55</v>
      </c>
      <c r="E107" s="199"/>
      <c r="F107" s="200"/>
      <c r="G107" s="199"/>
      <c r="H107" s="196">
        <f t="shared" si="36"/>
        <v>-367</v>
      </c>
      <c r="I107" s="218"/>
      <c r="J107" s="200"/>
      <c r="K107" s="200"/>
      <c r="L107" s="196">
        <f t="shared" si="37"/>
        <v>0</v>
      </c>
      <c r="M107" s="195">
        <f t="shared" si="38"/>
        <v>-367</v>
      </c>
      <c r="N107" s="195"/>
      <c r="O107" s="195">
        <f t="shared" si="39"/>
        <v>-367</v>
      </c>
    </row>
    <row r="108" spans="1:16" s="168" customFormat="1" x14ac:dyDescent="0.25">
      <c r="A108" s="177"/>
      <c r="B108" s="530" t="s">
        <v>1201</v>
      </c>
      <c r="C108" s="201"/>
      <c r="D108" s="199"/>
      <c r="E108" s="199">
        <v>-1056</v>
      </c>
      <c r="F108" s="200"/>
      <c r="G108" s="199"/>
      <c r="H108" s="196">
        <f t="shared" si="36"/>
        <v>-1056</v>
      </c>
      <c r="I108" s="218"/>
      <c r="J108" s="200"/>
      <c r="K108" s="200"/>
      <c r="L108" s="196">
        <f t="shared" si="37"/>
        <v>0</v>
      </c>
      <c r="M108" s="195">
        <f t="shared" si="38"/>
        <v>-1056</v>
      </c>
      <c r="N108" s="195"/>
      <c r="O108" s="195">
        <f t="shared" si="39"/>
        <v>-1056</v>
      </c>
    </row>
    <row r="109" spans="1:16" s="168" customFormat="1" x14ac:dyDescent="0.25">
      <c r="A109" s="177"/>
      <c r="B109" s="165" t="s">
        <v>133</v>
      </c>
      <c r="C109" s="185"/>
      <c r="D109" s="175"/>
      <c r="E109" s="175"/>
      <c r="F109" s="171"/>
      <c r="G109" s="175"/>
      <c r="H109" s="170"/>
      <c r="I109" s="172"/>
      <c r="J109" s="171"/>
      <c r="K109" s="171"/>
      <c r="L109" s="170"/>
      <c r="M109" s="169"/>
      <c r="N109" s="169"/>
      <c r="O109" s="169"/>
    </row>
    <row r="110" spans="1:16" s="168" customFormat="1" ht="16.5" thickBot="1" x14ac:dyDescent="0.3">
      <c r="A110" s="177"/>
      <c r="B110" s="530" t="s">
        <v>1204</v>
      </c>
      <c r="C110" s="201">
        <v>472</v>
      </c>
      <c r="D110" s="199">
        <v>154</v>
      </c>
      <c r="E110" s="199"/>
      <c r="F110" s="200"/>
      <c r="G110" s="199"/>
      <c r="H110" s="196">
        <f>SUM(C110:G110)</f>
        <v>626</v>
      </c>
      <c r="I110" s="218"/>
      <c r="J110" s="200"/>
      <c r="K110" s="200"/>
      <c r="L110" s="196">
        <f>SUM(I110:K110)</f>
        <v>0</v>
      </c>
      <c r="M110" s="195">
        <f>SUM(H110+L110)</f>
        <v>626</v>
      </c>
      <c r="N110" s="195"/>
      <c r="O110" s="195">
        <f>SUM(M110+N110)</f>
        <v>626</v>
      </c>
    </row>
    <row r="111" spans="1:16" ht="17.25" thickTop="1" thickBot="1" x14ac:dyDescent="0.3">
      <c r="A111" s="157"/>
      <c r="B111" s="156" t="s">
        <v>381</v>
      </c>
      <c r="C111" s="155">
        <f>+C99+C103+C110+C104+C105+C106+C107+C108</f>
        <v>49619</v>
      </c>
      <c r="D111" s="155">
        <f t="shared" ref="D111:O111" si="40">+D99+D103+D110+D104+D105+D106+D107+D108</f>
        <v>8200</v>
      </c>
      <c r="E111" s="155">
        <f t="shared" si="40"/>
        <v>5686</v>
      </c>
      <c r="F111" s="155">
        <f t="shared" si="40"/>
        <v>0</v>
      </c>
      <c r="G111" s="155">
        <f t="shared" si="40"/>
        <v>0</v>
      </c>
      <c r="H111" s="155">
        <f t="shared" si="40"/>
        <v>63505</v>
      </c>
      <c r="I111" s="155">
        <f t="shared" si="40"/>
        <v>0</v>
      </c>
      <c r="J111" s="155">
        <f t="shared" si="40"/>
        <v>0</v>
      </c>
      <c r="K111" s="155">
        <f t="shared" si="40"/>
        <v>0</v>
      </c>
      <c r="L111" s="155">
        <f t="shared" si="40"/>
        <v>0</v>
      </c>
      <c r="M111" s="155">
        <f t="shared" si="40"/>
        <v>63505</v>
      </c>
      <c r="N111" s="155">
        <f t="shared" si="40"/>
        <v>0</v>
      </c>
      <c r="O111" s="155">
        <f t="shared" si="40"/>
        <v>63505</v>
      </c>
      <c r="P111" s="150"/>
    </row>
    <row r="112" spans="1:16" ht="17.25" thickTop="1" thickBot="1" x14ac:dyDescent="0.3">
      <c r="A112" s="157"/>
      <c r="B112" s="156" t="s">
        <v>380</v>
      </c>
      <c r="C112" s="155">
        <f>+C100+C103+C104+C105+C106+C107+C108</f>
        <v>49147</v>
      </c>
      <c r="D112" s="155">
        <f t="shared" ref="D112:O112" si="41">+D100+D103+D104+D105+D106+D107+D108</f>
        <v>8046</v>
      </c>
      <c r="E112" s="155">
        <f t="shared" si="41"/>
        <v>5686</v>
      </c>
      <c r="F112" s="155">
        <f t="shared" si="41"/>
        <v>0</v>
      </c>
      <c r="G112" s="155">
        <f t="shared" si="41"/>
        <v>0</v>
      </c>
      <c r="H112" s="155">
        <f t="shared" si="41"/>
        <v>62879</v>
      </c>
      <c r="I112" s="155">
        <f t="shared" si="41"/>
        <v>0</v>
      </c>
      <c r="J112" s="155">
        <f t="shared" si="41"/>
        <v>0</v>
      </c>
      <c r="K112" s="155">
        <f t="shared" si="41"/>
        <v>0</v>
      </c>
      <c r="L112" s="155">
        <f t="shared" si="41"/>
        <v>0</v>
      </c>
      <c r="M112" s="155">
        <f t="shared" si="41"/>
        <v>62879</v>
      </c>
      <c r="N112" s="155">
        <f t="shared" si="41"/>
        <v>0</v>
      </c>
      <c r="O112" s="155">
        <f t="shared" si="41"/>
        <v>62879</v>
      </c>
    </row>
    <row r="113" spans="1:15" ht="17.25" thickTop="1" thickBot="1" x14ac:dyDescent="0.3">
      <c r="A113" s="157"/>
      <c r="B113" s="156" t="s">
        <v>379</v>
      </c>
      <c r="C113" s="155">
        <f>+C101+C110</f>
        <v>472</v>
      </c>
      <c r="D113" s="155">
        <f t="shared" ref="D113:O113" si="42">+D101+D110</f>
        <v>154</v>
      </c>
      <c r="E113" s="155">
        <f t="shared" si="42"/>
        <v>0</v>
      </c>
      <c r="F113" s="155">
        <f t="shared" si="42"/>
        <v>0</v>
      </c>
      <c r="G113" s="155">
        <f t="shared" si="42"/>
        <v>0</v>
      </c>
      <c r="H113" s="155">
        <f t="shared" si="42"/>
        <v>626</v>
      </c>
      <c r="I113" s="155">
        <f t="shared" si="42"/>
        <v>0</v>
      </c>
      <c r="J113" s="155">
        <f t="shared" si="42"/>
        <v>0</v>
      </c>
      <c r="K113" s="155">
        <f t="shared" si="42"/>
        <v>0</v>
      </c>
      <c r="L113" s="155">
        <f t="shared" si="42"/>
        <v>0</v>
      </c>
      <c r="M113" s="155">
        <f t="shared" si="42"/>
        <v>626</v>
      </c>
      <c r="N113" s="155">
        <f t="shared" si="42"/>
        <v>0</v>
      </c>
      <c r="O113" s="155">
        <f t="shared" si="42"/>
        <v>626</v>
      </c>
    </row>
    <row r="114" spans="1:15" ht="16.5" thickTop="1" x14ac:dyDescent="0.25">
      <c r="A114" s="164"/>
      <c r="B114" s="523" t="s">
        <v>822</v>
      </c>
      <c r="C114" s="524"/>
      <c r="D114" s="525"/>
      <c r="E114" s="525"/>
      <c r="F114" s="532"/>
      <c r="G114" s="525"/>
      <c r="H114" s="527"/>
      <c r="I114" s="528"/>
      <c r="J114" s="526"/>
      <c r="K114" s="526"/>
      <c r="L114" s="527"/>
      <c r="M114" s="527"/>
      <c r="N114" s="527"/>
      <c r="O114" s="527"/>
    </row>
    <row r="115" spans="1:15" x14ac:dyDescent="0.25">
      <c r="A115" s="164" t="s">
        <v>151</v>
      </c>
      <c r="B115" s="530" t="s">
        <v>349</v>
      </c>
      <c r="C115" s="524">
        <f>SUM(C116:C117)</f>
        <v>96538</v>
      </c>
      <c r="D115" s="524">
        <f>SUM(D116:D117)</f>
        <v>18582</v>
      </c>
      <c r="E115" s="524">
        <f>SUM(E116:E117)</f>
        <v>18626</v>
      </c>
      <c r="F115" s="526"/>
      <c r="G115" s="525"/>
      <c r="H115" s="527">
        <f>SUM(C115:G115)</f>
        <v>133746</v>
      </c>
      <c r="I115" s="528"/>
      <c r="J115" s="526"/>
      <c r="K115" s="526"/>
      <c r="L115" s="527">
        <f>SUM(I115:K115)</f>
        <v>0</v>
      </c>
      <c r="M115" s="529">
        <f>SUM(H115+L115)</f>
        <v>133746</v>
      </c>
      <c r="N115" s="529"/>
      <c r="O115" s="529">
        <f>SUM(M115+N115)</f>
        <v>133746</v>
      </c>
    </row>
    <row r="116" spans="1:15" s="168" customFormat="1" x14ac:dyDescent="0.25">
      <c r="A116" s="177"/>
      <c r="B116" s="165" t="s">
        <v>383</v>
      </c>
      <c r="C116" s="185">
        <v>96538</v>
      </c>
      <c r="D116" s="175">
        <v>18582</v>
      </c>
      <c r="E116" s="175">
        <v>18626</v>
      </c>
      <c r="F116" s="171"/>
      <c r="G116" s="175"/>
      <c r="H116" s="170">
        <f>SUM(C116:G116)</f>
        <v>133746</v>
      </c>
      <c r="I116" s="172"/>
      <c r="J116" s="171"/>
      <c r="K116" s="171"/>
      <c r="L116" s="170">
        <f>SUM(I116:K116)</f>
        <v>0</v>
      </c>
      <c r="M116" s="169">
        <f>SUM(H116+L116)</f>
        <v>133746</v>
      </c>
      <c r="N116" s="169"/>
      <c r="O116" s="169">
        <f>SUM(M116+N116)</f>
        <v>133746</v>
      </c>
    </row>
    <row r="117" spans="1:15" s="168" customFormat="1" x14ac:dyDescent="0.25">
      <c r="A117" s="177"/>
      <c r="B117" s="165" t="s">
        <v>382</v>
      </c>
      <c r="C117" s="185"/>
      <c r="D117" s="175"/>
      <c r="E117" s="175"/>
      <c r="F117" s="171"/>
      <c r="G117" s="175"/>
      <c r="H117" s="170">
        <f>SUM(C117:G117)</f>
        <v>0</v>
      </c>
      <c r="I117" s="172"/>
      <c r="J117" s="171"/>
      <c r="K117" s="171"/>
      <c r="L117" s="170">
        <f>SUM(I117:K117)</f>
        <v>0</v>
      </c>
      <c r="M117" s="169">
        <f>SUM(H117+L117)</f>
        <v>0</v>
      </c>
      <c r="N117" s="169"/>
      <c r="O117" s="169">
        <f>SUM(M117+N117)</f>
        <v>0</v>
      </c>
    </row>
    <row r="118" spans="1:15" s="168" customFormat="1" x14ac:dyDescent="0.25">
      <c r="A118" s="177"/>
      <c r="B118" s="165" t="s">
        <v>132</v>
      </c>
      <c r="C118" s="185"/>
      <c r="D118" s="175"/>
      <c r="E118" s="175"/>
      <c r="F118" s="171"/>
      <c r="G118" s="175"/>
      <c r="H118" s="170"/>
      <c r="I118" s="172"/>
      <c r="J118" s="171"/>
      <c r="K118" s="171"/>
      <c r="L118" s="170"/>
      <c r="M118" s="169"/>
      <c r="N118" s="169"/>
      <c r="O118" s="169"/>
    </row>
    <row r="119" spans="1:15" ht="33" customHeight="1" x14ac:dyDescent="0.25">
      <c r="A119" s="202"/>
      <c r="B119" s="530" t="s">
        <v>1196</v>
      </c>
      <c r="C119" s="201">
        <v>6732</v>
      </c>
      <c r="D119" s="199">
        <v>1265</v>
      </c>
      <c r="E119" s="199">
        <v>273</v>
      </c>
      <c r="F119" s="200"/>
      <c r="G119" s="199"/>
      <c r="H119" s="196">
        <f t="shared" ref="H119:H126" si="43">SUM(C119:G119)</f>
        <v>8270</v>
      </c>
      <c r="I119" s="218"/>
      <c r="J119" s="200"/>
      <c r="K119" s="200"/>
      <c r="L119" s="196">
        <f t="shared" ref="L119:L126" si="44">SUM(I119:K119)</f>
        <v>0</v>
      </c>
      <c r="M119" s="195">
        <f t="shared" ref="M119:M126" si="45">SUM(H119+L119)</f>
        <v>8270</v>
      </c>
      <c r="N119" s="195"/>
      <c r="O119" s="195">
        <f t="shared" ref="O119:O126" si="46">SUM(M119+N119)</f>
        <v>8270</v>
      </c>
    </row>
    <row r="120" spans="1:15" ht="31.5" x14ac:dyDescent="0.25">
      <c r="A120" s="202"/>
      <c r="B120" s="530" t="s">
        <v>1252</v>
      </c>
      <c r="C120" s="201">
        <v>310</v>
      </c>
      <c r="D120" s="199">
        <v>54</v>
      </c>
      <c r="E120" s="199"/>
      <c r="F120" s="200"/>
      <c r="G120" s="199"/>
      <c r="H120" s="196">
        <f t="shared" si="43"/>
        <v>364</v>
      </c>
      <c r="I120" s="218"/>
      <c r="J120" s="200"/>
      <c r="K120" s="200"/>
      <c r="L120" s="196">
        <f t="shared" si="44"/>
        <v>0</v>
      </c>
      <c r="M120" s="195">
        <f t="shared" si="45"/>
        <v>364</v>
      </c>
      <c r="N120" s="195"/>
      <c r="O120" s="195">
        <f t="shared" si="46"/>
        <v>364</v>
      </c>
    </row>
    <row r="121" spans="1:15" ht="31.5" x14ac:dyDescent="0.25">
      <c r="A121" s="202"/>
      <c r="B121" s="530" t="s">
        <v>1253</v>
      </c>
      <c r="C121" s="201">
        <v>474</v>
      </c>
      <c r="D121" s="199">
        <v>83</v>
      </c>
      <c r="E121" s="199"/>
      <c r="F121" s="200"/>
      <c r="G121" s="199"/>
      <c r="H121" s="196">
        <f t="shared" si="43"/>
        <v>557</v>
      </c>
      <c r="I121" s="218"/>
      <c r="J121" s="200"/>
      <c r="K121" s="200"/>
      <c r="L121" s="196">
        <f t="shared" si="44"/>
        <v>0</v>
      </c>
      <c r="M121" s="195">
        <f t="shared" si="45"/>
        <v>557</v>
      </c>
      <c r="N121" s="195"/>
      <c r="O121" s="195">
        <f t="shared" si="46"/>
        <v>557</v>
      </c>
    </row>
    <row r="122" spans="1:15" ht="31.5" x14ac:dyDescent="0.25">
      <c r="A122" s="202"/>
      <c r="B122" s="530" t="s">
        <v>1198</v>
      </c>
      <c r="C122" s="201"/>
      <c r="D122" s="199">
        <v>-930</v>
      </c>
      <c r="E122" s="199"/>
      <c r="F122" s="200"/>
      <c r="G122" s="199"/>
      <c r="H122" s="196">
        <f t="shared" si="43"/>
        <v>-930</v>
      </c>
      <c r="I122" s="218"/>
      <c r="J122" s="200"/>
      <c r="K122" s="200"/>
      <c r="L122" s="196">
        <f t="shared" si="44"/>
        <v>0</v>
      </c>
      <c r="M122" s="195">
        <f t="shared" si="45"/>
        <v>-930</v>
      </c>
      <c r="N122" s="195"/>
      <c r="O122" s="195">
        <f t="shared" si="46"/>
        <v>-930</v>
      </c>
    </row>
    <row r="123" spans="1:15" x14ac:dyDescent="0.25">
      <c r="A123" s="202"/>
      <c r="B123" s="530" t="s">
        <v>1199</v>
      </c>
      <c r="C123" s="201">
        <v>-571</v>
      </c>
      <c r="D123" s="199">
        <v>-100</v>
      </c>
      <c r="E123" s="199"/>
      <c r="F123" s="200"/>
      <c r="G123" s="199"/>
      <c r="H123" s="196">
        <f t="shared" si="43"/>
        <v>-671</v>
      </c>
      <c r="I123" s="218"/>
      <c r="J123" s="200"/>
      <c r="K123" s="200"/>
      <c r="L123" s="196">
        <f t="shared" si="44"/>
        <v>0</v>
      </c>
      <c r="M123" s="195">
        <f t="shared" si="45"/>
        <v>-671</v>
      </c>
      <c r="N123" s="195"/>
      <c r="O123" s="195">
        <f t="shared" si="46"/>
        <v>-671</v>
      </c>
    </row>
    <row r="124" spans="1:15" ht="31.5" x14ac:dyDescent="0.25">
      <c r="A124" s="202"/>
      <c r="B124" s="530" t="s">
        <v>1254</v>
      </c>
      <c r="C124" s="201"/>
      <c r="D124" s="199"/>
      <c r="E124" s="199">
        <v>158</v>
      </c>
      <c r="F124" s="200"/>
      <c r="G124" s="199"/>
      <c r="H124" s="196">
        <f t="shared" si="43"/>
        <v>158</v>
      </c>
      <c r="I124" s="218"/>
      <c r="J124" s="200"/>
      <c r="K124" s="200"/>
      <c r="L124" s="196">
        <f t="shared" si="44"/>
        <v>0</v>
      </c>
      <c r="M124" s="195">
        <f t="shared" si="45"/>
        <v>158</v>
      </c>
      <c r="N124" s="195"/>
      <c r="O124" s="195">
        <f t="shared" si="46"/>
        <v>158</v>
      </c>
    </row>
    <row r="125" spans="1:15" ht="47.25" x14ac:dyDescent="0.25">
      <c r="A125" s="202"/>
      <c r="B125" s="530" t="s">
        <v>1200</v>
      </c>
      <c r="C125" s="201">
        <v>394</v>
      </c>
      <c r="D125" s="199">
        <v>69</v>
      </c>
      <c r="E125" s="199"/>
      <c r="F125" s="200"/>
      <c r="G125" s="199"/>
      <c r="H125" s="196">
        <f t="shared" si="43"/>
        <v>463</v>
      </c>
      <c r="I125" s="218"/>
      <c r="J125" s="200"/>
      <c r="K125" s="200"/>
      <c r="L125" s="196">
        <f t="shared" si="44"/>
        <v>0</v>
      </c>
      <c r="M125" s="195">
        <f t="shared" si="45"/>
        <v>463</v>
      </c>
      <c r="N125" s="195"/>
      <c r="O125" s="195">
        <f t="shared" si="46"/>
        <v>463</v>
      </c>
    </row>
    <row r="126" spans="1:15" x14ac:dyDescent="0.25">
      <c r="A126" s="202"/>
      <c r="B126" s="530" t="s">
        <v>1201</v>
      </c>
      <c r="C126" s="201"/>
      <c r="D126" s="199"/>
      <c r="E126" s="199">
        <v>-2380</v>
      </c>
      <c r="F126" s="200"/>
      <c r="G126" s="199"/>
      <c r="H126" s="196">
        <f t="shared" si="43"/>
        <v>-2380</v>
      </c>
      <c r="I126" s="218"/>
      <c r="J126" s="200"/>
      <c r="K126" s="200"/>
      <c r="L126" s="196">
        <f t="shared" si="44"/>
        <v>0</v>
      </c>
      <c r="M126" s="195">
        <f t="shared" si="45"/>
        <v>-2380</v>
      </c>
      <c r="N126" s="195"/>
      <c r="O126" s="195">
        <f t="shared" si="46"/>
        <v>-2380</v>
      </c>
    </row>
    <row r="127" spans="1:15" s="168" customFormat="1" x14ac:dyDescent="0.25">
      <c r="A127" s="177"/>
      <c r="B127" s="165" t="s">
        <v>133</v>
      </c>
      <c r="C127" s="185"/>
      <c r="D127" s="175"/>
      <c r="E127" s="175"/>
      <c r="F127" s="171"/>
      <c r="G127" s="175"/>
      <c r="H127" s="170"/>
      <c r="I127" s="172"/>
      <c r="J127" s="171"/>
      <c r="K127" s="171"/>
      <c r="L127" s="170"/>
      <c r="M127" s="169"/>
      <c r="N127" s="169"/>
      <c r="O127" s="169"/>
    </row>
    <row r="128" spans="1:15" ht="16.5" thickBot="1" x14ac:dyDescent="0.3">
      <c r="A128" s="202"/>
      <c r="B128" s="530" t="s">
        <v>1204</v>
      </c>
      <c r="C128" s="201">
        <v>1031</v>
      </c>
      <c r="D128" s="199">
        <v>335</v>
      </c>
      <c r="E128" s="199"/>
      <c r="F128" s="200"/>
      <c r="G128" s="199"/>
      <c r="H128" s="196">
        <f>SUM(C128:G128)</f>
        <v>1366</v>
      </c>
      <c r="I128" s="218"/>
      <c r="J128" s="200"/>
      <c r="K128" s="200"/>
      <c r="L128" s="196">
        <f>SUM(I128:K128)</f>
        <v>0</v>
      </c>
      <c r="M128" s="195">
        <f>SUM(H128+L128)</f>
        <v>1366</v>
      </c>
      <c r="N128" s="195"/>
      <c r="O128" s="195">
        <f>SUM(M128+N128)</f>
        <v>1366</v>
      </c>
    </row>
    <row r="129" spans="1:16" ht="17.25" thickTop="1" thickBot="1" x14ac:dyDescent="0.3">
      <c r="A129" s="157"/>
      <c r="B129" s="156" t="s">
        <v>381</v>
      </c>
      <c r="C129" s="155">
        <f>+C115+C119+C128+C120+C121+C122+C123+C124+C125+C126</f>
        <v>104908</v>
      </c>
      <c r="D129" s="155">
        <f t="shared" ref="D129:O129" si="47">+D115+D119+D128+D120+D121+D122+D123+D124+D125+D126</f>
        <v>19358</v>
      </c>
      <c r="E129" s="155">
        <f t="shared" si="47"/>
        <v>16677</v>
      </c>
      <c r="F129" s="155">
        <f t="shared" si="47"/>
        <v>0</v>
      </c>
      <c r="G129" s="155">
        <f t="shared" si="47"/>
        <v>0</v>
      </c>
      <c r="H129" s="155">
        <f t="shared" si="47"/>
        <v>140943</v>
      </c>
      <c r="I129" s="155">
        <f t="shared" si="47"/>
        <v>0</v>
      </c>
      <c r="J129" s="155">
        <f t="shared" si="47"/>
        <v>0</v>
      </c>
      <c r="K129" s="155">
        <f t="shared" si="47"/>
        <v>0</v>
      </c>
      <c r="L129" s="155">
        <f t="shared" si="47"/>
        <v>0</v>
      </c>
      <c r="M129" s="155">
        <f t="shared" si="47"/>
        <v>140943</v>
      </c>
      <c r="N129" s="155">
        <f t="shared" si="47"/>
        <v>0</v>
      </c>
      <c r="O129" s="155">
        <f t="shared" si="47"/>
        <v>140943</v>
      </c>
      <c r="P129" s="150"/>
    </row>
    <row r="130" spans="1:16" ht="17.25" thickTop="1" thickBot="1" x14ac:dyDescent="0.3">
      <c r="A130" s="157"/>
      <c r="B130" s="156" t="s">
        <v>380</v>
      </c>
      <c r="C130" s="155">
        <f>+C116+C119+C120+C121+C122+C123+C124+C125+C126</f>
        <v>103877</v>
      </c>
      <c r="D130" s="155">
        <f t="shared" ref="D130:O130" si="48">+D116+D119+D120+D121+D122+D123+D124+D125+D126</f>
        <v>19023</v>
      </c>
      <c r="E130" s="155">
        <f t="shared" si="48"/>
        <v>16677</v>
      </c>
      <c r="F130" s="155">
        <f t="shared" si="48"/>
        <v>0</v>
      </c>
      <c r="G130" s="155">
        <f t="shared" si="48"/>
        <v>0</v>
      </c>
      <c r="H130" s="155">
        <f t="shared" si="48"/>
        <v>139577</v>
      </c>
      <c r="I130" s="155">
        <f t="shared" si="48"/>
        <v>0</v>
      </c>
      <c r="J130" s="155">
        <f t="shared" si="48"/>
        <v>0</v>
      </c>
      <c r="K130" s="155">
        <f t="shared" si="48"/>
        <v>0</v>
      </c>
      <c r="L130" s="155">
        <f t="shared" si="48"/>
        <v>0</v>
      </c>
      <c r="M130" s="155">
        <f t="shared" si="48"/>
        <v>139577</v>
      </c>
      <c r="N130" s="155">
        <f t="shared" si="48"/>
        <v>0</v>
      </c>
      <c r="O130" s="155">
        <f t="shared" si="48"/>
        <v>139577</v>
      </c>
    </row>
    <row r="131" spans="1:16" ht="17.25" thickTop="1" thickBot="1" x14ac:dyDescent="0.3">
      <c r="A131" s="157"/>
      <c r="B131" s="156" t="s">
        <v>379</v>
      </c>
      <c r="C131" s="155">
        <f>+C117+C128</f>
        <v>1031</v>
      </c>
      <c r="D131" s="155">
        <f t="shared" ref="D131:O131" si="49">+D117+D128</f>
        <v>335</v>
      </c>
      <c r="E131" s="155">
        <f t="shared" si="49"/>
        <v>0</v>
      </c>
      <c r="F131" s="155">
        <f t="shared" si="49"/>
        <v>0</v>
      </c>
      <c r="G131" s="155">
        <f t="shared" si="49"/>
        <v>0</v>
      </c>
      <c r="H131" s="155">
        <f t="shared" si="49"/>
        <v>1366</v>
      </c>
      <c r="I131" s="155">
        <f t="shared" si="49"/>
        <v>0</v>
      </c>
      <c r="J131" s="155">
        <f t="shared" si="49"/>
        <v>0</v>
      </c>
      <c r="K131" s="155">
        <f t="shared" si="49"/>
        <v>0</v>
      </c>
      <c r="L131" s="155">
        <f t="shared" si="49"/>
        <v>0</v>
      </c>
      <c r="M131" s="155">
        <f t="shared" si="49"/>
        <v>1366</v>
      </c>
      <c r="N131" s="155">
        <f t="shared" si="49"/>
        <v>0</v>
      </c>
      <c r="O131" s="155">
        <f t="shared" si="49"/>
        <v>1366</v>
      </c>
    </row>
    <row r="132" spans="1:16" ht="16.5" thickTop="1" x14ac:dyDescent="0.25">
      <c r="A132" s="164" t="s">
        <v>152</v>
      </c>
      <c r="B132" s="523" t="s">
        <v>823</v>
      </c>
      <c r="C132" s="524"/>
      <c r="D132" s="525"/>
      <c r="E132" s="525"/>
      <c r="F132" s="532"/>
      <c r="G132" s="525"/>
      <c r="H132" s="527"/>
      <c r="I132" s="528"/>
      <c r="J132" s="526"/>
      <c r="K132" s="526"/>
      <c r="L132" s="527"/>
      <c r="M132" s="527"/>
      <c r="N132" s="527"/>
      <c r="O132" s="527"/>
    </row>
    <row r="133" spans="1:16" x14ac:dyDescent="0.25">
      <c r="A133" s="164"/>
      <c r="B133" s="530" t="s">
        <v>349</v>
      </c>
      <c r="C133" s="524">
        <f>SUM(C134:C135)</f>
        <v>75511</v>
      </c>
      <c r="D133" s="524">
        <f>SUM(D134:D135)</f>
        <v>12949</v>
      </c>
      <c r="E133" s="524">
        <f>SUM(E134:E135)</f>
        <v>14365</v>
      </c>
      <c r="F133" s="526"/>
      <c r="G133" s="525"/>
      <c r="H133" s="527">
        <f>SUM(C133:G133)</f>
        <v>102825</v>
      </c>
      <c r="I133" s="528"/>
      <c r="J133" s="526"/>
      <c r="K133" s="526"/>
      <c r="L133" s="527">
        <f>SUM(I133:K133)</f>
        <v>0</v>
      </c>
      <c r="M133" s="529">
        <f>SUM(H133+L133)</f>
        <v>102825</v>
      </c>
      <c r="N133" s="529"/>
      <c r="O133" s="529">
        <f>SUM(M133+N133)</f>
        <v>102825</v>
      </c>
    </row>
    <row r="134" spans="1:16" s="168" customFormat="1" x14ac:dyDescent="0.25">
      <c r="A134" s="177"/>
      <c r="B134" s="165" t="s">
        <v>383</v>
      </c>
      <c r="C134" s="185">
        <v>75511</v>
      </c>
      <c r="D134" s="175">
        <v>12949</v>
      </c>
      <c r="E134" s="175">
        <v>14365</v>
      </c>
      <c r="F134" s="171"/>
      <c r="G134" s="175"/>
      <c r="H134" s="170">
        <f>SUM(C134:G134)</f>
        <v>102825</v>
      </c>
      <c r="I134" s="172"/>
      <c r="J134" s="171"/>
      <c r="K134" s="171"/>
      <c r="L134" s="170">
        <f>SUM(I134:K134)</f>
        <v>0</v>
      </c>
      <c r="M134" s="169">
        <f>SUM(H134+L134)</f>
        <v>102825</v>
      </c>
      <c r="N134" s="169"/>
      <c r="O134" s="169">
        <f>SUM(M134+N134)</f>
        <v>102825</v>
      </c>
    </row>
    <row r="135" spans="1:16" s="168" customFormat="1" x14ac:dyDescent="0.25">
      <c r="A135" s="177"/>
      <c r="B135" s="165" t="s">
        <v>382</v>
      </c>
      <c r="C135" s="185"/>
      <c r="D135" s="175"/>
      <c r="E135" s="175"/>
      <c r="F135" s="171"/>
      <c r="G135" s="175"/>
      <c r="H135" s="170">
        <f>SUM(C135:G135)</f>
        <v>0</v>
      </c>
      <c r="I135" s="172"/>
      <c r="J135" s="171"/>
      <c r="K135" s="171"/>
      <c r="L135" s="170">
        <f>SUM(I135:K135)</f>
        <v>0</v>
      </c>
      <c r="M135" s="169">
        <f>SUM(H135+L135)</f>
        <v>0</v>
      </c>
      <c r="N135" s="169"/>
      <c r="O135" s="169">
        <f>SUM(M135+N135)</f>
        <v>0</v>
      </c>
    </row>
    <row r="136" spans="1:16" s="168" customFormat="1" x14ac:dyDescent="0.25">
      <c r="A136" s="177"/>
      <c r="B136" s="165" t="s">
        <v>132</v>
      </c>
      <c r="C136" s="185"/>
      <c r="D136" s="175"/>
      <c r="E136" s="175"/>
      <c r="F136" s="171"/>
      <c r="G136" s="175"/>
      <c r="H136" s="170"/>
      <c r="I136" s="172"/>
      <c r="J136" s="171"/>
      <c r="K136" s="171"/>
      <c r="L136" s="170"/>
      <c r="M136" s="169"/>
      <c r="N136" s="169"/>
      <c r="O136" s="169"/>
    </row>
    <row r="137" spans="1:16" s="168" customFormat="1" ht="33" customHeight="1" x14ac:dyDescent="0.25">
      <c r="A137" s="177"/>
      <c r="B137" s="530" t="s">
        <v>1196</v>
      </c>
      <c r="C137" s="201">
        <v>5428</v>
      </c>
      <c r="D137" s="199">
        <v>1333</v>
      </c>
      <c r="E137" s="199">
        <v>789</v>
      </c>
      <c r="F137" s="171"/>
      <c r="G137" s="175"/>
      <c r="H137" s="196">
        <f t="shared" ref="H137:H143" si="50">SUM(C137:G137)</f>
        <v>7550</v>
      </c>
      <c r="I137" s="172"/>
      <c r="J137" s="171"/>
      <c r="K137" s="171"/>
      <c r="L137" s="196">
        <f t="shared" ref="L137:L143" si="51">SUM(I137:K137)</f>
        <v>0</v>
      </c>
      <c r="M137" s="195">
        <f t="shared" ref="M137:M143" si="52">SUM(H137+L137)</f>
        <v>7550</v>
      </c>
      <c r="N137" s="169"/>
      <c r="O137" s="195">
        <f t="shared" ref="O137:O143" si="53">SUM(M137+N137)</f>
        <v>7550</v>
      </c>
    </row>
    <row r="138" spans="1:16" s="168" customFormat="1" ht="31.5" x14ac:dyDescent="0.25">
      <c r="A138" s="177"/>
      <c r="B138" s="530" t="s">
        <v>1252</v>
      </c>
      <c r="C138" s="201">
        <v>46</v>
      </c>
      <c r="D138" s="199">
        <v>8</v>
      </c>
      <c r="E138" s="199"/>
      <c r="F138" s="171"/>
      <c r="G138" s="175"/>
      <c r="H138" s="196">
        <f t="shared" si="50"/>
        <v>54</v>
      </c>
      <c r="I138" s="172"/>
      <c r="J138" s="171"/>
      <c r="K138" s="171"/>
      <c r="L138" s="196">
        <f t="shared" si="51"/>
        <v>0</v>
      </c>
      <c r="M138" s="195">
        <f t="shared" si="52"/>
        <v>54</v>
      </c>
      <c r="N138" s="169"/>
      <c r="O138" s="195">
        <f t="shared" si="53"/>
        <v>54</v>
      </c>
    </row>
    <row r="139" spans="1:16" s="168" customFormat="1" ht="31.5" x14ac:dyDescent="0.25">
      <c r="A139" s="177"/>
      <c r="B139" s="530" t="s">
        <v>1253</v>
      </c>
      <c r="C139" s="201">
        <v>548</v>
      </c>
      <c r="D139" s="199">
        <v>96</v>
      </c>
      <c r="E139" s="199"/>
      <c r="F139" s="171"/>
      <c r="G139" s="175"/>
      <c r="H139" s="196">
        <f t="shared" si="50"/>
        <v>644</v>
      </c>
      <c r="I139" s="172"/>
      <c r="J139" s="171"/>
      <c r="K139" s="171"/>
      <c r="L139" s="196">
        <f t="shared" si="51"/>
        <v>0</v>
      </c>
      <c r="M139" s="195">
        <f t="shared" si="52"/>
        <v>644</v>
      </c>
      <c r="N139" s="169"/>
      <c r="O139" s="195">
        <f t="shared" si="53"/>
        <v>644</v>
      </c>
    </row>
    <row r="140" spans="1:16" s="168" customFormat="1" ht="31.5" x14ac:dyDescent="0.25">
      <c r="A140" s="177"/>
      <c r="B140" s="530" t="s">
        <v>1198</v>
      </c>
      <c r="C140" s="201"/>
      <c r="D140" s="199">
        <v>-725</v>
      </c>
      <c r="E140" s="199"/>
      <c r="F140" s="171"/>
      <c r="G140" s="175"/>
      <c r="H140" s="196">
        <f t="shared" si="50"/>
        <v>-725</v>
      </c>
      <c r="I140" s="172"/>
      <c r="J140" s="171"/>
      <c r="K140" s="171"/>
      <c r="L140" s="196">
        <f t="shared" si="51"/>
        <v>0</v>
      </c>
      <c r="M140" s="195">
        <f t="shared" si="52"/>
        <v>-725</v>
      </c>
      <c r="N140" s="169"/>
      <c r="O140" s="195">
        <f t="shared" si="53"/>
        <v>-725</v>
      </c>
    </row>
    <row r="141" spans="1:16" s="168" customFormat="1" x14ac:dyDescent="0.25">
      <c r="A141" s="186"/>
      <c r="B141" s="523" t="s">
        <v>1199</v>
      </c>
      <c r="C141" s="201">
        <v>-462</v>
      </c>
      <c r="D141" s="199">
        <v>-81</v>
      </c>
      <c r="E141" s="199"/>
      <c r="F141" s="171"/>
      <c r="G141" s="175"/>
      <c r="H141" s="196">
        <f t="shared" si="50"/>
        <v>-543</v>
      </c>
      <c r="I141" s="172"/>
      <c r="J141" s="171"/>
      <c r="K141" s="171"/>
      <c r="L141" s="196">
        <f t="shared" si="51"/>
        <v>0</v>
      </c>
      <c r="M141" s="196">
        <f t="shared" si="52"/>
        <v>-543</v>
      </c>
      <c r="N141" s="170"/>
      <c r="O141" s="196">
        <f t="shared" si="53"/>
        <v>-543</v>
      </c>
    </row>
    <row r="142" spans="1:16" s="168" customFormat="1" ht="47.25" x14ac:dyDescent="0.25">
      <c r="A142" s="186"/>
      <c r="B142" s="523" t="s">
        <v>1200</v>
      </c>
      <c r="C142" s="201">
        <v>376</v>
      </c>
      <c r="D142" s="199">
        <v>66</v>
      </c>
      <c r="E142" s="199"/>
      <c r="F142" s="171"/>
      <c r="G142" s="175"/>
      <c r="H142" s="196">
        <f t="shared" si="50"/>
        <v>442</v>
      </c>
      <c r="I142" s="172"/>
      <c r="J142" s="171"/>
      <c r="K142" s="171"/>
      <c r="L142" s="196">
        <f t="shared" si="51"/>
        <v>0</v>
      </c>
      <c r="M142" s="196">
        <f t="shared" si="52"/>
        <v>442</v>
      </c>
      <c r="N142" s="170"/>
      <c r="O142" s="196">
        <f t="shared" si="53"/>
        <v>442</v>
      </c>
    </row>
    <row r="143" spans="1:16" s="168" customFormat="1" x14ac:dyDescent="0.25">
      <c r="A143" s="177"/>
      <c r="B143" s="530" t="s">
        <v>1201</v>
      </c>
      <c r="C143" s="201"/>
      <c r="D143" s="199"/>
      <c r="E143" s="199">
        <v>-1800</v>
      </c>
      <c r="F143" s="171"/>
      <c r="G143" s="175"/>
      <c r="H143" s="196">
        <f t="shared" si="50"/>
        <v>-1800</v>
      </c>
      <c r="I143" s="172"/>
      <c r="J143" s="171"/>
      <c r="K143" s="171"/>
      <c r="L143" s="196">
        <f t="shared" si="51"/>
        <v>0</v>
      </c>
      <c r="M143" s="195">
        <f t="shared" si="52"/>
        <v>-1800</v>
      </c>
      <c r="N143" s="169"/>
      <c r="O143" s="195">
        <f t="shared" si="53"/>
        <v>-1800</v>
      </c>
    </row>
    <row r="144" spans="1:16" s="168" customFormat="1" x14ac:dyDescent="0.25">
      <c r="A144" s="177"/>
      <c r="B144" s="165" t="s">
        <v>133</v>
      </c>
      <c r="C144" s="201"/>
      <c r="D144" s="199"/>
      <c r="E144" s="199"/>
      <c r="F144" s="171"/>
      <c r="G144" s="175"/>
      <c r="H144" s="196"/>
      <c r="I144" s="172"/>
      <c r="J144" s="171"/>
      <c r="K144" s="171"/>
      <c r="L144" s="196"/>
      <c r="M144" s="195"/>
      <c r="N144" s="169"/>
      <c r="O144" s="195"/>
    </row>
    <row r="145" spans="1:16" s="168" customFormat="1" ht="16.5" thickBot="1" x14ac:dyDescent="0.3">
      <c r="A145" s="177"/>
      <c r="B145" s="530" t="s">
        <v>1204</v>
      </c>
      <c r="C145" s="201">
        <v>879</v>
      </c>
      <c r="D145" s="199">
        <v>286</v>
      </c>
      <c r="E145" s="199"/>
      <c r="F145" s="171"/>
      <c r="G145" s="175"/>
      <c r="H145" s="196">
        <f>SUM(C145:G145)</f>
        <v>1165</v>
      </c>
      <c r="I145" s="172"/>
      <c r="J145" s="171"/>
      <c r="K145" s="171"/>
      <c r="L145" s="196">
        <f>SUM(I145:K145)</f>
        <v>0</v>
      </c>
      <c r="M145" s="195">
        <f>SUM(H145+L145)</f>
        <v>1165</v>
      </c>
      <c r="N145" s="169"/>
      <c r="O145" s="195">
        <f>SUM(M145+N145)</f>
        <v>1165</v>
      </c>
    </row>
    <row r="146" spans="1:16" ht="17.25" thickTop="1" thickBot="1" x14ac:dyDescent="0.3">
      <c r="A146" s="157"/>
      <c r="B146" s="156" t="s">
        <v>381</v>
      </c>
      <c r="C146" s="155">
        <f>+C133+C137+C145+C138+C139+C140+C141+C142+C143</f>
        <v>82326</v>
      </c>
      <c r="D146" s="155">
        <f t="shared" ref="D146:O146" si="54">+D133+D137+D145+D138+D139+D140+D141+D142+D143</f>
        <v>13932</v>
      </c>
      <c r="E146" s="155">
        <f t="shared" si="54"/>
        <v>13354</v>
      </c>
      <c r="F146" s="155">
        <f t="shared" si="54"/>
        <v>0</v>
      </c>
      <c r="G146" s="155">
        <f t="shared" si="54"/>
        <v>0</v>
      </c>
      <c r="H146" s="155">
        <f t="shared" si="54"/>
        <v>109612</v>
      </c>
      <c r="I146" s="155">
        <f t="shared" si="54"/>
        <v>0</v>
      </c>
      <c r="J146" s="155">
        <f t="shared" si="54"/>
        <v>0</v>
      </c>
      <c r="K146" s="155">
        <f t="shared" si="54"/>
        <v>0</v>
      </c>
      <c r="L146" s="155">
        <f t="shared" si="54"/>
        <v>0</v>
      </c>
      <c r="M146" s="155">
        <f t="shared" si="54"/>
        <v>109612</v>
      </c>
      <c r="N146" s="155">
        <f t="shared" si="54"/>
        <v>0</v>
      </c>
      <c r="O146" s="155">
        <f t="shared" si="54"/>
        <v>109612</v>
      </c>
      <c r="P146" s="150"/>
    </row>
    <row r="147" spans="1:16" ht="17.25" thickTop="1" thickBot="1" x14ac:dyDescent="0.3">
      <c r="A147" s="157"/>
      <c r="B147" s="156" t="s">
        <v>380</v>
      </c>
      <c r="C147" s="155">
        <f>+C134+C137+C138+C139+C140+C141+C142+C143</f>
        <v>81447</v>
      </c>
      <c r="D147" s="155">
        <f t="shared" ref="D147:O147" si="55">+D134+D137+D138+D139+D140+D141+D142+D143</f>
        <v>13646</v>
      </c>
      <c r="E147" s="155">
        <f t="shared" si="55"/>
        <v>13354</v>
      </c>
      <c r="F147" s="155">
        <f t="shared" si="55"/>
        <v>0</v>
      </c>
      <c r="G147" s="155">
        <f t="shared" si="55"/>
        <v>0</v>
      </c>
      <c r="H147" s="155">
        <f t="shared" si="55"/>
        <v>108447</v>
      </c>
      <c r="I147" s="155">
        <f t="shared" si="55"/>
        <v>0</v>
      </c>
      <c r="J147" s="155">
        <f t="shared" si="55"/>
        <v>0</v>
      </c>
      <c r="K147" s="155">
        <f t="shared" si="55"/>
        <v>0</v>
      </c>
      <c r="L147" s="155">
        <f t="shared" si="55"/>
        <v>0</v>
      </c>
      <c r="M147" s="155">
        <f t="shared" si="55"/>
        <v>108447</v>
      </c>
      <c r="N147" s="155">
        <f t="shared" si="55"/>
        <v>0</v>
      </c>
      <c r="O147" s="155">
        <f t="shared" si="55"/>
        <v>108447</v>
      </c>
    </row>
    <row r="148" spans="1:16" ht="17.25" thickTop="1" thickBot="1" x14ac:dyDescent="0.3">
      <c r="A148" s="157"/>
      <c r="B148" s="156" t="s">
        <v>379</v>
      </c>
      <c r="C148" s="155">
        <f>+C135+C145</f>
        <v>879</v>
      </c>
      <c r="D148" s="155">
        <f t="shared" ref="D148:O148" si="56">+D135+D145</f>
        <v>286</v>
      </c>
      <c r="E148" s="155">
        <f t="shared" si="56"/>
        <v>0</v>
      </c>
      <c r="F148" s="155">
        <f t="shared" si="56"/>
        <v>0</v>
      </c>
      <c r="G148" s="155">
        <f t="shared" si="56"/>
        <v>0</v>
      </c>
      <c r="H148" s="155">
        <f t="shared" si="56"/>
        <v>1165</v>
      </c>
      <c r="I148" s="155">
        <f t="shared" si="56"/>
        <v>0</v>
      </c>
      <c r="J148" s="155">
        <f t="shared" si="56"/>
        <v>0</v>
      </c>
      <c r="K148" s="155">
        <f t="shared" si="56"/>
        <v>0</v>
      </c>
      <c r="L148" s="155">
        <f t="shared" si="56"/>
        <v>0</v>
      </c>
      <c r="M148" s="155">
        <f t="shared" si="56"/>
        <v>1165</v>
      </c>
      <c r="N148" s="155">
        <f t="shared" si="56"/>
        <v>0</v>
      </c>
      <c r="O148" s="155">
        <f t="shared" si="56"/>
        <v>1165</v>
      </c>
    </row>
    <row r="149" spans="1:16" ht="17.25" thickTop="1" thickBot="1" x14ac:dyDescent="0.3">
      <c r="A149" s="157"/>
      <c r="B149" s="156" t="s">
        <v>406</v>
      </c>
      <c r="C149" s="155">
        <f t="shared" ref="C149:O149" si="57">SUM(C60+C78+C95+C111+C129+C146)</f>
        <v>489050</v>
      </c>
      <c r="D149" s="155">
        <f t="shared" si="57"/>
        <v>82924</v>
      </c>
      <c r="E149" s="155">
        <f t="shared" si="57"/>
        <v>75040</v>
      </c>
      <c r="F149" s="155">
        <f t="shared" si="57"/>
        <v>0</v>
      </c>
      <c r="G149" s="155">
        <f t="shared" si="57"/>
        <v>0</v>
      </c>
      <c r="H149" s="155">
        <f t="shared" si="57"/>
        <v>647014</v>
      </c>
      <c r="I149" s="155">
        <f t="shared" si="57"/>
        <v>0</v>
      </c>
      <c r="J149" s="155">
        <f t="shared" si="57"/>
        <v>0</v>
      </c>
      <c r="K149" s="155">
        <f t="shared" si="57"/>
        <v>0</v>
      </c>
      <c r="L149" s="155">
        <f t="shared" si="57"/>
        <v>0</v>
      </c>
      <c r="M149" s="155">
        <f t="shared" si="57"/>
        <v>647014</v>
      </c>
      <c r="N149" s="155">
        <f t="shared" si="57"/>
        <v>0</v>
      </c>
      <c r="O149" s="155">
        <f t="shared" si="57"/>
        <v>647014</v>
      </c>
    </row>
    <row r="150" spans="1:16" ht="16.5" thickTop="1" x14ac:dyDescent="0.25">
      <c r="A150" s="164" t="s">
        <v>153</v>
      </c>
      <c r="B150" s="523" t="s">
        <v>405</v>
      </c>
      <c r="C150" s="524"/>
      <c r="D150" s="525"/>
      <c r="E150" s="525"/>
      <c r="F150" s="532"/>
      <c r="G150" s="525"/>
      <c r="H150" s="527"/>
      <c r="I150" s="528"/>
      <c r="J150" s="526"/>
      <c r="K150" s="526"/>
      <c r="L150" s="527"/>
      <c r="M150" s="527"/>
      <c r="N150" s="527"/>
      <c r="O150" s="527"/>
    </row>
    <row r="151" spans="1:16" x14ac:dyDescent="0.25">
      <c r="A151" s="164"/>
      <c r="B151" s="530" t="s">
        <v>349</v>
      </c>
      <c r="C151" s="524">
        <f>SUM(C152:C153)</f>
        <v>164883</v>
      </c>
      <c r="D151" s="524">
        <f>SUM(D152:D153)</f>
        <v>32082</v>
      </c>
      <c r="E151" s="524">
        <f>SUM(E152:E153)</f>
        <v>64752</v>
      </c>
      <c r="F151" s="526"/>
      <c r="G151" s="525"/>
      <c r="H151" s="527">
        <f>SUM(C151:G151)</f>
        <v>261717</v>
      </c>
      <c r="I151" s="528"/>
      <c r="J151" s="526"/>
      <c r="K151" s="526"/>
      <c r="L151" s="527">
        <f>SUM(I151:K151)</f>
        <v>0</v>
      </c>
      <c r="M151" s="529">
        <f>SUM(H151+L151)</f>
        <v>261717</v>
      </c>
      <c r="N151" s="529"/>
      <c r="O151" s="529">
        <f>SUM(M151+N151)</f>
        <v>261717</v>
      </c>
    </row>
    <row r="152" spans="1:16" x14ac:dyDescent="0.25">
      <c r="A152" s="164"/>
      <c r="B152" s="165" t="s">
        <v>383</v>
      </c>
      <c r="C152" s="185">
        <v>164883</v>
      </c>
      <c r="D152" s="175">
        <v>32082</v>
      </c>
      <c r="E152" s="175">
        <v>64752</v>
      </c>
      <c r="F152" s="171"/>
      <c r="G152" s="175"/>
      <c r="H152" s="170">
        <f>SUM(C152:G152)</f>
        <v>261717</v>
      </c>
      <c r="I152" s="172"/>
      <c r="J152" s="171"/>
      <c r="K152" s="171"/>
      <c r="L152" s="170">
        <f>SUM(I152:K152)</f>
        <v>0</v>
      </c>
      <c r="M152" s="169">
        <f>SUM(H152+L152)</f>
        <v>261717</v>
      </c>
      <c r="N152" s="169"/>
      <c r="O152" s="169">
        <f>SUM(M152+N152)</f>
        <v>261717</v>
      </c>
    </row>
    <row r="153" spans="1:16" x14ac:dyDescent="0.25">
      <c r="A153" s="164"/>
      <c r="B153" s="165" t="s">
        <v>382</v>
      </c>
      <c r="C153" s="185"/>
      <c r="D153" s="175"/>
      <c r="E153" s="175"/>
      <c r="F153" s="171"/>
      <c r="G153" s="175"/>
      <c r="H153" s="170">
        <f>SUM(C153:G153)</f>
        <v>0</v>
      </c>
      <c r="I153" s="172"/>
      <c r="J153" s="171"/>
      <c r="K153" s="171"/>
      <c r="L153" s="170">
        <f>SUM(I153:K153)</f>
        <v>0</v>
      </c>
      <c r="M153" s="169">
        <f>SUM(H153+L153)</f>
        <v>0</v>
      </c>
      <c r="N153" s="169"/>
      <c r="O153" s="169">
        <f>SUM(M153+N153)</f>
        <v>0</v>
      </c>
    </row>
    <row r="154" spans="1:16" x14ac:dyDescent="0.25">
      <c r="A154" s="164"/>
      <c r="B154" s="165" t="s">
        <v>132</v>
      </c>
      <c r="C154" s="185"/>
      <c r="D154" s="175"/>
      <c r="E154" s="175"/>
      <c r="F154" s="171"/>
      <c r="G154" s="175"/>
      <c r="H154" s="170"/>
      <c r="I154" s="172"/>
      <c r="J154" s="171"/>
      <c r="K154" s="171"/>
      <c r="L154" s="170"/>
      <c r="M154" s="169"/>
      <c r="N154" s="169"/>
      <c r="O154" s="169"/>
    </row>
    <row r="155" spans="1:16" ht="33" customHeight="1" x14ac:dyDescent="0.25">
      <c r="A155" s="164"/>
      <c r="B155" s="530" t="s">
        <v>1196</v>
      </c>
      <c r="C155" s="201">
        <v>14085</v>
      </c>
      <c r="D155" s="199">
        <v>2568</v>
      </c>
      <c r="E155" s="199">
        <v>600</v>
      </c>
      <c r="F155" s="200"/>
      <c r="G155" s="175"/>
      <c r="H155" s="196">
        <f t="shared" ref="H155:H162" si="58">SUM(C155:G155)</f>
        <v>17253</v>
      </c>
      <c r="I155" s="172"/>
      <c r="J155" s="171"/>
      <c r="K155" s="171"/>
      <c r="L155" s="196">
        <f t="shared" ref="L155:L162" si="59">SUM(I155:K155)</f>
        <v>0</v>
      </c>
      <c r="M155" s="195">
        <f t="shared" ref="M155:M162" si="60">SUM(H155+L155)</f>
        <v>17253</v>
      </c>
      <c r="N155" s="169"/>
      <c r="O155" s="195">
        <f t="shared" ref="O155:O162" si="61">SUM(M155+N155)</f>
        <v>17253</v>
      </c>
    </row>
    <row r="156" spans="1:16" ht="31.5" x14ac:dyDescent="0.25">
      <c r="A156" s="164"/>
      <c r="B156" s="530" t="s">
        <v>1252</v>
      </c>
      <c r="C156" s="201">
        <v>8</v>
      </c>
      <c r="D156" s="199">
        <v>1</v>
      </c>
      <c r="E156" s="199"/>
      <c r="F156" s="200"/>
      <c r="G156" s="175"/>
      <c r="H156" s="196">
        <f t="shared" si="58"/>
        <v>9</v>
      </c>
      <c r="I156" s="172"/>
      <c r="J156" s="171"/>
      <c r="K156" s="171"/>
      <c r="L156" s="196">
        <f t="shared" si="59"/>
        <v>0</v>
      </c>
      <c r="M156" s="195">
        <f t="shared" si="60"/>
        <v>9</v>
      </c>
      <c r="N156" s="169"/>
      <c r="O156" s="195">
        <f t="shared" si="61"/>
        <v>9</v>
      </c>
    </row>
    <row r="157" spans="1:16" ht="31.5" x14ac:dyDescent="0.25">
      <c r="A157" s="164"/>
      <c r="B157" s="530" t="s">
        <v>1198</v>
      </c>
      <c r="C157" s="201"/>
      <c r="D157" s="199">
        <v>-1627</v>
      </c>
      <c r="E157" s="199"/>
      <c r="F157" s="200"/>
      <c r="G157" s="175"/>
      <c r="H157" s="196">
        <f t="shared" si="58"/>
        <v>-1627</v>
      </c>
      <c r="I157" s="172"/>
      <c r="J157" s="171"/>
      <c r="K157" s="171"/>
      <c r="L157" s="196">
        <f t="shared" si="59"/>
        <v>0</v>
      </c>
      <c r="M157" s="195">
        <f t="shared" si="60"/>
        <v>-1627</v>
      </c>
      <c r="N157" s="169"/>
      <c r="O157" s="195">
        <f t="shared" si="61"/>
        <v>-1627</v>
      </c>
    </row>
    <row r="158" spans="1:16" x14ac:dyDescent="0.25">
      <c r="A158" s="164"/>
      <c r="B158" s="530" t="s">
        <v>1199</v>
      </c>
      <c r="C158" s="201">
        <v>-517</v>
      </c>
      <c r="D158" s="199">
        <v>-90</v>
      </c>
      <c r="E158" s="199"/>
      <c r="F158" s="200"/>
      <c r="G158" s="175"/>
      <c r="H158" s="196">
        <f t="shared" si="58"/>
        <v>-607</v>
      </c>
      <c r="I158" s="172"/>
      <c r="J158" s="171"/>
      <c r="K158" s="171"/>
      <c r="L158" s="196">
        <f t="shared" si="59"/>
        <v>0</v>
      </c>
      <c r="M158" s="195">
        <f t="shared" si="60"/>
        <v>-607</v>
      </c>
      <c r="N158" s="169"/>
      <c r="O158" s="195">
        <f t="shared" si="61"/>
        <v>-607</v>
      </c>
    </row>
    <row r="159" spans="1:16" ht="31.5" x14ac:dyDescent="0.25">
      <c r="A159" s="164"/>
      <c r="B159" s="530" t="s">
        <v>1254</v>
      </c>
      <c r="C159" s="201"/>
      <c r="D159" s="199"/>
      <c r="E159" s="199">
        <v>48</v>
      </c>
      <c r="F159" s="200"/>
      <c r="G159" s="175"/>
      <c r="H159" s="196">
        <f t="shared" si="58"/>
        <v>48</v>
      </c>
      <c r="I159" s="172"/>
      <c r="J159" s="171"/>
      <c r="K159" s="171"/>
      <c r="L159" s="196">
        <f t="shared" si="59"/>
        <v>0</v>
      </c>
      <c r="M159" s="195">
        <f t="shared" si="60"/>
        <v>48</v>
      </c>
      <c r="N159" s="169"/>
      <c r="O159" s="195">
        <f t="shared" si="61"/>
        <v>48</v>
      </c>
    </row>
    <row r="160" spans="1:16" ht="47.25" x14ac:dyDescent="0.25">
      <c r="A160" s="164"/>
      <c r="B160" s="530" t="s">
        <v>1200</v>
      </c>
      <c r="C160" s="201">
        <v>689</v>
      </c>
      <c r="D160" s="199">
        <v>121</v>
      </c>
      <c r="E160" s="199"/>
      <c r="F160" s="200"/>
      <c r="G160" s="175"/>
      <c r="H160" s="196">
        <f t="shared" si="58"/>
        <v>810</v>
      </c>
      <c r="I160" s="172"/>
      <c r="J160" s="171"/>
      <c r="K160" s="171"/>
      <c r="L160" s="196">
        <f t="shared" si="59"/>
        <v>0</v>
      </c>
      <c r="M160" s="195">
        <f t="shared" si="60"/>
        <v>810</v>
      </c>
      <c r="N160" s="169"/>
      <c r="O160" s="195">
        <f t="shared" si="61"/>
        <v>810</v>
      </c>
    </row>
    <row r="161" spans="1:16" ht="31.5" x14ac:dyDescent="0.25">
      <c r="A161" s="164"/>
      <c r="B161" s="530" t="s">
        <v>584</v>
      </c>
      <c r="C161" s="201"/>
      <c r="D161" s="199"/>
      <c r="E161" s="199">
        <v>-45</v>
      </c>
      <c r="F161" s="200"/>
      <c r="G161" s="175"/>
      <c r="H161" s="196">
        <f t="shared" si="58"/>
        <v>-45</v>
      </c>
      <c r="I161" s="218">
        <v>45</v>
      </c>
      <c r="J161" s="171"/>
      <c r="K161" s="171"/>
      <c r="L161" s="196">
        <f t="shared" si="59"/>
        <v>45</v>
      </c>
      <c r="M161" s="195">
        <f t="shared" si="60"/>
        <v>0</v>
      </c>
      <c r="N161" s="169"/>
      <c r="O161" s="195">
        <f t="shared" si="61"/>
        <v>0</v>
      </c>
    </row>
    <row r="162" spans="1:16" x14ac:dyDescent="0.25">
      <c r="A162" s="164"/>
      <c r="B162" s="530" t="s">
        <v>1201</v>
      </c>
      <c r="C162" s="201"/>
      <c r="D162" s="199"/>
      <c r="E162" s="199">
        <v>-4696</v>
      </c>
      <c r="F162" s="200"/>
      <c r="G162" s="175"/>
      <c r="H162" s="196">
        <f t="shared" si="58"/>
        <v>-4696</v>
      </c>
      <c r="I162" s="218"/>
      <c r="J162" s="171"/>
      <c r="K162" s="171"/>
      <c r="L162" s="196">
        <f t="shared" si="59"/>
        <v>0</v>
      </c>
      <c r="M162" s="195">
        <f t="shared" si="60"/>
        <v>-4696</v>
      </c>
      <c r="N162" s="169"/>
      <c r="O162" s="195">
        <f t="shared" si="61"/>
        <v>-4696</v>
      </c>
    </row>
    <row r="163" spans="1:16" x14ac:dyDescent="0.25">
      <c r="A163" s="164"/>
      <c r="B163" s="165" t="s">
        <v>133</v>
      </c>
      <c r="C163" s="201"/>
      <c r="D163" s="199"/>
      <c r="E163" s="199"/>
      <c r="F163" s="200"/>
      <c r="G163" s="175"/>
      <c r="H163" s="196"/>
      <c r="I163" s="172"/>
      <c r="J163" s="171"/>
      <c r="K163" s="171"/>
      <c r="L163" s="196"/>
      <c r="M163" s="195"/>
      <c r="N163" s="169"/>
      <c r="O163" s="195"/>
    </row>
    <row r="164" spans="1:16" ht="63" x14ac:dyDescent="0.25">
      <c r="A164" s="164"/>
      <c r="B164" s="530" t="s">
        <v>1255</v>
      </c>
      <c r="C164" s="201"/>
      <c r="D164" s="199"/>
      <c r="E164" s="199">
        <v>100</v>
      </c>
      <c r="F164" s="200"/>
      <c r="G164" s="175"/>
      <c r="H164" s="196">
        <f>SUM(C164:G164)</f>
        <v>100</v>
      </c>
      <c r="I164" s="218"/>
      <c r="J164" s="171"/>
      <c r="K164" s="171"/>
      <c r="L164" s="196">
        <f>SUM(I164:K164)</f>
        <v>0</v>
      </c>
      <c r="M164" s="195">
        <f>SUM(H164+L164)</f>
        <v>100</v>
      </c>
      <c r="N164" s="169"/>
      <c r="O164" s="195">
        <f>SUM(M164+N164)</f>
        <v>100</v>
      </c>
    </row>
    <row r="165" spans="1:16" ht="16.5" thickBot="1" x14ac:dyDescent="0.3">
      <c r="A165" s="164"/>
      <c r="B165" s="530" t="s">
        <v>1204</v>
      </c>
      <c r="C165" s="201">
        <v>1791</v>
      </c>
      <c r="D165" s="199">
        <v>582</v>
      </c>
      <c r="E165" s="199"/>
      <c r="F165" s="200"/>
      <c r="G165" s="175"/>
      <c r="H165" s="196">
        <f>SUM(C165:G165)</f>
        <v>2373</v>
      </c>
      <c r="I165" s="218"/>
      <c r="J165" s="171"/>
      <c r="K165" s="171"/>
      <c r="L165" s="196">
        <f>SUM(I165:K165)</f>
        <v>0</v>
      </c>
      <c r="M165" s="195">
        <f>SUM(H165+L165)</f>
        <v>2373</v>
      </c>
      <c r="N165" s="169"/>
      <c r="O165" s="195">
        <f>SUM(M165+N165)</f>
        <v>2373</v>
      </c>
    </row>
    <row r="166" spans="1:16" ht="17.25" thickTop="1" thickBot="1" x14ac:dyDescent="0.3">
      <c r="A166" s="157"/>
      <c r="B166" s="156" t="s">
        <v>381</v>
      </c>
      <c r="C166" s="155">
        <f>+C151+C155+C164+C156+C165+C157+C158+C159+C160+C161+C162</f>
        <v>180939</v>
      </c>
      <c r="D166" s="155">
        <f t="shared" ref="D166:O166" si="62">+D151+D155+D164+D156+D165+D157+D158+D159+D160+D161+D162</f>
        <v>33637</v>
      </c>
      <c r="E166" s="155">
        <f t="shared" si="62"/>
        <v>60759</v>
      </c>
      <c r="F166" s="155">
        <f t="shared" si="62"/>
        <v>0</v>
      </c>
      <c r="G166" s="155">
        <f t="shared" si="62"/>
        <v>0</v>
      </c>
      <c r="H166" s="155">
        <f t="shared" si="62"/>
        <v>275335</v>
      </c>
      <c r="I166" s="155">
        <f t="shared" si="62"/>
        <v>45</v>
      </c>
      <c r="J166" s="155">
        <f t="shared" si="62"/>
        <v>0</v>
      </c>
      <c r="K166" s="155">
        <f t="shared" si="62"/>
        <v>0</v>
      </c>
      <c r="L166" s="155">
        <f t="shared" si="62"/>
        <v>45</v>
      </c>
      <c r="M166" s="155">
        <f t="shared" si="62"/>
        <v>275380</v>
      </c>
      <c r="N166" s="155">
        <f t="shared" si="62"/>
        <v>0</v>
      </c>
      <c r="O166" s="155">
        <f t="shared" si="62"/>
        <v>275380</v>
      </c>
      <c r="P166" s="150"/>
    </row>
    <row r="167" spans="1:16" ht="17.25" thickTop="1" thickBot="1" x14ac:dyDescent="0.3">
      <c r="A167" s="157"/>
      <c r="B167" s="156" t="s">
        <v>380</v>
      </c>
      <c r="C167" s="155">
        <f>+C152+C155+C156+C157+C158+C159+C160+C161+C162</f>
        <v>179148</v>
      </c>
      <c r="D167" s="155">
        <f t="shared" ref="D167:O167" si="63">+D152+D155+D156+D157+D158+D159+D160+D161+D162</f>
        <v>33055</v>
      </c>
      <c r="E167" s="155">
        <f t="shared" si="63"/>
        <v>60659</v>
      </c>
      <c r="F167" s="155">
        <f t="shared" si="63"/>
        <v>0</v>
      </c>
      <c r="G167" s="155">
        <f t="shared" si="63"/>
        <v>0</v>
      </c>
      <c r="H167" s="155">
        <f t="shared" si="63"/>
        <v>272862</v>
      </c>
      <c r="I167" s="155">
        <f t="shared" si="63"/>
        <v>45</v>
      </c>
      <c r="J167" s="155">
        <f t="shared" si="63"/>
        <v>0</v>
      </c>
      <c r="K167" s="155">
        <f t="shared" si="63"/>
        <v>0</v>
      </c>
      <c r="L167" s="155">
        <f t="shared" si="63"/>
        <v>45</v>
      </c>
      <c r="M167" s="155">
        <f t="shared" si="63"/>
        <v>272907</v>
      </c>
      <c r="N167" s="155">
        <f t="shared" si="63"/>
        <v>0</v>
      </c>
      <c r="O167" s="155">
        <f t="shared" si="63"/>
        <v>272907</v>
      </c>
    </row>
    <row r="168" spans="1:16" ht="17.25" thickTop="1" thickBot="1" x14ac:dyDescent="0.3">
      <c r="A168" s="157"/>
      <c r="B168" s="156" t="s">
        <v>379</v>
      </c>
      <c r="C168" s="155">
        <f t="shared" ref="C168:O168" si="64">+C153+C164+C165</f>
        <v>1791</v>
      </c>
      <c r="D168" s="155">
        <f t="shared" si="64"/>
        <v>582</v>
      </c>
      <c r="E168" s="155">
        <f t="shared" si="64"/>
        <v>100</v>
      </c>
      <c r="F168" s="155">
        <f t="shared" si="64"/>
        <v>0</v>
      </c>
      <c r="G168" s="155">
        <f t="shared" si="64"/>
        <v>0</v>
      </c>
      <c r="H168" s="155">
        <f t="shared" si="64"/>
        <v>2473</v>
      </c>
      <c r="I168" s="155">
        <f t="shared" si="64"/>
        <v>0</v>
      </c>
      <c r="J168" s="155">
        <f t="shared" si="64"/>
        <v>0</v>
      </c>
      <c r="K168" s="155">
        <f t="shared" si="64"/>
        <v>0</v>
      </c>
      <c r="L168" s="155">
        <f t="shared" si="64"/>
        <v>0</v>
      </c>
      <c r="M168" s="155">
        <f t="shared" si="64"/>
        <v>2473</v>
      </c>
      <c r="N168" s="155">
        <f t="shared" si="64"/>
        <v>0</v>
      </c>
      <c r="O168" s="155">
        <f t="shared" si="64"/>
        <v>2473</v>
      </c>
    </row>
    <row r="169" spans="1:16" ht="16.5" thickTop="1" x14ac:dyDescent="0.25">
      <c r="A169" s="164" t="s">
        <v>0</v>
      </c>
      <c r="B169" s="523" t="s">
        <v>679</v>
      </c>
      <c r="C169" s="524"/>
      <c r="D169" s="525"/>
      <c r="E169" s="525"/>
      <c r="F169" s="532"/>
      <c r="G169" s="525"/>
      <c r="H169" s="527"/>
      <c r="I169" s="528"/>
      <c r="J169" s="526"/>
      <c r="K169" s="526"/>
      <c r="L169" s="527"/>
      <c r="M169" s="527"/>
      <c r="N169" s="527"/>
      <c r="O169" s="527"/>
    </row>
    <row r="170" spans="1:16" x14ac:dyDescent="0.25">
      <c r="A170" s="164"/>
      <c r="B170" s="530" t="s">
        <v>349</v>
      </c>
      <c r="C170" s="524">
        <f>SUM(C171:C172)</f>
        <v>167455</v>
      </c>
      <c r="D170" s="524">
        <f>SUM(D171:D172)</f>
        <v>32509</v>
      </c>
      <c r="E170" s="524">
        <f>SUM(E171:E172)</f>
        <v>62786</v>
      </c>
      <c r="F170" s="526"/>
      <c r="G170" s="525"/>
      <c r="H170" s="527">
        <f>SUM(C170:G170)</f>
        <v>262750</v>
      </c>
      <c r="I170" s="528"/>
      <c r="J170" s="526"/>
      <c r="K170" s="526"/>
      <c r="L170" s="527">
        <f>SUM(I170:K170)</f>
        <v>0</v>
      </c>
      <c r="M170" s="529">
        <f>SUM(H170+L170)</f>
        <v>262750</v>
      </c>
      <c r="N170" s="529"/>
      <c r="O170" s="529">
        <f>SUM(M170+N170)</f>
        <v>262750</v>
      </c>
    </row>
    <row r="171" spans="1:16" s="168" customFormat="1" x14ac:dyDescent="0.25">
      <c r="A171" s="177"/>
      <c r="B171" s="165" t="s">
        <v>383</v>
      </c>
      <c r="C171" s="185">
        <v>167455</v>
      </c>
      <c r="D171" s="175">
        <v>32509</v>
      </c>
      <c r="E171" s="175">
        <v>62786</v>
      </c>
      <c r="F171" s="171"/>
      <c r="G171" s="175"/>
      <c r="H171" s="170">
        <f>SUM(C171:G171)</f>
        <v>262750</v>
      </c>
      <c r="I171" s="172"/>
      <c r="J171" s="171"/>
      <c r="K171" s="171"/>
      <c r="L171" s="170">
        <f>SUM(I171:K171)</f>
        <v>0</v>
      </c>
      <c r="M171" s="169">
        <f>SUM(H171+L171)</f>
        <v>262750</v>
      </c>
      <c r="N171" s="169"/>
      <c r="O171" s="169">
        <f>SUM(M171+N171)</f>
        <v>262750</v>
      </c>
    </row>
    <row r="172" spans="1:16" s="168" customFormat="1" x14ac:dyDescent="0.25">
      <c r="A172" s="177"/>
      <c r="B172" s="165" t="s">
        <v>382</v>
      </c>
      <c r="C172" s="185"/>
      <c r="D172" s="175"/>
      <c r="E172" s="175"/>
      <c r="F172" s="171"/>
      <c r="G172" s="175"/>
      <c r="H172" s="170">
        <f>SUM(C172:G172)</f>
        <v>0</v>
      </c>
      <c r="I172" s="172"/>
      <c r="J172" s="171"/>
      <c r="K172" s="171"/>
      <c r="L172" s="170">
        <f>SUM(I172:K172)</f>
        <v>0</v>
      </c>
      <c r="M172" s="169">
        <f>SUM(H172+L172)</f>
        <v>0</v>
      </c>
      <c r="N172" s="169"/>
      <c r="O172" s="169">
        <f>SUM(M172+N172)</f>
        <v>0</v>
      </c>
    </row>
    <row r="173" spans="1:16" s="168" customFormat="1" x14ac:dyDescent="0.25">
      <c r="A173" s="177"/>
      <c r="B173" s="165" t="s">
        <v>132</v>
      </c>
      <c r="C173" s="185"/>
      <c r="D173" s="175"/>
      <c r="E173" s="175"/>
      <c r="F173" s="171"/>
      <c r="G173" s="175"/>
      <c r="H173" s="170"/>
      <c r="I173" s="172"/>
      <c r="J173" s="171"/>
      <c r="K173" s="171"/>
      <c r="L173" s="170"/>
      <c r="M173" s="169"/>
      <c r="N173" s="169"/>
      <c r="O173" s="169"/>
    </row>
    <row r="174" spans="1:16" s="168" customFormat="1" ht="33" customHeight="1" x14ac:dyDescent="0.25">
      <c r="A174" s="177"/>
      <c r="B174" s="530" t="s">
        <v>1196</v>
      </c>
      <c r="C174" s="201">
        <v>12723</v>
      </c>
      <c r="D174" s="199">
        <v>2403</v>
      </c>
      <c r="E174" s="199">
        <v>200</v>
      </c>
      <c r="F174" s="171"/>
      <c r="G174" s="175"/>
      <c r="H174" s="196">
        <f t="shared" ref="H174:H181" si="65">SUM(C174:G174)</f>
        <v>15326</v>
      </c>
      <c r="I174" s="172"/>
      <c r="J174" s="171"/>
      <c r="K174" s="171"/>
      <c r="L174" s="196">
        <f t="shared" ref="L174:L181" si="66">SUM(I174:K174)</f>
        <v>0</v>
      </c>
      <c r="M174" s="195">
        <f t="shared" ref="M174:M181" si="67">SUM(H174+L174)</f>
        <v>15326</v>
      </c>
      <c r="N174" s="169"/>
      <c r="O174" s="195">
        <f t="shared" ref="O174:O181" si="68">SUM(M174+N174)</f>
        <v>15326</v>
      </c>
    </row>
    <row r="175" spans="1:16" s="168" customFormat="1" ht="31.5" x14ac:dyDescent="0.25">
      <c r="A175" s="177"/>
      <c r="B175" s="530" t="s">
        <v>1252</v>
      </c>
      <c r="C175" s="201">
        <v>60</v>
      </c>
      <c r="D175" s="199">
        <v>11</v>
      </c>
      <c r="E175" s="199"/>
      <c r="F175" s="171"/>
      <c r="G175" s="175"/>
      <c r="H175" s="196">
        <f t="shared" si="65"/>
        <v>71</v>
      </c>
      <c r="I175" s="172"/>
      <c r="J175" s="171"/>
      <c r="K175" s="171"/>
      <c r="L175" s="196">
        <f t="shared" si="66"/>
        <v>0</v>
      </c>
      <c r="M175" s="195">
        <f t="shared" si="67"/>
        <v>71</v>
      </c>
      <c r="N175" s="169"/>
      <c r="O175" s="195">
        <f t="shared" si="68"/>
        <v>71</v>
      </c>
    </row>
    <row r="176" spans="1:16" s="168" customFormat="1" ht="31.5" x14ac:dyDescent="0.25">
      <c r="A176" s="177"/>
      <c r="B176" s="530" t="s">
        <v>1198</v>
      </c>
      <c r="C176" s="201"/>
      <c r="D176" s="199">
        <v>-1649</v>
      </c>
      <c r="E176" s="199"/>
      <c r="F176" s="171"/>
      <c r="G176" s="175"/>
      <c r="H176" s="196">
        <f t="shared" si="65"/>
        <v>-1649</v>
      </c>
      <c r="I176" s="172"/>
      <c r="J176" s="171"/>
      <c r="K176" s="171"/>
      <c r="L176" s="196">
        <f t="shared" si="66"/>
        <v>0</v>
      </c>
      <c r="M176" s="195">
        <f t="shared" si="67"/>
        <v>-1649</v>
      </c>
      <c r="N176" s="169"/>
      <c r="O176" s="195">
        <f t="shared" si="68"/>
        <v>-1649</v>
      </c>
    </row>
    <row r="177" spans="1:16" s="168" customFormat="1" x14ac:dyDescent="0.25">
      <c r="A177" s="177"/>
      <c r="B177" s="530" t="s">
        <v>1199</v>
      </c>
      <c r="C177" s="201">
        <v>-507</v>
      </c>
      <c r="D177" s="199">
        <v>-89</v>
      </c>
      <c r="E177" s="199"/>
      <c r="F177" s="171"/>
      <c r="G177" s="175"/>
      <c r="H177" s="196">
        <f t="shared" si="65"/>
        <v>-596</v>
      </c>
      <c r="I177" s="172"/>
      <c r="J177" s="171"/>
      <c r="K177" s="171"/>
      <c r="L177" s="196">
        <f t="shared" si="66"/>
        <v>0</v>
      </c>
      <c r="M177" s="195">
        <f t="shared" si="67"/>
        <v>-596</v>
      </c>
      <c r="N177" s="169"/>
      <c r="O177" s="195">
        <f t="shared" si="68"/>
        <v>-596</v>
      </c>
    </row>
    <row r="178" spans="1:16" s="168" customFormat="1" ht="47.25" x14ac:dyDescent="0.25">
      <c r="A178" s="177"/>
      <c r="B178" s="530" t="s">
        <v>1200</v>
      </c>
      <c r="C178" s="201">
        <v>1259</v>
      </c>
      <c r="D178" s="199">
        <v>220</v>
      </c>
      <c r="E178" s="199"/>
      <c r="F178" s="171"/>
      <c r="G178" s="175"/>
      <c r="H178" s="196">
        <f t="shared" si="65"/>
        <v>1479</v>
      </c>
      <c r="I178" s="172"/>
      <c r="J178" s="171"/>
      <c r="K178" s="171"/>
      <c r="L178" s="196">
        <f t="shared" si="66"/>
        <v>0</v>
      </c>
      <c r="M178" s="195">
        <f t="shared" si="67"/>
        <v>1479</v>
      </c>
      <c r="N178" s="169"/>
      <c r="O178" s="195">
        <f t="shared" si="68"/>
        <v>1479</v>
      </c>
    </row>
    <row r="179" spans="1:16" s="168" customFormat="1" ht="31.5" x14ac:dyDescent="0.25">
      <c r="A179" s="177"/>
      <c r="B179" s="530" t="s">
        <v>584</v>
      </c>
      <c r="C179" s="201"/>
      <c r="D179" s="199"/>
      <c r="E179" s="199">
        <v>-25</v>
      </c>
      <c r="F179" s="171"/>
      <c r="G179" s="175"/>
      <c r="H179" s="196">
        <f t="shared" si="65"/>
        <v>-25</v>
      </c>
      <c r="I179" s="172">
        <v>25</v>
      </c>
      <c r="J179" s="171"/>
      <c r="K179" s="171"/>
      <c r="L179" s="196">
        <f t="shared" si="66"/>
        <v>25</v>
      </c>
      <c r="M179" s="195">
        <f t="shared" si="67"/>
        <v>0</v>
      </c>
      <c r="N179" s="169"/>
      <c r="O179" s="195">
        <f t="shared" si="68"/>
        <v>0</v>
      </c>
    </row>
    <row r="180" spans="1:16" s="168" customFormat="1" x14ac:dyDescent="0.25">
      <c r="A180" s="177"/>
      <c r="B180" s="530" t="s">
        <v>1201</v>
      </c>
      <c r="C180" s="201"/>
      <c r="D180" s="199"/>
      <c r="E180" s="199">
        <v>-4763</v>
      </c>
      <c r="F180" s="171"/>
      <c r="G180" s="175"/>
      <c r="H180" s="196">
        <f t="shared" si="65"/>
        <v>-4763</v>
      </c>
      <c r="I180" s="172"/>
      <c r="J180" s="171"/>
      <c r="K180" s="171"/>
      <c r="L180" s="196">
        <f t="shared" si="66"/>
        <v>0</v>
      </c>
      <c r="M180" s="195">
        <f t="shared" si="67"/>
        <v>-4763</v>
      </c>
      <c r="N180" s="169"/>
      <c r="O180" s="195">
        <f t="shared" si="68"/>
        <v>-4763</v>
      </c>
    </row>
    <row r="181" spans="1:16" s="168" customFormat="1" ht="31.5" customHeight="1" x14ac:dyDescent="0.25">
      <c r="A181" s="177"/>
      <c r="B181" s="530" t="s">
        <v>1256</v>
      </c>
      <c r="C181" s="201"/>
      <c r="D181" s="199"/>
      <c r="E181" s="199">
        <v>1000</v>
      </c>
      <c r="F181" s="171"/>
      <c r="G181" s="175"/>
      <c r="H181" s="196">
        <f t="shared" si="65"/>
        <v>1000</v>
      </c>
      <c r="I181" s="172"/>
      <c r="J181" s="171"/>
      <c r="K181" s="171"/>
      <c r="L181" s="196">
        <f t="shared" si="66"/>
        <v>0</v>
      </c>
      <c r="M181" s="195">
        <f t="shared" si="67"/>
        <v>1000</v>
      </c>
      <c r="N181" s="169"/>
      <c r="O181" s="195">
        <f t="shared" si="68"/>
        <v>1000</v>
      </c>
    </row>
    <row r="182" spans="1:16" s="168" customFormat="1" x14ac:dyDescent="0.25">
      <c r="A182" s="177"/>
      <c r="B182" s="165" t="s">
        <v>133</v>
      </c>
      <c r="C182" s="201"/>
      <c r="D182" s="199"/>
      <c r="E182" s="199"/>
      <c r="F182" s="171"/>
      <c r="G182" s="175"/>
      <c r="H182" s="196"/>
      <c r="I182" s="172"/>
      <c r="J182" s="171"/>
      <c r="K182" s="171"/>
      <c r="L182" s="196"/>
      <c r="M182" s="195"/>
      <c r="N182" s="169"/>
      <c r="O182" s="195"/>
    </row>
    <row r="183" spans="1:16" s="168" customFormat="1" ht="16.5" thickBot="1" x14ac:dyDescent="0.3">
      <c r="A183" s="177"/>
      <c r="B183" s="530" t="s">
        <v>1204</v>
      </c>
      <c r="C183" s="201">
        <v>1815</v>
      </c>
      <c r="D183" s="199">
        <v>590</v>
      </c>
      <c r="E183" s="199"/>
      <c r="F183" s="171"/>
      <c r="G183" s="175"/>
      <c r="H183" s="196">
        <f>SUM(C183:G183)</f>
        <v>2405</v>
      </c>
      <c r="I183" s="172"/>
      <c r="J183" s="171"/>
      <c r="K183" s="171"/>
      <c r="L183" s="196">
        <f>SUM(I183:K183)</f>
        <v>0</v>
      </c>
      <c r="M183" s="195">
        <f>SUM(H183+L183)</f>
        <v>2405</v>
      </c>
      <c r="N183" s="169"/>
      <c r="O183" s="195">
        <f>SUM(M183+N183)</f>
        <v>2405</v>
      </c>
    </row>
    <row r="184" spans="1:16" ht="17.25" thickTop="1" thickBot="1" x14ac:dyDescent="0.3">
      <c r="A184" s="157"/>
      <c r="B184" s="156" t="s">
        <v>381</v>
      </c>
      <c r="C184" s="155">
        <f>+C170+C174+C183+C175+C176+C177+C178+C179+C180+C181</f>
        <v>182805</v>
      </c>
      <c r="D184" s="155">
        <f t="shared" ref="D184:O184" si="69">+D170+D174+D183+D175+D176+D177+D178+D179+D180+D181</f>
        <v>33995</v>
      </c>
      <c r="E184" s="155">
        <f t="shared" si="69"/>
        <v>59198</v>
      </c>
      <c r="F184" s="155">
        <f t="shared" si="69"/>
        <v>0</v>
      </c>
      <c r="G184" s="155">
        <f t="shared" si="69"/>
        <v>0</v>
      </c>
      <c r="H184" s="155">
        <f t="shared" si="69"/>
        <v>275998</v>
      </c>
      <c r="I184" s="155">
        <f t="shared" si="69"/>
        <v>25</v>
      </c>
      <c r="J184" s="155">
        <f t="shared" si="69"/>
        <v>0</v>
      </c>
      <c r="K184" s="155">
        <f t="shared" si="69"/>
        <v>0</v>
      </c>
      <c r="L184" s="155">
        <f t="shared" si="69"/>
        <v>25</v>
      </c>
      <c r="M184" s="155">
        <f t="shared" si="69"/>
        <v>276023</v>
      </c>
      <c r="N184" s="155">
        <f t="shared" si="69"/>
        <v>0</v>
      </c>
      <c r="O184" s="155">
        <f t="shared" si="69"/>
        <v>276023</v>
      </c>
      <c r="P184" s="150"/>
    </row>
    <row r="185" spans="1:16" ht="17.25" thickTop="1" thickBot="1" x14ac:dyDescent="0.3">
      <c r="A185" s="157"/>
      <c r="B185" s="156" t="s">
        <v>380</v>
      </c>
      <c r="C185" s="155">
        <f t="shared" ref="C185:O185" si="70">+C171+C174+C175+C176+C177+C178+C179+C180+C181</f>
        <v>180990</v>
      </c>
      <c r="D185" s="155">
        <f t="shared" si="70"/>
        <v>33405</v>
      </c>
      <c r="E185" s="155">
        <f t="shared" si="70"/>
        <v>59198</v>
      </c>
      <c r="F185" s="155">
        <f t="shared" si="70"/>
        <v>0</v>
      </c>
      <c r="G185" s="155">
        <f t="shared" si="70"/>
        <v>0</v>
      </c>
      <c r="H185" s="155">
        <f t="shared" si="70"/>
        <v>273593</v>
      </c>
      <c r="I185" s="155">
        <f t="shared" si="70"/>
        <v>25</v>
      </c>
      <c r="J185" s="155">
        <f t="shared" si="70"/>
        <v>0</v>
      </c>
      <c r="K185" s="155">
        <f t="shared" si="70"/>
        <v>0</v>
      </c>
      <c r="L185" s="155">
        <f t="shared" si="70"/>
        <v>25</v>
      </c>
      <c r="M185" s="155">
        <f t="shared" si="70"/>
        <v>273618</v>
      </c>
      <c r="N185" s="155">
        <f t="shared" si="70"/>
        <v>0</v>
      </c>
      <c r="O185" s="155">
        <f t="shared" si="70"/>
        <v>273618</v>
      </c>
    </row>
    <row r="186" spans="1:16" ht="17.25" thickTop="1" thickBot="1" x14ac:dyDescent="0.3">
      <c r="A186" s="157"/>
      <c r="B186" s="156" t="s">
        <v>379</v>
      </c>
      <c r="C186" s="155">
        <f>+C172+C183</f>
        <v>1815</v>
      </c>
      <c r="D186" s="155">
        <f t="shared" ref="D186:O186" si="71">+D172+D183</f>
        <v>590</v>
      </c>
      <c r="E186" s="155">
        <f t="shared" si="71"/>
        <v>0</v>
      </c>
      <c r="F186" s="155">
        <f t="shared" si="71"/>
        <v>0</v>
      </c>
      <c r="G186" s="155">
        <f t="shared" si="71"/>
        <v>0</v>
      </c>
      <c r="H186" s="155">
        <f t="shared" si="71"/>
        <v>2405</v>
      </c>
      <c r="I186" s="155">
        <f t="shared" si="71"/>
        <v>0</v>
      </c>
      <c r="J186" s="155">
        <f t="shared" si="71"/>
        <v>0</v>
      </c>
      <c r="K186" s="155">
        <f t="shared" si="71"/>
        <v>0</v>
      </c>
      <c r="L186" s="155">
        <f t="shared" si="71"/>
        <v>0</v>
      </c>
      <c r="M186" s="155">
        <f t="shared" si="71"/>
        <v>2405</v>
      </c>
      <c r="N186" s="155">
        <f t="shared" si="71"/>
        <v>0</v>
      </c>
      <c r="O186" s="155">
        <f t="shared" si="71"/>
        <v>2405</v>
      </c>
    </row>
    <row r="187" spans="1:16" ht="32.25" thickTop="1" x14ac:dyDescent="0.25">
      <c r="A187" s="161" t="s">
        <v>1</v>
      </c>
      <c r="B187" s="539" t="s">
        <v>680</v>
      </c>
      <c r="C187" s="540"/>
      <c r="D187" s="541"/>
      <c r="E187" s="541"/>
      <c r="F187" s="542"/>
      <c r="G187" s="541"/>
      <c r="H187" s="543"/>
      <c r="I187" s="544"/>
      <c r="J187" s="542"/>
      <c r="K187" s="542"/>
      <c r="L187" s="543"/>
      <c r="M187" s="543"/>
      <c r="N187" s="543"/>
      <c r="O187" s="543"/>
    </row>
    <row r="188" spans="1:16" x14ac:dyDescent="0.25">
      <c r="A188" s="164"/>
      <c r="B188" s="530" t="s">
        <v>349</v>
      </c>
      <c r="C188" s="524">
        <f>SUM(C189:C190)</f>
        <v>184459</v>
      </c>
      <c r="D188" s="524">
        <f>SUM(D189:D190)</f>
        <v>35580</v>
      </c>
      <c r="E188" s="524">
        <f>SUM(E189:E190)</f>
        <v>91384</v>
      </c>
      <c r="F188" s="526"/>
      <c r="G188" s="525"/>
      <c r="H188" s="527">
        <f>SUM(C188:G188)</f>
        <v>311423</v>
      </c>
      <c r="I188" s="528"/>
      <c r="J188" s="526"/>
      <c r="K188" s="526"/>
      <c r="L188" s="527">
        <f>SUM(I188:K188)</f>
        <v>0</v>
      </c>
      <c r="M188" s="529">
        <f>SUM(H188+L188)</f>
        <v>311423</v>
      </c>
      <c r="N188" s="529"/>
      <c r="O188" s="529">
        <f>SUM(M188+N188)</f>
        <v>311423</v>
      </c>
    </row>
    <row r="189" spans="1:16" s="168" customFormat="1" x14ac:dyDescent="0.25">
      <c r="A189" s="177"/>
      <c r="B189" s="165" t="s">
        <v>383</v>
      </c>
      <c r="C189" s="185">
        <v>184459</v>
      </c>
      <c r="D189" s="175">
        <v>35580</v>
      </c>
      <c r="E189" s="175">
        <v>91384</v>
      </c>
      <c r="F189" s="171"/>
      <c r="G189" s="175"/>
      <c r="H189" s="170">
        <f>SUM(C189:G189)</f>
        <v>311423</v>
      </c>
      <c r="I189" s="172"/>
      <c r="J189" s="171"/>
      <c r="K189" s="171"/>
      <c r="L189" s="170">
        <f>SUM(I189:K189)</f>
        <v>0</v>
      </c>
      <c r="M189" s="169">
        <f>SUM(H189+L189)</f>
        <v>311423</v>
      </c>
      <c r="N189" s="169"/>
      <c r="O189" s="169">
        <f>SUM(M189+N189)</f>
        <v>311423</v>
      </c>
    </row>
    <row r="190" spans="1:16" s="168" customFormat="1" x14ac:dyDescent="0.25">
      <c r="A190" s="177"/>
      <c r="B190" s="165" t="s">
        <v>382</v>
      </c>
      <c r="C190" s="185"/>
      <c r="D190" s="175"/>
      <c r="E190" s="175"/>
      <c r="F190" s="171"/>
      <c r="G190" s="175"/>
      <c r="H190" s="170">
        <f>SUM(C190:G190)</f>
        <v>0</v>
      </c>
      <c r="I190" s="172"/>
      <c r="J190" s="171"/>
      <c r="K190" s="171"/>
      <c r="L190" s="170">
        <f>SUM(I190:K190)</f>
        <v>0</v>
      </c>
      <c r="M190" s="169">
        <f>SUM(H190+L190)</f>
        <v>0</v>
      </c>
      <c r="N190" s="169"/>
      <c r="O190" s="169">
        <f>SUM(M190+N190)</f>
        <v>0</v>
      </c>
    </row>
    <row r="191" spans="1:16" s="168" customFormat="1" x14ac:dyDescent="0.25">
      <c r="A191" s="177"/>
      <c r="B191" s="165" t="s">
        <v>132</v>
      </c>
      <c r="C191" s="185"/>
      <c r="D191" s="175"/>
      <c r="E191" s="175"/>
      <c r="F191" s="171"/>
      <c r="G191" s="175"/>
      <c r="H191" s="170"/>
      <c r="I191" s="172"/>
      <c r="J191" s="171"/>
      <c r="K191" s="171"/>
      <c r="L191" s="170"/>
      <c r="M191" s="169"/>
      <c r="N191" s="169"/>
      <c r="O191" s="169"/>
    </row>
    <row r="192" spans="1:16" s="168" customFormat="1" ht="30.75" customHeight="1" x14ac:dyDescent="0.25">
      <c r="A192" s="177"/>
      <c r="B192" s="530" t="s">
        <v>1196</v>
      </c>
      <c r="C192" s="201">
        <v>15538</v>
      </c>
      <c r="D192" s="199">
        <v>2815</v>
      </c>
      <c r="E192" s="199"/>
      <c r="F192" s="171"/>
      <c r="G192" s="175"/>
      <c r="H192" s="196">
        <f t="shared" ref="H192:H198" si="72">SUM(C192:G192)</f>
        <v>18353</v>
      </c>
      <c r="I192" s="172"/>
      <c r="J192" s="171"/>
      <c r="K192" s="171"/>
      <c r="L192" s="196">
        <f t="shared" ref="L192:L198" si="73">SUM(I192:K192)</f>
        <v>0</v>
      </c>
      <c r="M192" s="195">
        <f t="shared" ref="M192:M198" si="74">SUM(H192+L192)</f>
        <v>18353</v>
      </c>
      <c r="N192" s="169"/>
      <c r="O192" s="195">
        <f t="shared" ref="O192:O198" si="75">SUM(M192+N192)</f>
        <v>18353</v>
      </c>
    </row>
    <row r="193" spans="1:16" s="168" customFormat="1" ht="31.5" x14ac:dyDescent="0.25">
      <c r="A193" s="177"/>
      <c r="B193" s="530" t="s">
        <v>1252</v>
      </c>
      <c r="C193" s="201">
        <v>73</v>
      </c>
      <c r="D193" s="199">
        <v>13</v>
      </c>
      <c r="E193" s="199"/>
      <c r="F193" s="171"/>
      <c r="G193" s="175"/>
      <c r="H193" s="196">
        <f t="shared" si="72"/>
        <v>86</v>
      </c>
      <c r="I193" s="172"/>
      <c r="J193" s="171"/>
      <c r="K193" s="171"/>
      <c r="L193" s="196">
        <f t="shared" si="73"/>
        <v>0</v>
      </c>
      <c r="M193" s="195">
        <f t="shared" si="74"/>
        <v>86</v>
      </c>
      <c r="N193" s="169"/>
      <c r="O193" s="195">
        <f t="shared" si="75"/>
        <v>86</v>
      </c>
    </row>
    <row r="194" spans="1:16" s="168" customFormat="1" ht="31.5" x14ac:dyDescent="0.25">
      <c r="A194" s="177"/>
      <c r="B194" s="530" t="s">
        <v>1198</v>
      </c>
      <c r="C194" s="201"/>
      <c r="D194" s="199">
        <v>-1816</v>
      </c>
      <c r="E194" s="199"/>
      <c r="F194" s="171"/>
      <c r="G194" s="175"/>
      <c r="H194" s="196">
        <f t="shared" si="72"/>
        <v>-1816</v>
      </c>
      <c r="I194" s="172"/>
      <c r="J194" s="171"/>
      <c r="K194" s="171"/>
      <c r="L194" s="196">
        <f t="shared" si="73"/>
        <v>0</v>
      </c>
      <c r="M194" s="195">
        <f t="shared" si="74"/>
        <v>-1816</v>
      </c>
      <c r="N194" s="169"/>
      <c r="O194" s="195">
        <f t="shared" si="75"/>
        <v>-1816</v>
      </c>
    </row>
    <row r="195" spans="1:16" s="168" customFormat="1" x14ac:dyDescent="0.25">
      <c r="A195" s="177"/>
      <c r="B195" s="530" t="s">
        <v>1199</v>
      </c>
      <c r="C195" s="201">
        <v>-611</v>
      </c>
      <c r="D195" s="199">
        <v>-107</v>
      </c>
      <c r="E195" s="199"/>
      <c r="F195" s="171"/>
      <c r="G195" s="175"/>
      <c r="H195" s="196">
        <f t="shared" si="72"/>
        <v>-718</v>
      </c>
      <c r="I195" s="172"/>
      <c r="J195" s="171"/>
      <c r="K195" s="171"/>
      <c r="L195" s="196">
        <f t="shared" si="73"/>
        <v>0</v>
      </c>
      <c r="M195" s="195">
        <f t="shared" si="74"/>
        <v>-718</v>
      </c>
      <c r="N195" s="169"/>
      <c r="O195" s="195">
        <f t="shared" si="75"/>
        <v>-718</v>
      </c>
    </row>
    <row r="196" spans="1:16" s="168" customFormat="1" ht="31.5" x14ac:dyDescent="0.25">
      <c r="A196" s="177"/>
      <c r="B196" s="530" t="s">
        <v>1254</v>
      </c>
      <c r="C196" s="201"/>
      <c r="D196" s="199"/>
      <c r="E196" s="199">
        <v>70</v>
      </c>
      <c r="F196" s="171"/>
      <c r="G196" s="175"/>
      <c r="H196" s="196">
        <f t="shared" si="72"/>
        <v>70</v>
      </c>
      <c r="I196" s="172"/>
      <c r="J196" s="171"/>
      <c r="K196" s="171"/>
      <c r="L196" s="196">
        <f t="shared" si="73"/>
        <v>0</v>
      </c>
      <c r="M196" s="195">
        <f t="shared" si="74"/>
        <v>70</v>
      </c>
      <c r="N196" s="169"/>
      <c r="O196" s="195">
        <f t="shared" si="75"/>
        <v>70</v>
      </c>
    </row>
    <row r="197" spans="1:16" s="168" customFormat="1" ht="47.25" x14ac:dyDescent="0.25">
      <c r="A197" s="177"/>
      <c r="B197" s="530" t="s">
        <v>1200</v>
      </c>
      <c r="C197" s="201">
        <v>676</v>
      </c>
      <c r="D197" s="199">
        <v>118</v>
      </c>
      <c r="E197" s="199"/>
      <c r="F197" s="171"/>
      <c r="G197" s="175"/>
      <c r="H197" s="196">
        <f t="shared" si="72"/>
        <v>794</v>
      </c>
      <c r="I197" s="172"/>
      <c r="J197" s="171"/>
      <c r="K197" s="171"/>
      <c r="L197" s="196">
        <f t="shared" si="73"/>
        <v>0</v>
      </c>
      <c r="M197" s="195">
        <f t="shared" si="74"/>
        <v>794</v>
      </c>
      <c r="N197" s="169"/>
      <c r="O197" s="195">
        <f t="shared" si="75"/>
        <v>794</v>
      </c>
    </row>
    <row r="198" spans="1:16" s="168" customFormat="1" x14ac:dyDescent="0.25">
      <c r="A198" s="177"/>
      <c r="B198" s="530" t="s">
        <v>1201</v>
      </c>
      <c r="C198" s="201"/>
      <c r="D198" s="199"/>
      <c r="E198" s="199">
        <v>-5598</v>
      </c>
      <c r="F198" s="171"/>
      <c r="G198" s="175"/>
      <c r="H198" s="196">
        <f t="shared" si="72"/>
        <v>-5598</v>
      </c>
      <c r="I198" s="172"/>
      <c r="J198" s="171"/>
      <c r="K198" s="171"/>
      <c r="L198" s="196">
        <f t="shared" si="73"/>
        <v>0</v>
      </c>
      <c r="M198" s="195">
        <f t="shared" si="74"/>
        <v>-5598</v>
      </c>
      <c r="N198" s="169"/>
      <c r="O198" s="195">
        <f t="shared" si="75"/>
        <v>-5598</v>
      </c>
    </row>
    <row r="199" spans="1:16" s="168" customFormat="1" x14ac:dyDescent="0.25">
      <c r="A199" s="177"/>
      <c r="B199" s="165" t="s">
        <v>133</v>
      </c>
      <c r="C199" s="201"/>
      <c r="D199" s="199"/>
      <c r="E199" s="199"/>
      <c r="F199" s="171"/>
      <c r="G199" s="175"/>
      <c r="H199" s="196"/>
      <c r="I199" s="172"/>
      <c r="J199" s="171"/>
      <c r="K199" s="171"/>
      <c r="L199" s="196"/>
      <c r="M199" s="195"/>
      <c r="N199" s="169"/>
      <c r="O199" s="195"/>
    </row>
    <row r="200" spans="1:16" s="168" customFormat="1" ht="16.5" thickBot="1" x14ac:dyDescent="0.3">
      <c r="A200" s="177"/>
      <c r="B200" s="530" t="s">
        <v>1204</v>
      </c>
      <c r="C200" s="201">
        <v>1830</v>
      </c>
      <c r="D200" s="199">
        <v>595</v>
      </c>
      <c r="E200" s="199"/>
      <c r="F200" s="171"/>
      <c r="G200" s="175"/>
      <c r="H200" s="196">
        <f>SUM(C200:G200)</f>
        <v>2425</v>
      </c>
      <c r="I200" s="172"/>
      <c r="J200" s="171"/>
      <c r="K200" s="171"/>
      <c r="L200" s="196">
        <f>SUM(I200:K200)</f>
        <v>0</v>
      </c>
      <c r="M200" s="195">
        <f>SUM(H200+L200)</f>
        <v>2425</v>
      </c>
      <c r="N200" s="169"/>
      <c r="O200" s="195">
        <f>SUM(M200+N200)</f>
        <v>2425</v>
      </c>
    </row>
    <row r="201" spans="1:16" ht="17.25" thickTop="1" thickBot="1" x14ac:dyDescent="0.3">
      <c r="A201" s="157"/>
      <c r="B201" s="156" t="s">
        <v>381</v>
      </c>
      <c r="C201" s="155">
        <f>+C188+C192+C200+C193+C194+C195+C196+C197+C198</f>
        <v>201965</v>
      </c>
      <c r="D201" s="155">
        <f t="shared" ref="D201:O201" si="76">+D188+D192+D200+D193+D194+D195+D196+D197+D198</f>
        <v>37198</v>
      </c>
      <c r="E201" s="155">
        <f t="shared" si="76"/>
        <v>85856</v>
      </c>
      <c r="F201" s="155">
        <f t="shared" si="76"/>
        <v>0</v>
      </c>
      <c r="G201" s="155">
        <f t="shared" si="76"/>
        <v>0</v>
      </c>
      <c r="H201" s="155">
        <f t="shared" si="76"/>
        <v>325019</v>
      </c>
      <c r="I201" s="155">
        <f t="shared" si="76"/>
        <v>0</v>
      </c>
      <c r="J201" s="155">
        <f t="shared" si="76"/>
        <v>0</v>
      </c>
      <c r="K201" s="155">
        <f t="shared" si="76"/>
        <v>0</v>
      </c>
      <c r="L201" s="155">
        <f t="shared" si="76"/>
        <v>0</v>
      </c>
      <c r="M201" s="155">
        <f t="shared" si="76"/>
        <v>325019</v>
      </c>
      <c r="N201" s="155">
        <f t="shared" si="76"/>
        <v>0</v>
      </c>
      <c r="O201" s="155">
        <f t="shared" si="76"/>
        <v>325019</v>
      </c>
      <c r="P201" s="150"/>
    </row>
    <row r="202" spans="1:16" ht="17.25" thickTop="1" thickBot="1" x14ac:dyDescent="0.3">
      <c r="A202" s="157"/>
      <c r="B202" s="156" t="s">
        <v>380</v>
      </c>
      <c r="C202" s="155">
        <f>+C189+C192+C193+C194+C195+C196+C197+C198</f>
        <v>200135</v>
      </c>
      <c r="D202" s="155">
        <f t="shared" ref="D202:O202" si="77">+D189+D192+D193+D194+D195+D196+D197+D198</f>
        <v>36603</v>
      </c>
      <c r="E202" s="155">
        <f t="shared" si="77"/>
        <v>85856</v>
      </c>
      <c r="F202" s="155">
        <f t="shared" si="77"/>
        <v>0</v>
      </c>
      <c r="G202" s="155">
        <f t="shared" si="77"/>
        <v>0</v>
      </c>
      <c r="H202" s="155">
        <f t="shared" si="77"/>
        <v>322594</v>
      </c>
      <c r="I202" s="155">
        <f t="shared" si="77"/>
        <v>0</v>
      </c>
      <c r="J202" s="155">
        <f t="shared" si="77"/>
        <v>0</v>
      </c>
      <c r="K202" s="155">
        <f t="shared" si="77"/>
        <v>0</v>
      </c>
      <c r="L202" s="155">
        <f t="shared" si="77"/>
        <v>0</v>
      </c>
      <c r="M202" s="155">
        <f t="shared" si="77"/>
        <v>322594</v>
      </c>
      <c r="N202" s="155">
        <f t="shared" si="77"/>
        <v>0</v>
      </c>
      <c r="O202" s="155">
        <f t="shared" si="77"/>
        <v>322594</v>
      </c>
    </row>
    <row r="203" spans="1:16" ht="17.25" thickTop="1" thickBot="1" x14ac:dyDescent="0.3">
      <c r="A203" s="157"/>
      <c r="B203" s="156" t="s">
        <v>379</v>
      </c>
      <c r="C203" s="155">
        <f>+C190+C200</f>
        <v>1830</v>
      </c>
      <c r="D203" s="155">
        <f t="shared" ref="D203:O203" si="78">+D190+D200</f>
        <v>595</v>
      </c>
      <c r="E203" s="155">
        <f t="shared" si="78"/>
        <v>0</v>
      </c>
      <c r="F203" s="155">
        <f t="shared" si="78"/>
        <v>0</v>
      </c>
      <c r="G203" s="155">
        <f t="shared" si="78"/>
        <v>0</v>
      </c>
      <c r="H203" s="155">
        <f t="shared" si="78"/>
        <v>2425</v>
      </c>
      <c r="I203" s="155">
        <f t="shared" si="78"/>
        <v>0</v>
      </c>
      <c r="J203" s="155">
        <f t="shared" si="78"/>
        <v>0</v>
      </c>
      <c r="K203" s="155">
        <f t="shared" si="78"/>
        <v>0</v>
      </c>
      <c r="L203" s="155">
        <f t="shared" si="78"/>
        <v>0</v>
      </c>
      <c r="M203" s="155">
        <f t="shared" si="78"/>
        <v>2425</v>
      </c>
      <c r="N203" s="155">
        <f t="shared" si="78"/>
        <v>0</v>
      </c>
      <c r="O203" s="155">
        <f t="shared" si="78"/>
        <v>2425</v>
      </c>
    </row>
    <row r="204" spans="1:16" ht="16.5" thickTop="1" x14ac:dyDescent="0.25">
      <c r="A204" s="164" t="s">
        <v>2</v>
      </c>
      <c r="B204" s="523" t="s">
        <v>404</v>
      </c>
      <c r="C204" s="524"/>
      <c r="D204" s="525"/>
      <c r="E204" s="525"/>
      <c r="F204" s="532"/>
      <c r="G204" s="525"/>
      <c r="H204" s="527"/>
      <c r="I204" s="528"/>
      <c r="J204" s="526"/>
      <c r="K204" s="526"/>
      <c r="L204" s="527"/>
      <c r="M204" s="527"/>
      <c r="N204" s="527"/>
      <c r="O204" s="527"/>
    </row>
    <row r="205" spans="1:16" x14ac:dyDescent="0.25">
      <c r="A205" s="167"/>
      <c r="B205" s="523" t="s">
        <v>349</v>
      </c>
      <c r="C205" s="524">
        <f>SUM(C206:C207)</f>
        <v>117946</v>
      </c>
      <c r="D205" s="524">
        <f>SUM(D206:D207)</f>
        <v>22719</v>
      </c>
      <c r="E205" s="524">
        <f>SUM(E206:E207)</f>
        <v>55268</v>
      </c>
      <c r="F205" s="526"/>
      <c r="G205" s="525"/>
      <c r="H205" s="527">
        <f>SUM(C205:G205)</f>
        <v>195933</v>
      </c>
      <c r="I205" s="528"/>
      <c r="J205" s="526"/>
      <c r="K205" s="526"/>
      <c r="L205" s="527">
        <f>SUM(I205:K205)</f>
        <v>0</v>
      </c>
      <c r="M205" s="529">
        <f>SUM(H205+L205)</f>
        <v>195933</v>
      </c>
      <c r="N205" s="529"/>
      <c r="O205" s="529">
        <f>SUM(M205+N205)</f>
        <v>195933</v>
      </c>
    </row>
    <row r="206" spans="1:16" s="168" customFormat="1" x14ac:dyDescent="0.25">
      <c r="A206" s="186"/>
      <c r="B206" s="165" t="s">
        <v>383</v>
      </c>
      <c r="C206" s="185">
        <v>117946</v>
      </c>
      <c r="D206" s="175">
        <v>22719</v>
      </c>
      <c r="E206" s="175">
        <v>55268</v>
      </c>
      <c r="F206" s="171"/>
      <c r="G206" s="175"/>
      <c r="H206" s="170">
        <f>SUM(C206:G206)</f>
        <v>195933</v>
      </c>
      <c r="I206" s="172"/>
      <c r="J206" s="171"/>
      <c r="K206" s="171"/>
      <c r="L206" s="170">
        <f>SUM(I206:K206)</f>
        <v>0</v>
      </c>
      <c r="M206" s="169">
        <f>SUM(H206+L206)</f>
        <v>195933</v>
      </c>
      <c r="N206" s="169"/>
      <c r="O206" s="169">
        <f>SUM(M206+N206)</f>
        <v>195933</v>
      </c>
    </row>
    <row r="207" spans="1:16" s="168" customFormat="1" x14ac:dyDescent="0.25">
      <c r="A207" s="186"/>
      <c r="B207" s="165" t="s">
        <v>382</v>
      </c>
      <c r="C207" s="185"/>
      <c r="D207" s="175"/>
      <c r="E207" s="175"/>
      <c r="F207" s="171"/>
      <c r="G207" s="175"/>
      <c r="H207" s="170">
        <f>SUM(C207:G207)</f>
        <v>0</v>
      </c>
      <c r="I207" s="172"/>
      <c r="J207" s="171"/>
      <c r="K207" s="171"/>
      <c r="L207" s="170">
        <f>SUM(I207:K207)</f>
        <v>0</v>
      </c>
      <c r="M207" s="169">
        <f>SUM(H207+L207)</f>
        <v>0</v>
      </c>
      <c r="N207" s="169"/>
      <c r="O207" s="169">
        <f>SUM(M207+N207)</f>
        <v>0</v>
      </c>
    </row>
    <row r="208" spans="1:16" x14ac:dyDescent="0.25">
      <c r="A208" s="167"/>
      <c r="B208" s="166" t="s">
        <v>132</v>
      </c>
      <c r="C208" s="524"/>
      <c r="D208" s="525"/>
      <c r="E208" s="525"/>
      <c r="F208" s="526"/>
      <c r="G208" s="525"/>
      <c r="H208" s="170"/>
      <c r="I208" s="528"/>
      <c r="J208" s="526"/>
      <c r="K208" s="526"/>
      <c r="L208" s="170"/>
      <c r="M208" s="169"/>
      <c r="N208" s="529"/>
      <c r="O208" s="169"/>
    </row>
    <row r="209" spans="1:16" ht="30" customHeight="1" x14ac:dyDescent="0.25">
      <c r="A209" s="167"/>
      <c r="B209" s="530" t="s">
        <v>1196</v>
      </c>
      <c r="C209" s="201">
        <v>15046</v>
      </c>
      <c r="D209" s="199">
        <v>2708</v>
      </c>
      <c r="E209" s="199"/>
      <c r="F209" s="200"/>
      <c r="G209" s="199"/>
      <c r="H209" s="196">
        <f t="shared" ref="H209:H215" si="79">SUM(C209:G209)</f>
        <v>17754</v>
      </c>
      <c r="I209" s="218"/>
      <c r="J209" s="200"/>
      <c r="K209" s="200"/>
      <c r="L209" s="196">
        <f t="shared" ref="L209:L215" si="80">SUM(I209:K209)</f>
        <v>0</v>
      </c>
      <c r="M209" s="195">
        <f t="shared" ref="M209:M215" si="81">SUM(H209+L209)</f>
        <v>17754</v>
      </c>
      <c r="N209" s="195"/>
      <c r="O209" s="195">
        <f t="shared" ref="O209:O215" si="82">SUM(M209+N209)</f>
        <v>17754</v>
      </c>
    </row>
    <row r="210" spans="1:16" ht="31.5" x14ac:dyDescent="0.25">
      <c r="A210" s="167"/>
      <c r="B210" s="530" t="s">
        <v>1252</v>
      </c>
      <c r="C210" s="201">
        <v>140</v>
      </c>
      <c r="D210" s="199">
        <v>24</v>
      </c>
      <c r="E210" s="199"/>
      <c r="F210" s="200"/>
      <c r="G210" s="199"/>
      <c r="H210" s="196">
        <f t="shared" si="79"/>
        <v>164</v>
      </c>
      <c r="I210" s="218"/>
      <c r="J210" s="200"/>
      <c r="K210" s="200"/>
      <c r="L210" s="196">
        <f t="shared" si="80"/>
        <v>0</v>
      </c>
      <c r="M210" s="195">
        <f t="shared" si="81"/>
        <v>164</v>
      </c>
      <c r="N210" s="195"/>
      <c r="O210" s="195">
        <f t="shared" si="82"/>
        <v>164</v>
      </c>
    </row>
    <row r="211" spans="1:16" ht="31.5" x14ac:dyDescent="0.25">
      <c r="A211" s="167"/>
      <c r="B211" s="530" t="s">
        <v>1198</v>
      </c>
      <c r="C211" s="201"/>
      <c r="D211" s="199">
        <v>-1165</v>
      </c>
      <c r="E211" s="199"/>
      <c r="F211" s="200"/>
      <c r="G211" s="199"/>
      <c r="H211" s="196">
        <f t="shared" si="79"/>
        <v>-1165</v>
      </c>
      <c r="I211" s="218"/>
      <c r="J211" s="200"/>
      <c r="K211" s="200"/>
      <c r="L211" s="196">
        <f t="shared" si="80"/>
        <v>0</v>
      </c>
      <c r="M211" s="195">
        <f t="shared" si="81"/>
        <v>-1165</v>
      </c>
      <c r="N211" s="195"/>
      <c r="O211" s="195">
        <f t="shared" si="82"/>
        <v>-1165</v>
      </c>
    </row>
    <row r="212" spans="1:16" x14ac:dyDescent="0.25">
      <c r="A212" s="167"/>
      <c r="B212" s="530" t="s">
        <v>1199</v>
      </c>
      <c r="C212" s="201">
        <v>-369</v>
      </c>
      <c r="D212" s="199">
        <v>-65</v>
      </c>
      <c r="E212" s="199"/>
      <c r="F212" s="200"/>
      <c r="G212" s="199"/>
      <c r="H212" s="196">
        <f t="shared" si="79"/>
        <v>-434</v>
      </c>
      <c r="I212" s="218"/>
      <c r="J212" s="200"/>
      <c r="K212" s="200"/>
      <c r="L212" s="196">
        <f t="shared" si="80"/>
        <v>0</v>
      </c>
      <c r="M212" s="195">
        <f t="shared" si="81"/>
        <v>-434</v>
      </c>
      <c r="N212" s="195"/>
      <c r="O212" s="195">
        <f t="shared" si="82"/>
        <v>-434</v>
      </c>
    </row>
    <row r="213" spans="1:16" ht="31.5" x14ac:dyDescent="0.25">
      <c r="A213" s="167"/>
      <c r="B213" s="523" t="s">
        <v>1254</v>
      </c>
      <c r="C213" s="201"/>
      <c r="D213" s="199"/>
      <c r="E213" s="199">
        <v>81</v>
      </c>
      <c r="F213" s="200"/>
      <c r="G213" s="199"/>
      <c r="H213" s="196">
        <f t="shared" si="79"/>
        <v>81</v>
      </c>
      <c r="I213" s="218"/>
      <c r="J213" s="200"/>
      <c r="K213" s="200"/>
      <c r="L213" s="196">
        <f t="shared" si="80"/>
        <v>0</v>
      </c>
      <c r="M213" s="196">
        <f t="shared" si="81"/>
        <v>81</v>
      </c>
      <c r="N213" s="196"/>
      <c r="O213" s="196">
        <f t="shared" si="82"/>
        <v>81</v>
      </c>
    </row>
    <row r="214" spans="1:16" ht="47.25" x14ac:dyDescent="0.25">
      <c r="A214" s="167"/>
      <c r="B214" s="523" t="s">
        <v>1200</v>
      </c>
      <c r="C214" s="201">
        <v>1157</v>
      </c>
      <c r="D214" s="199">
        <v>203</v>
      </c>
      <c r="E214" s="199"/>
      <c r="F214" s="200"/>
      <c r="G214" s="199"/>
      <c r="H214" s="196">
        <f t="shared" si="79"/>
        <v>1360</v>
      </c>
      <c r="I214" s="218"/>
      <c r="J214" s="200"/>
      <c r="K214" s="200"/>
      <c r="L214" s="196">
        <f t="shared" si="80"/>
        <v>0</v>
      </c>
      <c r="M214" s="196">
        <f t="shared" si="81"/>
        <v>1360</v>
      </c>
      <c r="N214" s="196"/>
      <c r="O214" s="196">
        <f t="shared" si="82"/>
        <v>1360</v>
      </c>
    </row>
    <row r="215" spans="1:16" x14ac:dyDescent="0.25">
      <c r="A215" s="167"/>
      <c r="B215" s="530" t="s">
        <v>1201</v>
      </c>
      <c r="C215" s="201"/>
      <c r="D215" s="199"/>
      <c r="E215" s="199">
        <v>-3540</v>
      </c>
      <c r="F215" s="200"/>
      <c r="G215" s="199"/>
      <c r="H215" s="196">
        <f t="shared" si="79"/>
        <v>-3540</v>
      </c>
      <c r="I215" s="218"/>
      <c r="J215" s="200"/>
      <c r="K215" s="200"/>
      <c r="L215" s="196">
        <f t="shared" si="80"/>
        <v>0</v>
      </c>
      <c r="M215" s="195">
        <f t="shared" si="81"/>
        <v>-3540</v>
      </c>
      <c r="N215" s="195"/>
      <c r="O215" s="195">
        <f t="shared" si="82"/>
        <v>-3540</v>
      </c>
    </row>
    <row r="216" spans="1:16" x14ac:dyDescent="0.25">
      <c r="A216" s="167"/>
      <c r="B216" s="152" t="s">
        <v>133</v>
      </c>
      <c r="C216" s="201"/>
      <c r="D216" s="199"/>
      <c r="E216" s="199"/>
      <c r="F216" s="200"/>
      <c r="G216" s="199"/>
      <c r="H216" s="196"/>
      <c r="I216" s="218"/>
      <c r="J216" s="200"/>
      <c r="K216" s="200"/>
      <c r="L216" s="196"/>
      <c r="M216" s="196"/>
      <c r="N216" s="196"/>
      <c r="O216" s="195"/>
    </row>
    <row r="217" spans="1:16" ht="16.5" thickBot="1" x14ac:dyDescent="0.3">
      <c r="A217" s="167"/>
      <c r="B217" s="530" t="s">
        <v>1204</v>
      </c>
      <c r="C217" s="201">
        <v>1193</v>
      </c>
      <c r="D217" s="199">
        <v>388</v>
      </c>
      <c r="E217" s="199"/>
      <c r="F217" s="200"/>
      <c r="G217" s="199"/>
      <c r="H217" s="196">
        <f>SUM(C217:G217)</f>
        <v>1581</v>
      </c>
      <c r="I217" s="218"/>
      <c r="J217" s="200"/>
      <c r="K217" s="200"/>
      <c r="L217" s="196">
        <f>SUM(I217:K217)</f>
        <v>0</v>
      </c>
      <c r="M217" s="195">
        <f>SUM(H217+L217)</f>
        <v>1581</v>
      </c>
      <c r="N217" s="195"/>
      <c r="O217" s="195">
        <f>SUM(M217+N217)</f>
        <v>1581</v>
      </c>
    </row>
    <row r="218" spans="1:16" ht="17.25" thickTop="1" thickBot="1" x14ac:dyDescent="0.3">
      <c r="A218" s="157"/>
      <c r="B218" s="156" t="s">
        <v>381</v>
      </c>
      <c r="C218" s="155">
        <f>+C205+C209+C210+C217+C211+C212+C213+C214+C215</f>
        <v>135113</v>
      </c>
      <c r="D218" s="155">
        <f t="shared" ref="D218:O218" si="83">+D205+D209+D210+D217+D211+D212+D213+D214+D215</f>
        <v>24812</v>
      </c>
      <c r="E218" s="155">
        <f t="shared" si="83"/>
        <v>51809</v>
      </c>
      <c r="F218" s="155">
        <f t="shared" si="83"/>
        <v>0</v>
      </c>
      <c r="G218" s="155">
        <f t="shared" si="83"/>
        <v>0</v>
      </c>
      <c r="H218" s="155">
        <f t="shared" si="83"/>
        <v>211734</v>
      </c>
      <c r="I218" s="155">
        <f t="shared" si="83"/>
        <v>0</v>
      </c>
      <c r="J218" s="155">
        <f t="shared" si="83"/>
        <v>0</v>
      </c>
      <c r="K218" s="155">
        <f t="shared" si="83"/>
        <v>0</v>
      </c>
      <c r="L218" s="155">
        <f t="shared" si="83"/>
        <v>0</v>
      </c>
      <c r="M218" s="155">
        <f t="shared" si="83"/>
        <v>211734</v>
      </c>
      <c r="N218" s="155">
        <f t="shared" si="83"/>
        <v>0</v>
      </c>
      <c r="O218" s="155">
        <f t="shared" si="83"/>
        <v>211734</v>
      </c>
      <c r="P218" s="150"/>
    </row>
    <row r="219" spans="1:16" ht="17.25" thickTop="1" thickBot="1" x14ac:dyDescent="0.3">
      <c r="A219" s="157"/>
      <c r="B219" s="156" t="s">
        <v>380</v>
      </c>
      <c r="C219" s="155">
        <f>+C206+C209+C210+C211+C212+C213+C214+C215</f>
        <v>133920</v>
      </c>
      <c r="D219" s="155">
        <f t="shared" ref="D219:O219" si="84">+D206+D209+D210+D211+D212+D213+D214+D215</f>
        <v>24424</v>
      </c>
      <c r="E219" s="155">
        <f t="shared" si="84"/>
        <v>51809</v>
      </c>
      <c r="F219" s="155">
        <f t="shared" si="84"/>
        <v>0</v>
      </c>
      <c r="G219" s="155">
        <f t="shared" si="84"/>
        <v>0</v>
      </c>
      <c r="H219" s="155">
        <f t="shared" si="84"/>
        <v>210153</v>
      </c>
      <c r="I219" s="155">
        <f t="shared" si="84"/>
        <v>0</v>
      </c>
      <c r="J219" s="155">
        <f t="shared" si="84"/>
        <v>0</v>
      </c>
      <c r="K219" s="155">
        <f t="shared" si="84"/>
        <v>0</v>
      </c>
      <c r="L219" s="155">
        <f t="shared" si="84"/>
        <v>0</v>
      </c>
      <c r="M219" s="155">
        <f t="shared" si="84"/>
        <v>210153</v>
      </c>
      <c r="N219" s="155">
        <f t="shared" si="84"/>
        <v>0</v>
      </c>
      <c r="O219" s="155">
        <f t="shared" si="84"/>
        <v>210153</v>
      </c>
    </row>
    <row r="220" spans="1:16" ht="17.25" thickTop="1" thickBot="1" x14ac:dyDescent="0.3">
      <c r="A220" s="157"/>
      <c r="B220" s="156" t="s">
        <v>379</v>
      </c>
      <c r="C220" s="155">
        <f>+C207+C217</f>
        <v>1193</v>
      </c>
      <c r="D220" s="155">
        <f t="shared" ref="D220:O220" si="85">+D207+D217</f>
        <v>388</v>
      </c>
      <c r="E220" s="155">
        <f t="shared" si="85"/>
        <v>0</v>
      </c>
      <c r="F220" s="155">
        <f t="shared" si="85"/>
        <v>0</v>
      </c>
      <c r="G220" s="155">
        <f t="shared" si="85"/>
        <v>0</v>
      </c>
      <c r="H220" s="155">
        <f t="shared" si="85"/>
        <v>1581</v>
      </c>
      <c r="I220" s="155">
        <f t="shared" si="85"/>
        <v>0</v>
      </c>
      <c r="J220" s="155">
        <f t="shared" si="85"/>
        <v>0</v>
      </c>
      <c r="K220" s="155">
        <f t="shared" si="85"/>
        <v>0</v>
      </c>
      <c r="L220" s="155">
        <f t="shared" si="85"/>
        <v>0</v>
      </c>
      <c r="M220" s="155">
        <f t="shared" si="85"/>
        <v>1581</v>
      </c>
      <c r="N220" s="155">
        <f t="shared" si="85"/>
        <v>0</v>
      </c>
      <c r="O220" s="155">
        <f t="shared" si="85"/>
        <v>1581</v>
      </c>
    </row>
    <row r="221" spans="1:16" ht="16.5" thickTop="1" x14ac:dyDescent="0.25">
      <c r="A221" s="164" t="s">
        <v>3</v>
      </c>
      <c r="B221" s="523" t="s">
        <v>403</v>
      </c>
      <c r="C221" s="524"/>
      <c r="D221" s="525"/>
      <c r="E221" s="525"/>
      <c r="F221" s="532"/>
      <c r="G221" s="525"/>
      <c r="H221" s="527"/>
      <c r="I221" s="528"/>
      <c r="J221" s="526"/>
      <c r="K221" s="526"/>
      <c r="L221" s="527"/>
      <c r="M221" s="527"/>
      <c r="N221" s="527"/>
      <c r="O221" s="527"/>
    </row>
    <row r="222" spans="1:16" x14ac:dyDescent="0.25">
      <c r="A222" s="164"/>
      <c r="B222" s="530" t="s">
        <v>349</v>
      </c>
      <c r="C222" s="524">
        <f>SUM(C223:C224)</f>
        <v>145858</v>
      </c>
      <c r="D222" s="524">
        <f>SUM(D223:D224)</f>
        <v>28205</v>
      </c>
      <c r="E222" s="524">
        <f>SUM(E223:E224)</f>
        <v>59450</v>
      </c>
      <c r="F222" s="526"/>
      <c r="G222" s="525"/>
      <c r="H222" s="527">
        <f>SUM(C222:G222)</f>
        <v>233513</v>
      </c>
      <c r="I222" s="528"/>
      <c r="J222" s="526"/>
      <c r="K222" s="526"/>
      <c r="L222" s="527">
        <f>SUM(I222:K222)</f>
        <v>0</v>
      </c>
      <c r="M222" s="529">
        <f>SUM(H222+L222)</f>
        <v>233513</v>
      </c>
      <c r="N222" s="529"/>
      <c r="O222" s="529">
        <f>SUM(M222+N222)</f>
        <v>233513</v>
      </c>
    </row>
    <row r="223" spans="1:16" s="168" customFormat="1" x14ac:dyDescent="0.25">
      <c r="A223" s="177"/>
      <c r="B223" s="165" t="s">
        <v>383</v>
      </c>
      <c r="C223" s="185">
        <v>145858</v>
      </c>
      <c r="D223" s="175">
        <v>28205</v>
      </c>
      <c r="E223" s="175">
        <v>59450</v>
      </c>
      <c r="F223" s="171"/>
      <c r="G223" s="175"/>
      <c r="H223" s="170">
        <f>SUM(C223:G223)</f>
        <v>233513</v>
      </c>
      <c r="I223" s="172"/>
      <c r="J223" s="171"/>
      <c r="K223" s="171"/>
      <c r="L223" s="170">
        <f>SUM(I223:K223)</f>
        <v>0</v>
      </c>
      <c r="M223" s="169">
        <f>SUM(H223+L223)</f>
        <v>233513</v>
      </c>
      <c r="N223" s="169"/>
      <c r="O223" s="169">
        <f>SUM(M223+N223)</f>
        <v>233513</v>
      </c>
    </row>
    <row r="224" spans="1:16" s="168" customFormat="1" x14ac:dyDescent="0.25">
      <c r="A224" s="177"/>
      <c r="B224" s="165" t="s">
        <v>382</v>
      </c>
      <c r="C224" s="185"/>
      <c r="D224" s="175"/>
      <c r="E224" s="175"/>
      <c r="F224" s="171"/>
      <c r="G224" s="175"/>
      <c r="H224" s="170">
        <f>SUM(C224:G224)</f>
        <v>0</v>
      </c>
      <c r="I224" s="172"/>
      <c r="J224" s="171"/>
      <c r="K224" s="171"/>
      <c r="L224" s="170">
        <f>SUM(I224:K224)</f>
        <v>0</v>
      </c>
      <c r="M224" s="169">
        <f>SUM(H224+L224)</f>
        <v>0</v>
      </c>
      <c r="N224" s="169"/>
      <c r="O224" s="169">
        <f>SUM(M224+N224)</f>
        <v>0</v>
      </c>
    </row>
    <row r="225" spans="1:16" s="168" customFormat="1" x14ac:dyDescent="0.25">
      <c r="A225" s="177"/>
      <c r="B225" s="165" t="s">
        <v>132</v>
      </c>
      <c r="C225" s="185"/>
      <c r="D225" s="175"/>
      <c r="E225" s="175"/>
      <c r="F225" s="171"/>
      <c r="G225" s="175"/>
      <c r="H225" s="170"/>
      <c r="I225" s="172"/>
      <c r="J225" s="171"/>
      <c r="K225" s="171"/>
      <c r="L225" s="170"/>
      <c r="M225" s="169"/>
      <c r="N225" s="169"/>
      <c r="O225" s="169"/>
    </row>
    <row r="226" spans="1:16" s="168" customFormat="1" ht="33" customHeight="1" x14ac:dyDescent="0.25">
      <c r="A226" s="177"/>
      <c r="B226" s="530" t="s">
        <v>1196</v>
      </c>
      <c r="C226" s="201">
        <v>11099</v>
      </c>
      <c r="D226" s="199">
        <v>2082</v>
      </c>
      <c r="E226" s="199">
        <v>1750</v>
      </c>
      <c r="F226" s="200"/>
      <c r="G226" s="175"/>
      <c r="H226" s="196">
        <f t="shared" ref="H226:H232" si="86">SUM(C226:G226)</f>
        <v>14931</v>
      </c>
      <c r="I226" s="172"/>
      <c r="J226" s="171"/>
      <c r="K226" s="171"/>
      <c r="L226" s="196">
        <f t="shared" ref="L226:L232" si="87">SUM(I226:K226)</f>
        <v>0</v>
      </c>
      <c r="M226" s="195">
        <f t="shared" ref="M226:M232" si="88">SUM(H226+L226)</f>
        <v>14931</v>
      </c>
      <c r="N226" s="169"/>
      <c r="O226" s="195">
        <f t="shared" ref="O226:O232" si="89">SUM(M226+N226)</f>
        <v>14931</v>
      </c>
    </row>
    <row r="227" spans="1:16" s="168" customFormat="1" ht="31.5" x14ac:dyDescent="0.25">
      <c r="A227" s="177"/>
      <c r="B227" s="530" t="s">
        <v>1252</v>
      </c>
      <c r="C227" s="201">
        <v>5</v>
      </c>
      <c r="D227" s="199">
        <v>1</v>
      </c>
      <c r="E227" s="199"/>
      <c r="F227" s="200"/>
      <c r="G227" s="175"/>
      <c r="H227" s="196">
        <f t="shared" si="86"/>
        <v>6</v>
      </c>
      <c r="I227" s="172"/>
      <c r="J227" s="171"/>
      <c r="K227" s="171"/>
      <c r="L227" s="196">
        <f t="shared" si="87"/>
        <v>0</v>
      </c>
      <c r="M227" s="195">
        <f t="shared" si="88"/>
        <v>6</v>
      </c>
      <c r="N227" s="169"/>
      <c r="O227" s="195">
        <f t="shared" si="89"/>
        <v>6</v>
      </c>
    </row>
    <row r="228" spans="1:16" s="168" customFormat="1" ht="31.5" x14ac:dyDescent="0.25">
      <c r="A228" s="177"/>
      <c r="B228" s="530" t="s">
        <v>1198</v>
      </c>
      <c r="C228" s="201"/>
      <c r="D228" s="199">
        <v>-1425</v>
      </c>
      <c r="E228" s="199"/>
      <c r="F228" s="200"/>
      <c r="G228" s="175"/>
      <c r="H228" s="196">
        <f t="shared" si="86"/>
        <v>-1425</v>
      </c>
      <c r="I228" s="172"/>
      <c r="J228" s="171"/>
      <c r="K228" s="171"/>
      <c r="L228" s="196">
        <f t="shared" si="87"/>
        <v>0</v>
      </c>
      <c r="M228" s="195">
        <f t="shared" si="88"/>
        <v>-1425</v>
      </c>
      <c r="N228" s="169"/>
      <c r="O228" s="195">
        <f t="shared" si="89"/>
        <v>-1425</v>
      </c>
    </row>
    <row r="229" spans="1:16" s="168" customFormat="1" x14ac:dyDescent="0.25">
      <c r="A229" s="177"/>
      <c r="B229" s="530" t="s">
        <v>1199</v>
      </c>
      <c r="C229" s="201">
        <v>-483</v>
      </c>
      <c r="D229" s="199">
        <v>-84</v>
      </c>
      <c r="E229" s="199"/>
      <c r="F229" s="200"/>
      <c r="G229" s="175"/>
      <c r="H229" s="196">
        <f t="shared" si="86"/>
        <v>-567</v>
      </c>
      <c r="I229" s="172"/>
      <c r="J229" s="171"/>
      <c r="K229" s="171"/>
      <c r="L229" s="196">
        <f t="shared" si="87"/>
        <v>0</v>
      </c>
      <c r="M229" s="195">
        <f t="shared" si="88"/>
        <v>-567</v>
      </c>
      <c r="N229" s="169"/>
      <c r="O229" s="195">
        <f t="shared" si="89"/>
        <v>-567</v>
      </c>
    </row>
    <row r="230" spans="1:16" s="168" customFormat="1" ht="31.5" x14ac:dyDescent="0.25">
      <c r="A230" s="177"/>
      <c r="B230" s="530" t="s">
        <v>1254</v>
      </c>
      <c r="C230" s="201"/>
      <c r="D230" s="199"/>
      <c r="E230" s="199">
        <v>110</v>
      </c>
      <c r="F230" s="200"/>
      <c r="G230" s="175"/>
      <c r="H230" s="196">
        <f t="shared" si="86"/>
        <v>110</v>
      </c>
      <c r="I230" s="172"/>
      <c r="J230" s="171"/>
      <c r="K230" s="171"/>
      <c r="L230" s="196">
        <f t="shared" si="87"/>
        <v>0</v>
      </c>
      <c r="M230" s="195">
        <f t="shared" si="88"/>
        <v>110</v>
      </c>
      <c r="N230" s="169"/>
      <c r="O230" s="195">
        <f t="shared" si="89"/>
        <v>110</v>
      </c>
    </row>
    <row r="231" spans="1:16" s="168" customFormat="1" ht="47.25" x14ac:dyDescent="0.25">
      <c r="A231" s="177"/>
      <c r="B231" s="530" t="s">
        <v>1200</v>
      </c>
      <c r="C231" s="201">
        <v>622</v>
      </c>
      <c r="D231" s="199">
        <v>108</v>
      </c>
      <c r="E231" s="199"/>
      <c r="F231" s="200"/>
      <c r="G231" s="175"/>
      <c r="H231" s="196">
        <f t="shared" si="86"/>
        <v>730</v>
      </c>
      <c r="I231" s="172"/>
      <c r="J231" s="171"/>
      <c r="K231" s="171"/>
      <c r="L231" s="196">
        <f t="shared" si="87"/>
        <v>0</v>
      </c>
      <c r="M231" s="195">
        <f t="shared" si="88"/>
        <v>730</v>
      </c>
      <c r="N231" s="169"/>
      <c r="O231" s="195">
        <f t="shared" si="89"/>
        <v>730</v>
      </c>
    </row>
    <row r="232" spans="1:16" s="168" customFormat="1" x14ac:dyDescent="0.25">
      <c r="A232" s="177"/>
      <c r="B232" s="530" t="s">
        <v>1201</v>
      </c>
      <c r="C232" s="201"/>
      <c r="D232" s="199"/>
      <c r="E232" s="199">
        <v>-4261</v>
      </c>
      <c r="F232" s="200"/>
      <c r="G232" s="175"/>
      <c r="H232" s="196">
        <f t="shared" si="86"/>
        <v>-4261</v>
      </c>
      <c r="I232" s="172"/>
      <c r="J232" s="171"/>
      <c r="K232" s="171"/>
      <c r="L232" s="196">
        <f t="shared" si="87"/>
        <v>0</v>
      </c>
      <c r="M232" s="195">
        <f t="shared" si="88"/>
        <v>-4261</v>
      </c>
      <c r="N232" s="169"/>
      <c r="O232" s="195">
        <f t="shared" si="89"/>
        <v>-4261</v>
      </c>
    </row>
    <row r="233" spans="1:16" s="168" customFormat="1" x14ac:dyDescent="0.25">
      <c r="A233" s="177"/>
      <c r="B233" s="165" t="s">
        <v>133</v>
      </c>
      <c r="C233" s="201"/>
      <c r="D233" s="199"/>
      <c r="E233" s="199"/>
      <c r="F233" s="200"/>
      <c r="G233" s="175"/>
      <c r="H233" s="196"/>
      <c r="I233" s="172"/>
      <c r="J233" s="171"/>
      <c r="K233" s="171"/>
      <c r="L233" s="196"/>
      <c r="M233" s="195"/>
      <c r="N233" s="169"/>
      <c r="O233" s="195"/>
    </row>
    <row r="234" spans="1:16" s="168" customFormat="1" ht="16.5" thickBot="1" x14ac:dyDescent="0.3">
      <c r="A234" s="177"/>
      <c r="B234" s="530" t="s">
        <v>1204</v>
      </c>
      <c r="C234" s="201">
        <v>1545</v>
      </c>
      <c r="D234" s="199">
        <v>502</v>
      </c>
      <c r="E234" s="199"/>
      <c r="F234" s="200"/>
      <c r="G234" s="175"/>
      <c r="H234" s="196">
        <f>SUM(C234:G234)</f>
        <v>2047</v>
      </c>
      <c r="I234" s="218"/>
      <c r="J234" s="171"/>
      <c r="K234" s="171"/>
      <c r="L234" s="196">
        <f>SUM(I234:K234)</f>
        <v>0</v>
      </c>
      <c r="M234" s="195">
        <f>SUM(H234+L234)</f>
        <v>2047</v>
      </c>
      <c r="N234" s="169"/>
      <c r="O234" s="195">
        <f>SUM(M234+N234)</f>
        <v>2047</v>
      </c>
    </row>
    <row r="235" spans="1:16" ht="17.25" thickTop="1" thickBot="1" x14ac:dyDescent="0.3">
      <c r="A235" s="157"/>
      <c r="B235" s="156" t="s">
        <v>381</v>
      </c>
      <c r="C235" s="155">
        <f>+C222+C226+C234+C227+C228+C229+C230+C231+C232</f>
        <v>158646</v>
      </c>
      <c r="D235" s="155">
        <f t="shared" ref="D235:O235" si="90">+D222+D226+D234+D227+D228+D229+D230+D231+D232</f>
        <v>29389</v>
      </c>
      <c r="E235" s="155">
        <f t="shared" si="90"/>
        <v>57049</v>
      </c>
      <c r="F235" s="155">
        <f t="shared" si="90"/>
        <v>0</v>
      </c>
      <c r="G235" s="155">
        <f t="shared" si="90"/>
        <v>0</v>
      </c>
      <c r="H235" s="155">
        <f t="shared" si="90"/>
        <v>245084</v>
      </c>
      <c r="I235" s="155">
        <f t="shared" si="90"/>
        <v>0</v>
      </c>
      <c r="J235" s="155">
        <f t="shared" si="90"/>
        <v>0</v>
      </c>
      <c r="K235" s="155">
        <f t="shared" si="90"/>
        <v>0</v>
      </c>
      <c r="L235" s="155">
        <f t="shared" si="90"/>
        <v>0</v>
      </c>
      <c r="M235" s="155">
        <f t="shared" si="90"/>
        <v>245084</v>
      </c>
      <c r="N235" s="155">
        <f t="shared" si="90"/>
        <v>0</v>
      </c>
      <c r="O235" s="155">
        <f t="shared" si="90"/>
        <v>245084</v>
      </c>
      <c r="P235" s="150"/>
    </row>
    <row r="236" spans="1:16" ht="17.25" thickTop="1" thickBot="1" x14ac:dyDescent="0.3">
      <c r="A236" s="157"/>
      <c r="B236" s="156" t="s">
        <v>380</v>
      </c>
      <c r="C236" s="155">
        <f>+C223+C226+C227+C228+C229+C230+C231+C232</f>
        <v>157101</v>
      </c>
      <c r="D236" s="155">
        <f t="shared" ref="D236:O236" si="91">+D223+D226+D227+D228+D229+D230+D231+D232</f>
        <v>28887</v>
      </c>
      <c r="E236" s="155">
        <f t="shared" si="91"/>
        <v>57049</v>
      </c>
      <c r="F236" s="155">
        <f t="shared" si="91"/>
        <v>0</v>
      </c>
      <c r="G236" s="155">
        <f t="shared" si="91"/>
        <v>0</v>
      </c>
      <c r="H236" s="155">
        <f t="shared" si="91"/>
        <v>243037</v>
      </c>
      <c r="I236" s="155">
        <f t="shared" si="91"/>
        <v>0</v>
      </c>
      <c r="J236" s="155">
        <f t="shared" si="91"/>
        <v>0</v>
      </c>
      <c r="K236" s="155">
        <f t="shared" si="91"/>
        <v>0</v>
      </c>
      <c r="L236" s="155">
        <f t="shared" si="91"/>
        <v>0</v>
      </c>
      <c r="M236" s="155">
        <f t="shared" si="91"/>
        <v>243037</v>
      </c>
      <c r="N236" s="155">
        <f t="shared" si="91"/>
        <v>0</v>
      </c>
      <c r="O236" s="155">
        <f t="shared" si="91"/>
        <v>243037</v>
      </c>
    </row>
    <row r="237" spans="1:16" ht="17.25" thickTop="1" thickBot="1" x14ac:dyDescent="0.3">
      <c r="A237" s="157"/>
      <c r="B237" s="156" t="s">
        <v>379</v>
      </c>
      <c r="C237" s="155">
        <f>+C224+C234</f>
        <v>1545</v>
      </c>
      <c r="D237" s="155">
        <f t="shared" ref="D237:O237" si="92">+D224+D234</f>
        <v>502</v>
      </c>
      <c r="E237" s="155">
        <f t="shared" si="92"/>
        <v>0</v>
      </c>
      <c r="F237" s="155">
        <f t="shared" si="92"/>
        <v>0</v>
      </c>
      <c r="G237" s="155">
        <f t="shared" si="92"/>
        <v>0</v>
      </c>
      <c r="H237" s="155">
        <f t="shared" si="92"/>
        <v>2047</v>
      </c>
      <c r="I237" s="155">
        <f t="shared" si="92"/>
        <v>0</v>
      </c>
      <c r="J237" s="155">
        <f t="shared" si="92"/>
        <v>0</v>
      </c>
      <c r="K237" s="155">
        <f t="shared" si="92"/>
        <v>0</v>
      </c>
      <c r="L237" s="155">
        <f t="shared" si="92"/>
        <v>0</v>
      </c>
      <c r="M237" s="155">
        <f t="shared" si="92"/>
        <v>2047</v>
      </c>
      <c r="N237" s="155">
        <f t="shared" si="92"/>
        <v>0</v>
      </c>
      <c r="O237" s="155">
        <f t="shared" si="92"/>
        <v>2047</v>
      </c>
    </row>
    <row r="238" spans="1:16" ht="16.5" thickTop="1" x14ac:dyDescent="0.25">
      <c r="A238" s="164" t="s">
        <v>4</v>
      </c>
      <c r="B238" s="523" t="s">
        <v>402</v>
      </c>
      <c r="C238" s="524"/>
      <c r="D238" s="525"/>
      <c r="E238" s="525"/>
      <c r="F238" s="532"/>
      <c r="G238" s="525"/>
      <c r="H238" s="527"/>
      <c r="I238" s="528"/>
      <c r="J238" s="526"/>
      <c r="K238" s="526"/>
      <c r="L238" s="527"/>
      <c r="M238" s="527"/>
      <c r="N238" s="527"/>
      <c r="O238" s="527"/>
    </row>
    <row r="239" spans="1:16" x14ac:dyDescent="0.25">
      <c r="A239" s="167"/>
      <c r="B239" s="523" t="s">
        <v>349</v>
      </c>
      <c r="C239" s="524">
        <f>SUM(C240:C241)</f>
        <v>129987</v>
      </c>
      <c r="D239" s="524">
        <f>SUM(D240:D241)</f>
        <v>25165</v>
      </c>
      <c r="E239" s="524">
        <f>SUM(E240:E241)</f>
        <v>45993</v>
      </c>
      <c r="F239" s="526"/>
      <c r="G239" s="525"/>
      <c r="H239" s="527">
        <f>SUM(C239:G239)</f>
        <v>201145</v>
      </c>
      <c r="I239" s="528"/>
      <c r="J239" s="526"/>
      <c r="K239" s="526"/>
      <c r="L239" s="527">
        <f>SUM(I239:K239)</f>
        <v>0</v>
      </c>
      <c r="M239" s="529">
        <f>SUM(H239+L239)</f>
        <v>201145</v>
      </c>
      <c r="N239" s="529"/>
      <c r="O239" s="529">
        <f>SUM(M239+N239)</f>
        <v>201145</v>
      </c>
    </row>
    <row r="240" spans="1:16" s="168" customFormat="1" x14ac:dyDescent="0.25">
      <c r="A240" s="186"/>
      <c r="B240" s="165" t="s">
        <v>383</v>
      </c>
      <c r="C240" s="185">
        <v>129987</v>
      </c>
      <c r="D240" s="175">
        <v>25165</v>
      </c>
      <c r="E240" s="175">
        <v>45993</v>
      </c>
      <c r="F240" s="171"/>
      <c r="G240" s="175"/>
      <c r="H240" s="170">
        <f>SUM(C240:G240)</f>
        <v>201145</v>
      </c>
      <c r="I240" s="172"/>
      <c r="J240" s="171"/>
      <c r="K240" s="171"/>
      <c r="L240" s="170">
        <f>SUM(I240:K240)</f>
        <v>0</v>
      </c>
      <c r="M240" s="169">
        <f>SUM(H240+L240)</f>
        <v>201145</v>
      </c>
      <c r="N240" s="169"/>
      <c r="O240" s="169">
        <f>SUM(M240+N240)</f>
        <v>201145</v>
      </c>
    </row>
    <row r="241" spans="1:16" s="168" customFormat="1" x14ac:dyDescent="0.25">
      <c r="A241" s="186"/>
      <c r="B241" s="165" t="s">
        <v>382</v>
      </c>
      <c r="C241" s="185"/>
      <c r="D241" s="175"/>
      <c r="E241" s="175"/>
      <c r="F241" s="171"/>
      <c r="G241" s="175"/>
      <c r="H241" s="170">
        <f>SUM(C241:G241)</f>
        <v>0</v>
      </c>
      <c r="I241" s="172"/>
      <c r="J241" s="171"/>
      <c r="K241" s="171"/>
      <c r="L241" s="170">
        <f>SUM(I241:K241)</f>
        <v>0</v>
      </c>
      <c r="M241" s="169">
        <f>SUM(H241+L241)</f>
        <v>0</v>
      </c>
      <c r="N241" s="169"/>
      <c r="O241" s="169">
        <f>SUM(M241+N241)</f>
        <v>0</v>
      </c>
    </row>
    <row r="242" spans="1:16" s="168" customFormat="1" x14ac:dyDescent="0.25">
      <c r="A242" s="186"/>
      <c r="B242" s="165" t="s">
        <v>132</v>
      </c>
      <c r="C242" s="185"/>
      <c r="D242" s="175"/>
      <c r="E242" s="175"/>
      <c r="F242" s="171"/>
      <c r="G242" s="175"/>
      <c r="H242" s="170"/>
      <c r="I242" s="172"/>
      <c r="J242" s="171"/>
      <c r="K242" s="171"/>
      <c r="L242" s="170"/>
      <c r="M242" s="169"/>
      <c r="N242" s="169"/>
      <c r="O242" s="169"/>
    </row>
    <row r="243" spans="1:16" s="168" customFormat="1" ht="30.75" customHeight="1" x14ac:dyDescent="0.25">
      <c r="A243" s="186"/>
      <c r="B243" s="523" t="s">
        <v>1196</v>
      </c>
      <c r="C243" s="201">
        <v>10572</v>
      </c>
      <c r="D243" s="199">
        <v>1888</v>
      </c>
      <c r="E243" s="199"/>
      <c r="F243" s="200"/>
      <c r="G243" s="175"/>
      <c r="H243" s="196">
        <f t="shared" ref="H243:H247" si="93">SUM(C243:G243)</f>
        <v>12460</v>
      </c>
      <c r="I243" s="172"/>
      <c r="J243" s="171"/>
      <c r="K243" s="171"/>
      <c r="L243" s="196">
        <f t="shared" ref="L243:L247" si="94">SUM(I243:K243)</f>
        <v>0</v>
      </c>
      <c r="M243" s="196">
        <f t="shared" ref="M243:M247" si="95">SUM(H243+L243)</f>
        <v>12460</v>
      </c>
      <c r="N243" s="170"/>
      <c r="O243" s="196">
        <f t="shared" ref="O243:O247" si="96">SUM(M243+N243)</f>
        <v>12460</v>
      </c>
    </row>
    <row r="244" spans="1:16" s="168" customFormat="1" ht="31.5" x14ac:dyDescent="0.25">
      <c r="A244" s="186"/>
      <c r="B244" s="523" t="s">
        <v>1198</v>
      </c>
      <c r="C244" s="201"/>
      <c r="D244" s="199">
        <v>-1277</v>
      </c>
      <c r="E244" s="199"/>
      <c r="F244" s="200"/>
      <c r="G244" s="175"/>
      <c r="H244" s="196">
        <f t="shared" si="93"/>
        <v>-1277</v>
      </c>
      <c r="I244" s="172"/>
      <c r="J244" s="171"/>
      <c r="K244" s="171"/>
      <c r="L244" s="196">
        <f t="shared" si="94"/>
        <v>0</v>
      </c>
      <c r="M244" s="196">
        <f t="shared" si="95"/>
        <v>-1277</v>
      </c>
      <c r="N244" s="170"/>
      <c r="O244" s="196">
        <f t="shared" si="96"/>
        <v>-1277</v>
      </c>
    </row>
    <row r="245" spans="1:16" s="168" customFormat="1" x14ac:dyDescent="0.25">
      <c r="A245" s="186"/>
      <c r="B245" s="530" t="s">
        <v>1199</v>
      </c>
      <c r="C245" s="201">
        <v>-405</v>
      </c>
      <c r="D245" s="199">
        <v>-71</v>
      </c>
      <c r="E245" s="199"/>
      <c r="F245" s="200"/>
      <c r="G245" s="175"/>
      <c r="H245" s="196">
        <f t="shared" si="93"/>
        <v>-476</v>
      </c>
      <c r="I245" s="172"/>
      <c r="J245" s="171"/>
      <c r="K245" s="171"/>
      <c r="L245" s="196">
        <f t="shared" si="94"/>
        <v>0</v>
      </c>
      <c r="M245" s="195">
        <f t="shared" si="95"/>
        <v>-476</v>
      </c>
      <c r="N245" s="169"/>
      <c r="O245" s="195">
        <f t="shared" si="96"/>
        <v>-476</v>
      </c>
    </row>
    <row r="246" spans="1:16" s="168" customFormat="1" ht="31.5" x14ac:dyDescent="0.25">
      <c r="A246" s="186"/>
      <c r="B246" s="530" t="s">
        <v>1254</v>
      </c>
      <c r="C246" s="201"/>
      <c r="D246" s="199"/>
      <c r="E246" s="199">
        <v>42</v>
      </c>
      <c r="F246" s="200"/>
      <c r="G246" s="175"/>
      <c r="H246" s="196">
        <f t="shared" si="93"/>
        <v>42</v>
      </c>
      <c r="I246" s="172"/>
      <c r="J246" s="171"/>
      <c r="K246" s="171"/>
      <c r="L246" s="196">
        <f t="shared" si="94"/>
        <v>0</v>
      </c>
      <c r="M246" s="195">
        <f t="shared" si="95"/>
        <v>42</v>
      </c>
      <c r="N246" s="169"/>
      <c r="O246" s="195">
        <f t="shared" si="96"/>
        <v>42</v>
      </c>
    </row>
    <row r="247" spans="1:16" s="168" customFormat="1" x14ac:dyDescent="0.25">
      <c r="A247" s="186"/>
      <c r="B247" s="530" t="s">
        <v>1201</v>
      </c>
      <c r="C247" s="201"/>
      <c r="D247" s="199"/>
      <c r="E247" s="199">
        <v>-3548</v>
      </c>
      <c r="F247" s="200"/>
      <c r="G247" s="175"/>
      <c r="H247" s="196">
        <f t="shared" si="93"/>
        <v>-3548</v>
      </c>
      <c r="I247" s="172"/>
      <c r="J247" s="171"/>
      <c r="K247" s="171"/>
      <c r="L247" s="196">
        <f t="shared" si="94"/>
        <v>0</v>
      </c>
      <c r="M247" s="195">
        <f t="shared" si="95"/>
        <v>-3548</v>
      </c>
      <c r="N247" s="169"/>
      <c r="O247" s="195">
        <f t="shared" si="96"/>
        <v>-3548</v>
      </c>
    </row>
    <row r="248" spans="1:16" s="168" customFormat="1" x14ac:dyDescent="0.25">
      <c r="A248" s="186"/>
      <c r="B248" s="165" t="s">
        <v>133</v>
      </c>
      <c r="C248" s="201"/>
      <c r="D248" s="199"/>
      <c r="E248" s="199"/>
      <c r="F248" s="200"/>
      <c r="G248" s="175"/>
      <c r="H248" s="196"/>
      <c r="I248" s="172"/>
      <c r="J248" s="171"/>
      <c r="K248" s="171"/>
      <c r="L248" s="196"/>
      <c r="M248" s="195"/>
      <c r="N248" s="169"/>
      <c r="O248" s="195"/>
    </row>
    <row r="249" spans="1:16" s="168" customFormat="1" ht="16.5" thickBot="1" x14ac:dyDescent="0.3">
      <c r="A249" s="186"/>
      <c r="B249" s="530" t="s">
        <v>1204</v>
      </c>
      <c r="C249" s="201">
        <v>1361</v>
      </c>
      <c r="D249" s="199">
        <v>443</v>
      </c>
      <c r="E249" s="199"/>
      <c r="F249" s="200"/>
      <c r="G249" s="175"/>
      <c r="H249" s="196">
        <f>SUM(C249:G249)</f>
        <v>1804</v>
      </c>
      <c r="I249" s="172"/>
      <c r="J249" s="171"/>
      <c r="K249" s="171"/>
      <c r="L249" s="196">
        <f>SUM(I249:K249)</f>
        <v>0</v>
      </c>
      <c r="M249" s="195">
        <f>SUM(H249+L249)</f>
        <v>1804</v>
      </c>
      <c r="N249" s="169"/>
      <c r="O249" s="195">
        <f>SUM(M249+N249)</f>
        <v>1804</v>
      </c>
    </row>
    <row r="250" spans="1:16" ht="17.25" thickTop="1" thickBot="1" x14ac:dyDescent="0.3">
      <c r="A250" s="157"/>
      <c r="B250" s="156" t="s">
        <v>381</v>
      </c>
      <c r="C250" s="155">
        <f>+C239+C243+C249+C244+C245+C246+C247</f>
        <v>141515</v>
      </c>
      <c r="D250" s="155">
        <f t="shared" ref="D250:O250" si="97">+D239+D243+D249+D244+D245+D246+D247</f>
        <v>26148</v>
      </c>
      <c r="E250" s="155">
        <f t="shared" si="97"/>
        <v>42487</v>
      </c>
      <c r="F250" s="155">
        <f t="shared" si="97"/>
        <v>0</v>
      </c>
      <c r="G250" s="155">
        <f t="shared" si="97"/>
        <v>0</v>
      </c>
      <c r="H250" s="155">
        <f t="shared" si="97"/>
        <v>210150</v>
      </c>
      <c r="I250" s="155">
        <f t="shared" si="97"/>
        <v>0</v>
      </c>
      <c r="J250" s="155">
        <f t="shared" si="97"/>
        <v>0</v>
      </c>
      <c r="K250" s="155">
        <f t="shared" si="97"/>
        <v>0</v>
      </c>
      <c r="L250" s="155">
        <f t="shared" si="97"/>
        <v>0</v>
      </c>
      <c r="M250" s="155">
        <f t="shared" si="97"/>
        <v>210150</v>
      </c>
      <c r="N250" s="155">
        <f t="shared" si="97"/>
        <v>0</v>
      </c>
      <c r="O250" s="155">
        <f t="shared" si="97"/>
        <v>210150</v>
      </c>
      <c r="P250" s="150"/>
    </row>
    <row r="251" spans="1:16" ht="17.25" thickTop="1" thickBot="1" x14ac:dyDescent="0.3">
      <c r="A251" s="157"/>
      <c r="B251" s="156" t="s">
        <v>380</v>
      </c>
      <c r="C251" s="155">
        <f>+C240+C243+C244+C245+C246+C247</f>
        <v>140154</v>
      </c>
      <c r="D251" s="155">
        <f t="shared" ref="D251:O251" si="98">+D240+D243+D244+D245+D246+D247</f>
        <v>25705</v>
      </c>
      <c r="E251" s="155">
        <f t="shared" si="98"/>
        <v>42487</v>
      </c>
      <c r="F251" s="155">
        <f t="shared" si="98"/>
        <v>0</v>
      </c>
      <c r="G251" s="155">
        <f t="shared" si="98"/>
        <v>0</v>
      </c>
      <c r="H251" s="155">
        <f t="shared" si="98"/>
        <v>208346</v>
      </c>
      <c r="I251" s="155">
        <f t="shared" si="98"/>
        <v>0</v>
      </c>
      <c r="J251" s="155">
        <f t="shared" si="98"/>
        <v>0</v>
      </c>
      <c r="K251" s="155">
        <f t="shared" si="98"/>
        <v>0</v>
      </c>
      <c r="L251" s="155">
        <f t="shared" si="98"/>
        <v>0</v>
      </c>
      <c r="M251" s="155">
        <f t="shared" si="98"/>
        <v>208346</v>
      </c>
      <c r="N251" s="155">
        <f t="shared" si="98"/>
        <v>0</v>
      </c>
      <c r="O251" s="155">
        <f t="shared" si="98"/>
        <v>208346</v>
      </c>
    </row>
    <row r="252" spans="1:16" ht="17.25" thickTop="1" thickBot="1" x14ac:dyDescent="0.3">
      <c r="A252" s="157"/>
      <c r="B252" s="156" t="s">
        <v>379</v>
      </c>
      <c r="C252" s="155">
        <f>+C241+C249</f>
        <v>1361</v>
      </c>
      <c r="D252" s="155">
        <f t="shared" ref="D252:O252" si="99">+D241+D249</f>
        <v>443</v>
      </c>
      <c r="E252" s="155">
        <f t="shared" si="99"/>
        <v>0</v>
      </c>
      <c r="F252" s="155">
        <f t="shared" si="99"/>
        <v>0</v>
      </c>
      <c r="G252" s="155">
        <f t="shared" si="99"/>
        <v>0</v>
      </c>
      <c r="H252" s="155">
        <f t="shared" si="99"/>
        <v>1804</v>
      </c>
      <c r="I252" s="155">
        <f t="shared" si="99"/>
        <v>0</v>
      </c>
      <c r="J252" s="155">
        <f t="shared" si="99"/>
        <v>0</v>
      </c>
      <c r="K252" s="155">
        <f t="shared" si="99"/>
        <v>0</v>
      </c>
      <c r="L252" s="155">
        <f t="shared" si="99"/>
        <v>0</v>
      </c>
      <c r="M252" s="155">
        <f t="shared" si="99"/>
        <v>1804</v>
      </c>
      <c r="N252" s="155">
        <f t="shared" si="99"/>
        <v>0</v>
      </c>
      <c r="O252" s="155">
        <f t="shared" si="99"/>
        <v>1804</v>
      </c>
    </row>
    <row r="253" spans="1:16" ht="16.5" thickTop="1" x14ac:dyDescent="0.25">
      <c r="A253" s="164" t="s">
        <v>5</v>
      </c>
      <c r="B253" s="523" t="s">
        <v>401</v>
      </c>
      <c r="C253" s="524"/>
      <c r="D253" s="525"/>
      <c r="E253" s="525"/>
      <c r="F253" s="532"/>
      <c r="G253" s="525"/>
      <c r="H253" s="527"/>
      <c r="I253" s="528"/>
      <c r="J253" s="526"/>
      <c r="K253" s="526"/>
      <c r="L253" s="527"/>
      <c r="M253" s="527"/>
      <c r="N253" s="527"/>
      <c r="O253" s="527"/>
    </row>
    <row r="254" spans="1:16" x14ac:dyDescent="0.25">
      <c r="A254" s="164"/>
      <c r="B254" s="530" t="s">
        <v>349</v>
      </c>
      <c r="C254" s="524">
        <f>SUM(C255:C256)</f>
        <v>151443</v>
      </c>
      <c r="D254" s="524">
        <f>SUM(D255:D256)</f>
        <v>29380</v>
      </c>
      <c r="E254" s="524">
        <f>SUM(E255:E256)</f>
        <v>70957</v>
      </c>
      <c r="F254" s="532"/>
      <c r="G254" s="525"/>
      <c r="H254" s="527">
        <f>SUM(C254:G254)</f>
        <v>251780</v>
      </c>
      <c r="I254" s="528"/>
      <c r="J254" s="526"/>
      <c r="K254" s="526"/>
      <c r="L254" s="527">
        <f>SUM(I254:K254)</f>
        <v>0</v>
      </c>
      <c r="M254" s="529">
        <f>SUM(H254+L254)</f>
        <v>251780</v>
      </c>
      <c r="N254" s="529"/>
      <c r="O254" s="529">
        <f>SUM(M254+N254)</f>
        <v>251780</v>
      </c>
    </row>
    <row r="255" spans="1:16" s="168" customFormat="1" x14ac:dyDescent="0.25">
      <c r="A255" s="177"/>
      <c r="B255" s="165" t="s">
        <v>383</v>
      </c>
      <c r="C255" s="185">
        <v>151443</v>
      </c>
      <c r="D255" s="175">
        <v>29380</v>
      </c>
      <c r="E255" s="175">
        <v>70957</v>
      </c>
      <c r="F255" s="179"/>
      <c r="G255" s="175"/>
      <c r="H255" s="170">
        <f>SUM(C255:G255)</f>
        <v>251780</v>
      </c>
      <c r="I255" s="172"/>
      <c r="J255" s="171"/>
      <c r="K255" s="171"/>
      <c r="L255" s="170">
        <f>SUM(I255:K255)</f>
        <v>0</v>
      </c>
      <c r="M255" s="169">
        <f>SUM(H255+L255)</f>
        <v>251780</v>
      </c>
      <c r="N255" s="169"/>
      <c r="O255" s="169">
        <f>SUM(M255+N255)</f>
        <v>251780</v>
      </c>
    </row>
    <row r="256" spans="1:16" s="168" customFormat="1" x14ac:dyDescent="0.25">
      <c r="A256" s="177"/>
      <c r="B256" s="165" t="s">
        <v>382</v>
      </c>
      <c r="C256" s="185"/>
      <c r="D256" s="175"/>
      <c r="E256" s="175"/>
      <c r="F256" s="179"/>
      <c r="G256" s="175"/>
      <c r="H256" s="170">
        <f>SUM(C256:G256)</f>
        <v>0</v>
      </c>
      <c r="I256" s="172"/>
      <c r="J256" s="171"/>
      <c r="K256" s="171"/>
      <c r="L256" s="170">
        <f>SUM(I256:K256)</f>
        <v>0</v>
      </c>
      <c r="M256" s="169">
        <f>SUM(H256+L256)</f>
        <v>0</v>
      </c>
      <c r="N256" s="169"/>
      <c r="O256" s="169">
        <f>SUM(M256+N256)</f>
        <v>0</v>
      </c>
    </row>
    <row r="257" spans="1:16" s="168" customFormat="1" x14ac:dyDescent="0.25">
      <c r="A257" s="177"/>
      <c r="B257" s="165" t="s">
        <v>132</v>
      </c>
      <c r="C257" s="185"/>
      <c r="D257" s="175"/>
      <c r="E257" s="175"/>
      <c r="F257" s="179"/>
      <c r="G257" s="175"/>
      <c r="H257" s="170"/>
      <c r="I257" s="172"/>
      <c r="J257" s="171"/>
      <c r="K257" s="171"/>
      <c r="L257" s="170"/>
      <c r="M257" s="169"/>
      <c r="N257" s="169"/>
      <c r="O257" s="169"/>
    </row>
    <row r="258" spans="1:16" s="168" customFormat="1" ht="33" customHeight="1" x14ac:dyDescent="0.25">
      <c r="A258" s="177"/>
      <c r="B258" s="530" t="s">
        <v>1196</v>
      </c>
      <c r="C258" s="201">
        <v>12308</v>
      </c>
      <c r="D258" s="199">
        <v>2258</v>
      </c>
      <c r="E258" s="199"/>
      <c r="F258" s="197"/>
      <c r="G258" s="175"/>
      <c r="H258" s="196">
        <f t="shared" ref="H258:H265" si="100">SUM(C258:G258)</f>
        <v>14566</v>
      </c>
      <c r="I258" s="172"/>
      <c r="J258" s="171"/>
      <c r="K258" s="171"/>
      <c r="L258" s="196">
        <f t="shared" ref="L258:L265" si="101">SUM(I258:K258)</f>
        <v>0</v>
      </c>
      <c r="M258" s="195">
        <f t="shared" ref="M258:M265" si="102">SUM(H258+L258)</f>
        <v>14566</v>
      </c>
      <c r="N258" s="169"/>
      <c r="O258" s="195">
        <f t="shared" ref="O258:O265" si="103">SUM(M258+N258)</f>
        <v>14566</v>
      </c>
    </row>
    <row r="259" spans="1:16" s="168" customFormat="1" ht="31.5" x14ac:dyDescent="0.25">
      <c r="A259" s="177"/>
      <c r="B259" s="530" t="s">
        <v>1252</v>
      </c>
      <c r="C259" s="201">
        <v>6</v>
      </c>
      <c r="D259" s="199">
        <v>1</v>
      </c>
      <c r="E259" s="199"/>
      <c r="F259" s="197"/>
      <c r="G259" s="175"/>
      <c r="H259" s="196">
        <f t="shared" si="100"/>
        <v>7</v>
      </c>
      <c r="I259" s="172"/>
      <c r="J259" s="171"/>
      <c r="K259" s="171"/>
      <c r="L259" s="196">
        <f t="shared" si="101"/>
        <v>0</v>
      </c>
      <c r="M259" s="195">
        <f t="shared" si="102"/>
        <v>7</v>
      </c>
      <c r="N259" s="169"/>
      <c r="O259" s="195">
        <f t="shared" si="103"/>
        <v>7</v>
      </c>
    </row>
    <row r="260" spans="1:16" s="168" customFormat="1" ht="31.5" x14ac:dyDescent="0.25">
      <c r="A260" s="177"/>
      <c r="B260" s="530" t="s">
        <v>1198</v>
      </c>
      <c r="C260" s="201"/>
      <c r="D260" s="199">
        <v>-1498</v>
      </c>
      <c r="E260" s="199"/>
      <c r="F260" s="197"/>
      <c r="G260" s="175"/>
      <c r="H260" s="196">
        <f t="shared" si="100"/>
        <v>-1498</v>
      </c>
      <c r="I260" s="172"/>
      <c r="J260" s="171"/>
      <c r="K260" s="171"/>
      <c r="L260" s="196">
        <f t="shared" si="101"/>
        <v>0</v>
      </c>
      <c r="M260" s="195">
        <f t="shared" si="102"/>
        <v>-1498</v>
      </c>
      <c r="N260" s="169"/>
      <c r="O260" s="195">
        <f t="shared" si="103"/>
        <v>-1498</v>
      </c>
    </row>
    <row r="261" spans="1:16" s="168" customFormat="1" x14ac:dyDescent="0.25">
      <c r="A261" s="177"/>
      <c r="B261" s="530" t="s">
        <v>1199</v>
      </c>
      <c r="C261" s="201">
        <v>-444</v>
      </c>
      <c r="D261" s="199">
        <v>-78</v>
      </c>
      <c r="E261" s="199"/>
      <c r="F261" s="197"/>
      <c r="G261" s="175"/>
      <c r="H261" s="196">
        <f t="shared" si="100"/>
        <v>-522</v>
      </c>
      <c r="I261" s="172"/>
      <c r="J261" s="171"/>
      <c r="K261" s="171"/>
      <c r="L261" s="196">
        <f t="shared" si="101"/>
        <v>0</v>
      </c>
      <c r="M261" s="195">
        <f t="shared" si="102"/>
        <v>-522</v>
      </c>
      <c r="N261" s="169"/>
      <c r="O261" s="195">
        <f t="shared" si="103"/>
        <v>-522</v>
      </c>
    </row>
    <row r="262" spans="1:16" s="168" customFormat="1" ht="31.5" x14ac:dyDescent="0.25">
      <c r="A262" s="177"/>
      <c r="B262" s="530" t="s">
        <v>1254</v>
      </c>
      <c r="C262" s="201"/>
      <c r="D262" s="199"/>
      <c r="E262" s="199">
        <v>450</v>
      </c>
      <c r="F262" s="197"/>
      <c r="G262" s="175"/>
      <c r="H262" s="196">
        <f t="shared" si="100"/>
        <v>450</v>
      </c>
      <c r="I262" s="172"/>
      <c r="J262" s="171"/>
      <c r="K262" s="171"/>
      <c r="L262" s="196">
        <f t="shared" si="101"/>
        <v>0</v>
      </c>
      <c r="M262" s="195">
        <f t="shared" si="102"/>
        <v>450</v>
      </c>
      <c r="N262" s="169"/>
      <c r="O262" s="195">
        <f t="shared" si="103"/>
        <v>450</v>
      </c>
    </row>
    <row r="263" spans="1:16" s="168" customFormat="1" ht="47.25" x14ac:dyDescent="0.25">
      <c r="A263" s="177"/>
      <c r="B263" s="530" t="s">
        <v>1200</v>
      </c>
      <c r="C263" s="201">
        <v>33</v>
      </c>
      <c r="D263" s="199">
        <v>6</v>
      </c>
      <c r="E263" s="199"/>
      <c r="F263" s="197"/>
      <c r="G263" s="175"/>
      <c r="H263" s="196">
        <f t="shared" si="100"/>
        <v>39</v>
      </c>
      <c r="I263" s="172"/>
      <c r="J263" s="171"/>
      <c r="K263" s="171"/>
      <c r="L263" s="196">
        <f t="shared" si="101"/>
        <v>0</v>
      </c>
      <c r="M263" s="195">
        <f t="shared" si="102"/>
        <v>39</v>
      </c>
      <c r="N263" s="169"/>
      <c r="O263" s="195">
        <f t="shared" si="103"/>
        <v>39</v>
      </c>
    </row>
    <row r="264" spans="1:16" s="168" customFormat="1" x14ac:dyDescent="0.25">
      <c r="A264" s="177"/>
      <c r="B264" s="530" t="s">
        <v>1201</v>
      </c>
      <c r="C264" s="201"/>
      <c r="D264" s="199"/>
      <c r="E264" s="199">
        <v>-4585</v>
      </c>
      <c r="F264" s="197"/>
      <c r="G264" s="175"/>
      <c r="H264" s="196">
        <f t="shared" si="100"/>
        <v>-4585</v>
      </c>
      <c r="I264" s="172"/>
      <c r="J264" s="171"/>
      <c r="K264" s="171"/>
      <c r="L264" s="196">
        <f t="shared" si="101"/>
        <v>0</v>
      </c>
      <c r="M264" s="195">
        <f t="shared" si="102"/>
        <v>-4585</v>
      </c>
      <c r="N264" s="169"/>
      <c r="O264" s="195">
        <f t="shared" si="103"/>
        <v>-4585</v>
      </c>
    </row>
    <row r="265" spans="1:16" s="168" customFormat="1" ht="31.5" x14ac:dyDescent="0.25">
      <c r="A265" s="177"/>
      <c r="B265" s="530" t="s">
        <v>1208</v>
      </c>
      <c r="C265" s="201">
        <v>250</v>
      </c>
      <c r="D265" s="199">
        <v>38</v>
      </c>
      <c r="E265" s="199"/>
      <c r="F265" s="197"/>
      <c r="G265" s="175"/>
      <c r="H265" s="196">
        <f t="shared" si="100"/>
        <v>288</v>
      </c>
      <c r="I265" s="172"/>
      <c r="J265" s="171"/>
      <c r="K265" s="171"/>
      <c r="L265" s="196">
        <f t="shared" si="101"/>
        <v>0</v>
      </c>
      <c r="M265" s="195">
        <f t="shared" si="102"/>
        <v>288</v>
      </c>
      <c r="N265" s="169"/>
      <c r="O265" s="195">
        <f t="shared" si="103"/>
        <v>288</v>
      </c>
    </row>
    <row r="266" spans="1:16" s="168" customFormat="1" x14ac:dyDescent="0.25">
      <c r="A266" s="177"/>
      <c r="B266" s="165" t="s">
        <v>133</v>
      </c>
      <c r="C266" s="201"/>
      <c r="D266" s="199"/>
      <c r="E266" s="199"/>
      <c r="F266" s="197"/>
      <c r="G266" s="175"/>
      <c r="H266" s="196"/>
      <c r="I266" s="172"/>
      <c r="J266" s="171"/>
      <c r="K266" s="171"/>
      <c r="L266" s="196"/>
      <c r="M266" s="195"/>
      <c r="N266" s="169"/>
      <c r="O266" s="195"/>
    </row>
    <row r="267" spans="1:16" s="168" customFormat="1" ht="16.5" thickBot="1" x14ac:dyDescent="0.3">
      <c r="A267" s="177"/>
      <c r="B267" s="530" t="s">
        <v>1204</v>
      </c>
      <c r="C267" s="201">
        <v>1550</v>
      </c>
      <c r="D267" s="199">
        <v>504</v>
      </c>
      <c r="E267" s="199"/>
      <c r="F267" s="197"/>
      <c r="G267" s="175"/>
      <c r="H267" s="196">
        <f>SUM(C267:G267)</f>
        <v>2054</v>
      </c>
      <c r="I267" s="172"/>
      <c r="J267" s="171"/>
      <c r="K267" s="171"/>
      <c r="L267" s="196">
        <f>SUM(I267:K267)</f>
        <v>0</v>
      </c>
      <c r="M267" s="195">
        <f>SUM(H267+L267)</f>
        <v>2054</v>
      </c>
      <c r="N267" s="169"/>
      <c r="O267" s="195">
        <f>SUM(M267+N267)</f>
        <v>2054</v>
      </c>
    </row>
    <row r="268" spans="1:16" ht="17.25" thickTop="1" thickBot="1" x14ac:dyDescent="0.3">
      <c r="A268" s="157"/>
      <c r="B268" s="156" t="s">
        <v>381</v>
      </c>
      <c r="C268" s="155">
        <f>+C254+C258+C259+C267+C260+C261+C262+C263+C264+C265</f>
        <v>165146</v>
      </c>
      <c r="D268" s="155">
        <f t="shared" ref="D268:O268" si="104">+D254+D258+D259+D267+D260+D261+D262+D263+D264+D265</f>
        <v>30611</v>
      </c>
      <c r="E268" s="155">
        <f t="shared" si="104"/>
        <v>66822</v>
      </c>
      <c r="F268" s="155">
        <f t="shared" si="104"/>
        <v>0</v>
      </c>
      <c r="G268" s="155">
        <f t="shared" si="104"/>
        <v>0</v>
      </c>
      <c r="H268" s="155">
        <f t="shared" si="104"/>
        <v>262579</v>
      </c>
      <c r="I268" s="155">
        <f t="shared" si="104"/>
        <v>0</v>
      </c>
      <c r="J268" s="155">
        <f t="shared" si="104"/>
        <v>0</v>
      </c>
      <c r="K268" s="155">
        <f t="shared" si="104"/>
        <v>0</v>
      </c>
      <c r="L268" s="155">
        <f t="shared" si="104"/>
        <v>0</v>
      </c>
      <c r="M268" s="155">
        <f t="shared" si="104"/>
        <v>262579</v>
      </c>
      <c r="N268" s="155">
        <f t="shared" si="104"/>
        <v>0</v>
      </c>
      <c r="O268" s="155">
        <f t="shared" si="104"/>
        <v>262579</v>
      </c>
      <c r="P268" s="150"/>
    </row>
    <row r="269" spans="1:16" ht="17.25" thickTop="1" thickBot="1" x14ac:dyDescent="0.3">
      <c r="A269" s="157"/>
      <c r="B269" s="156" t="s">
        <v>380</v>
      </c>
      <c r="C269" s="155">
        <f t="shared" ref="C269:O269" si="105">+C255+C258+C259+C260+C261+C262+C263+C264+C265</f>
        <v>163596</v>
      </c>
      <c r="D269" s="155">
        <f t="shared" si="105"/>
        <v>30107</v>
      </c>
      <c r="E269" s="155">
        <f t="shared" si="105"/>
        <v>66822</v>
      </c>
      <c r="F269" s="155">
        <f t="shared" si="105"/>
        <v>0</v>
      </c>
      <c r="G269" s="155">
        <f t="shared" si="105"/>
        <v>0</v>
      </c>
      <c r="H269" s="155">
        <f t="shared" si="105"/>
        <v>260525</v>
      </c>
      <c r="I269" s="155">
        <f t="shared" si="105"/>
        <v>0</v>
      </c>
      <c r="J269" s="155">
        <f t="shared" si="105"/>
        <v>0</v>
      </c>
      <c r="K269" s="155">
        <f t="shared" si="105"/>
        <v>0</v>
      </c>
      <c r="L269" s="155">
        <f t="shared" si="105"/>
        <v>0</v>
      </c>
      <c r="M269" s="155">
        <f t="shared" si="105"/>
        <v>260525</v>
      </c>
      <c r="N269" s="155">
        <f t="shared" si="105"/>
        <v>0</v>
      </c>
      <c r="O269" s="155">
        <f t="shared" si="105"/>
        <v>260525</v>
      </c>
    </row>
    <row r="270" spans="1:16" ht="17.25" thickTop="1" thickBot="1" x14ac:dyDescent="0.3">
      <c r="A270" s="157"/>
      <c r="B270" s="156" t="s">
        <v>379</v>
      </c>
      <c r="C270" s="155">
        <f>+C256+C267</f>
        <v>1550</v>
      </c>
      <c r="D270" s="155">
        <f t="shared" ref="D270:O270" si="106">+D256+D267</f>
        <v>504</v>
      </c>
      <c r="E270" s="155">
        <f t="shared" si="106"/>
        <v>0</v>
      </c>
      <c r="F270" s="155">
        <f t="shared" si="106"/>
        <v>0</v>
      </c>
      <c r="G270" s="155">
        <f t="shared" si="106"/>
        <v>0</v>
      </c>
      <c r="H270" s="155">
        <f t="shared" si="106"/>
        <v>2054</v>
      </c>
      <c r="I270" s="155">
        <f t="shared" si="106"/>
        <v>0</v>
      </c>
      <c r="J270" s="155">
        <f t="shared" si="106"/>
        <v>0</v>
      </c>
      <c r="K270" s="155">
        <f t="shared" si="106"/>
        <v>0</v>
      </c>
      <c r="L270" s="155">
        <f t="shared" si="106"/>
        <v>0</v>
      </c>
      <c r="M270" s="155">
        <f t="shared" si="106"/>
        <v>2054</v>
      </c>
      <c r="N270" s="155">
        <f t="shared" si="106"/>
        <v>0</v>
      </c>
      <c r="O270" s="155">
        <f t="shared" si="106"/>
        <v>2054</v>
      </c>
    </row>
    <row r="271" spans="1:16" ht="16.5" thickTop="1" x14ac:dyDescent="0.25">
      <c r="A271" s="164" t="s">
        <v>6</v>
      </c>
      <c r="B271" s="523" t="s">
        <v>681</v>
      </c>
      <c r="C271" s="524"/>
      <c r="D271" s="525"/>
      <c r="E271" s="525"/>
      <c r="F271" s="532"/>
      <c r="G271" s="525"/>
      <c r="H271" s="527"/>
      <c r="I271" s="528"/>
      <c r="J271" s="526"/>
      <c r="K271" s="526"/>
      <c r="L271" s="527"/>
      <c r="M271" s="527"/>
      <c r="N271" s="527"/>
      <c r="O271" s="527"/>
    </row>
    <row r="272" spans="1:16" x14ac:dyDescent="0.25">
      <c r="A272" s="167"/>
      <c r="B272" s="523" t="s">
        <v>349</v>
      </c>
      <c r="C272" s="524">
        <f>SUM(C273:C274)</f>
        <v>153309</v>
      </c>
      <c r="D272" s="524">
        <f>SUM(D273:D274)</f>
        <v>29145</v>
      </c>
      <c r="E272" s="524">
        <f>SUM(E273:E274)</f>
        <v>55132</v>
      </c>
      <c r="F272" s="526"/>
      <c r="G272" s="525"/>
      <c r="H272" s="527">
        <f>SUM(C272:G272)</f>
        <v>237586</v>
      </c>
      <c r="I272" s="528"/>
      <c r="J272" s="526"/>
      <c r="K272" s="526"/>
      <c r="L272" s="527">
        <f>SUM(I272:K272)</f>
        <v>0</v>
      </c>
      <c r="M272" s="529">
        <f>SUM(H272+L272)</f>
        <v>237586</v>
      </c>
      <c r="N272" s="529"/>
      <c r="O272" s="529">
        <f>SUM(M272+N272)</f>
        <v>237586</v>
      </c>
    </row>
    <row r="273" spans="1:16" s="168" customFormat="1" x14ac:dyDescent="0.25">
      <c r="A273" s="186"/>
      <c r="B273" s="166" t="s">
        <v>383</v>
      </c>
      <c r="C273" s="185">
        <v>153309</v>
      </c>
      <c r="D273" s="175">
        <v>29145</v>
      </c>
      <c r="E273" s="175">
        <v>55132</v>
      </c>
      <c r="F273" s="171"/>
      <c r="G273" s="175"/>
      <c r="H273" s="170">
        <f>SUM(C273:G273)</f>
        <v>237586</v>
      </c>
      <c r="I273" s="172"/>
      <c r="J273" s="171"/>
      <c r="K273" s="171"/>
      <c r="L273" s="170">
        <f>SUM(I273:K273)</f>
        <v>0</v>
      </c>
      <c r="M273" s="170">
        <f>SUM(H273+L273)</f>
        <v>237586</v>
      </c>
      <c r="N273" s="170"/>
      <c r="O273" s="170">
        <f>SUM(M273+N273)</f>
        <v>237586</v>
      </c>
    </row>
    <row r="274" spans="1:16" s="168" customFormat="1" x14ac:dyDescent="0.25">
      <c r="A274" s="186"/>
      <c r="B274" s="166" t="s">
        <v>382</v>
      </c>
      <c r="C274" s="185"/>
      <c r="D274" s="175"/>
      <c r="E274" s="175"/>
      <c r="F274" s="171"/>
      <c r="G274" s="175"/>
      <c r="H274" s="170">
        <f>SUM(C274:G274)</f>
        <v>0</v>
      </c>
      <c r="I274" s="172"/>
      <c r="J274" s="171"/>
      <c r="K274" s="171"/>
      <c r="L274" s="170">
        <f>SUM(I274:K274)</f>
        <v>0</v>
      </c>
      <c r="M274" s="170">
        <f>SUM(H274+L274)</f>
        <v>0</v>
      </c>
      <c r="N274" s="170"/>
      <c r="O274" s="170">
        <f>SUM(M274+N274)</f>
        <v>0</v>
      </c>
    </row>
    <row r="275" spans="1:16" s="168" customFormat="1" x14ac:dyDescent="0.25">
      <c r="A275" s="186"/>
      <c r="B275" s="165" t="s">
        <v>132</v>
      </c>
      <c r="C275" s="185"/>
      <c r="D275" s="175"/>
      <c r="E275" s="175"/>
      <c r="F275" s="171"/>
      <c r="G275" s="175"/>
      <c r="H275" s="170"/>
      <c r="I275" s="172"/>
      <c r="J275" s="171"/>
      <c r="K275" s="171"/>
      <c r="L275" s="170"/>
      <c r="M275" s="169"/>
      <c r="N275" s="169"/>
      <c r="O275" s="169"/>
    </row>
    <row r="276" spans="1:16" s="168" customFormat="1" ht="30.75" customHeight="1" x14ac:dyDescent="0.25">
      <c r="A276" s="186"/>
      <c r="B276" s="530" t="s">
        <v>1196</v>
      </c>
      <c r="C276" s="201">
        <v>9369</v>
      </c>
      <c r="D276" s="199">
        <v>1806</v>
      </c>
      <c r="E276" s="199">
        <v>1213</v>
      </c>
      <c r="F276" s="200"/>
      <c r="G276" s="175"/>
      <c r="H276" s="196">
        <f t="shared" ref="H276:H283" si="107">SUM(C276:G276)</f>
        <v>12388</v>
      </c>
      <c r="I276" s="172"/>
      <c r="J276" s="171"/>
      <c r="K276" s="171"/>
      <c r="L276" s="196">
        <f t="shared" ref="L276:L283" si="108">SUM(I276:K276)</f>
        <v>0</v>
      </c>
      <c r="M276" s="195">
        <f t="shared" ref="M276:M283" si="109">SUM(H276+L276)</f>
        <v>12388</v>
      </c>
      <c r="N276" s="169"/>
      <c r="O276" s="195">
        <f t="shared" ref="O276:O283" si="110">SUM(M276+N276)</f>
        <v>12388</v>
      </c>
    </row>
    <row r="277" spans="1:16" s="168" customFormat="1" ht="31.5" x14ac:dyDescent="0.25">
      <c r="A277" s="186"/>
      <c r="B277" s="530" t="s">
        <v>1252</v>
      </c>
      <c r="C277" s="201">
        <v>29</v>
      </c>
      <c r="D277" s="199">
        <v>5</v>
      </c>
      <c r="E277" s="199"/>
      <c r="F277" s="200"/>
      <c r="G277" s="175"/>
      <c r="H277" s="196">
        <f t="shared" si="107"/>
        <v>34</v>
      </c>
      <c r="I277" s="172"/>
      <c r="J277" s="171"/>
      <c r="K277" s="171"/>
      <c r="L277" s="196">
        <f t="shared" si="108"/>
        <v>0</v>
      </c>
      <c r="M277" s="195">
        <f t="shared" si="109"/>
        <v>34</v>
      </c>
      <c r="N277" s="169"/>
      <c r="O277" s="195">
        <f t="shared" si="110"/>
        <v>34</v>
      </c>
    </row>
    <row r="278" spans="1:16" s="168" customFormat="1" ht="31.5" x14ac:dyDescent="0.25">
      <c r="A278" s="186"/>
      <c r="B278" s="530" t="s">
        <v>1198</v>
      </c>
      <c r="C278" s="201"/>
      <c r="D278" s="199">
        <v>-1515</v>
      </c>
      <c r="E278" s="199"/>
      <c r="F278" s="200"/>
      <c r="G278" s="175"/>
      <c r="H278" s="196">
        <f t="shared" si="107"/>
        <v>-1515</v>
      </c>
      <c r="I278" s="172"/>
      <c r="J278" s="171"/>
      <c r="K278" s="171"/>
      <c r="L278" s="196">
        <f t="shared" si="108"/>
        <v>0</v>
      </c>
      <c r="M278" s="195">
        <f t="shared" si="109"/>
        <v>-1515</v>
      </c>
      <c r="N278" s="169"/>
      <c r="O278" s="195">
        <f t="shared" si="110"/>
        <v>-1515</v>
      </c>
    </row>
    <row r="279" spans="1:16" s="168" customFormat="1" x14ac:dyDescent="0.25">
      <c r="A279" s="186"/>
      <c r="B279" s="530" t="s">
        <v>1199</v>
      </c>
      <c r="C279" s="201">
        <v>-484</v>
      </c>
      <c r="D279" s="199">
        <v>-85</v>
      </c>
      <c r="E279" s="199"/>
      <c r="F279" s="200"/>
      <c r="G279" s="175"/>
      <c r="H279" s="196">
        <f t="shared" si="107"/>
        <v>-569</v>
      </c>
      <c r="I279" s="172"/>
      <c r="J279" s="171"/>
      <c r="K279" s="171"/>
      <c r="L279" s="196">
        <f t="shared" si="108"/>
        <v>0</v>
      </c>
      <c r="M279" s="195">
        <f t="shared" si="109"/>
        <v>-569</v>
      </c>
      <c r="N279" s="169"/>
      <c r="O279" s="195">
        <f t="shared" si="110"/>
        <v>-569</v>
      </c>
    </row>
    <row r="280" spans="1:16" s="168" customFormat="1" ht="31.5" x14ac:dyDescent="0.25">
      <c r="A280" s="186"/>
      <c r="B280" s="530" t="s">
        <v>1254</v>
      </c>
      <c r="C280" s="201"/>
      <c r="D280" s="199"/>
      <c r="E280" s="199">
        <v>113</v>
      </c>
      <c r="F280" s="200"/>
      <c r="G280" s="175"/>
      <c r="H280" s="196">
        <f t="shared" si="107"/>
        <v>113</v>
      </c>
      <c r="I280" s="172"/>
      <c r="J280" s="171"/>
      <c r="K280" s="171"/>
      <c r="L280" s="196">
        <f t="shared" si="108"/>
        <v>0</v>
      </c>
      <c r="M280" s="195">
        <f t="shared" si="109"/>
        <v>113</v>
      </c>
      <c r="N280" s="169"/>
      <c r="O280" s="195">
        <f t="shared" si="110"/>
        <v>113</v>
      </c>
    </row>
    <row r="281" spans="1:16" s="168" customFormat="1" ht="47.25" x14ac:dyDescent="0.25">
      <c r="A281" s="186"/>
      <c r="B281" s="530" t="s">
        <v>1200</v>
      </c>
      <c r="C281" s="201">
        <v>98</v>
      </c>
      <c r="D281" s="199">
        <v>17</v>
      </c>
      <c r="E281" s="199"/>
      <c r="F281" s="200"/>
      <c r="G281" s="175"/>
      <c r="H281" s="196">
        <f t="shared" si="107"/>
        <v>115</v>
      </c>
      <c r="I281" s="172"/>
      <c r="J281" s="171"/>
      <c r="K281" s="171"/>
      <c r="L281" s="196">
        <f t="shared" si="108"/>
        <v>0</v>
      </c>
      <c r="M281" s="195">
        <f t="shared" si="109"/>
        <v>115</v>
      </c>
      <c r="N281" s="169"/>
      <c r="O281" s="195">
        <f t="shared" si="110"/>
        <v>115</v>
      </c>
    </row>
    <row r="282" spans="1:16" s="168" customFormat="1" x14ac:dyDescent="0.25">
      <c r="A282" s="186"/>
      <c r="B282" s="530" t="s">
        <v>1201</v>
      </c>
      <c r="C282" s="201"/>
      <c r="D282" s="199"/>
      <c r="E282" s="199">
        <v>-4286</v>
      </c>
      <c r="F282" s="200"/>
      <c r="G282" s="175"/>
      <c r="H282" s="196">
        <f t="shared" si="107"/>
        <v>-4286</v>
      </c>
      <c r="I282" s="172"/>
      <c r="J282" s="171"/>
      <c r="K282" s="171"/>
      <c r="L282" s="196">
        <f t="shared" si="108"/>
        <v>0</v>
      </c>
      <c r="M282" s="195">
        <f t="shared" si="109"/>
        <v>-4286</v>
      </c>
      <c r="N282" s="169"/>
      <c r="O282" s="195">
        <f t="shared" si="110"/>
        <v>-4286</v>
      </c>
    </row>
    <row r="283" spans="1:16" s="168" customFormat="1" ht="30" customHeight="1" x14ac:dyDescent="0.25">
      <c r="A283" s="186"/>
      <c r="B283" s="530" t="s">
        <v>1256</v>
      </c>
      <c r="C283" s="201"/>
      <c r="D283" s="199"/>
      <c r="E283" s="199">
        <v>1000</v>
      </c>
      <c r="F283" s="200"/>
      <c r="G283" s="175"/>
      <c r="H283" s="196">
        <f t="shared" si="107"/>
        <v>1000</v>
      </c>
      <c r="I283" s="172"/>
      <c r="J283" s="171"/>
      <c r="K283" s="171"/>
      <c r="L283" s="196">
        <f t="shared" si="108"/>
        <v>0</v>
      </c>
      <c r="M283" s="195">
        <f t="shared" si="109"/>
        <v>1000</v>
      </c>
      <c r="N283" s="169"/>
      <c r="O283" s="195">
        <f t="shared" si="110"/>
        <v>1000</v>
      </c>
    </row>
    <row r="284" spans="1:16" s="168" customFormat="1" x14ac:dyDescent="0.25">
      <c r="A284" s="186"/>
      <c r="B284" s="165" t="s">
        <v>133</v>
      </c>
      <c r="C284" s="201"/>
      <c r="D284" s="199"/>
      <c r="E284" s="199"/>
      <c r="F284" s="200"/>
      <c r="G284" s="175"/>
      <c r="H284" s="196"/>
      <c r="I284" s="172"/>
      <c r="J284" s="171"/>
      <c r="K284" s="171"/>
      <c r="L284" s="196"/>
      <c r="M284" s="195"/>
      <c r="N284" s="169"/>
      <c r="O284" s="195"/>
    </row>
    <row r="285" spans="1:16" s="168" customFormat="1" ht="16.5" thickBot="1" x14ac:dyDescent="0.3">
      <c r="A285" s="186"/>
      <c r="B285" s="530" t="s">
        <v>1204</v>
      </c>
      <c r="C285" s="201">
        <v>1215</v>
      </c>
      <c r="D285" s="199">
        <v>395</v>
      </c>
      <c r="E285" s="199"/>
      <c r="F285" s="200"/>
      <c r="G285" s="199"/>
      <c r="H285" s="196">
        <f>SUM(C285:G285)</f>
        <v>1610</v>
      </c>
      <c r="I285" s="218"/>
      <c r="J285" s="171"/>
      <c r="K285" s="171"/>
      <c r="L285" s="196">
        <f>SUM(I285:K285)</f>
        <v>0</v>
      </c>
      <c r="M285" s="195">
        <f>SUM(H285+L285)</f>
        <v>1610</v>
      </c>
      <c r="N285" s="169"/>
      <c r="O285" s="195">
        <f>SUM(M285+N285)</f>
        <v>1610</v>
      </c>
    </row>
    <row r="286" spans="1:16" ht="17.25" thickTop="1" thickBot="1" x14ac:dyDescent="0.3">
      <c r="A286" s="157"/>
      <c r="B286" s="156" t="s">
        <v>381</v>
      </c>
      <c r="C286" s="155">
        <f>+C272+C276+C277+C285+C278+C279+C280+C281+C282+C283</f>
        <v>163536</v>
      </c>
      <c r="D286" s="155">
        <f t="shared" ref="D286:O286" si="111">+D272+D276+D277+D285+D278+D279+D280+D281+D282+D283</f>
        <v>29768</v>
      </c>
      <c r="E286" s="155">
        <f t="shared" si="111"/>
        <v>53172</v>
      </c>
      <c r="F286" s="155">
        <f t="shared" si="111"/>
        <v>0</v>
      </c>
      <c r="G286" s="155">
        <f t="shared" si="111"/>
        <v>0</v>
      </c>
      <c r="H286" s="155">
        <f t="shared" si="111"/>
        <v>246476</v>
      </c>
      <c r="I286" s="155">
        <f t="shared" si="111"/>
        <v>0</v>
      </c>
      <c r="J286" s="155">
        <f t="shared" si="111"/>
        <v>0</v>
      </c>
      <c r="K286" s="155">
        <f t="shared" si="111"/>
        <v>0</v>
      </c>
      <c r="L286" s="155">
        <f t="shared" si="111"/>
        <v>0</v>
      </c>
      <c r="M286" s="155">
        <f t="shared" si="111"/>
        <v>246476</v>
      </c>
      <c r="N286" s="155">
        <f t="shared" si="111"/>
        <v>0</v>
      </c>
      <c r="O286" s="155">
        <f t="shared" si="111"/>
        <v>246476</v>
      </c>
      <c r="P286" s="150"/>
    </row>
    <row r="287" spans="1:16" ht="17.25" thickTop="1" thickBot="1" x14ac:dyDescent="0.3">
      <c r="A287" s="157"/>
      <c r="B287" s="156" t="s">
        <v>380</v>
      </c>
      <c r="C287" s="155">
        <f t="shared" ref="C287:O287" si="112">+C273+C276+C277+C278+C279+C280+C281+C282+C283</f>
        <v>162321</v>
      </c>
      <c r="D287" s="155">
        <f t="shared" si="112"/>
        <v>29373</v>
      </c>
      <c r="E287" s="155">
        <f t="shared" si="112"/>
        <v>53172</v>
      </c>
      <c r="F287" s="155">
        <f t="shared" si="112"/>
        <v>0</v>
      </c>
      <c r="G287" s="155">
        <f t="shared" si="112"/>
        <v>0</v>
      </c>
      <c r="H287" s="155">
        <f t="shared" si="112"/>
        <v>244866</v>
      </c>
      <c r="I287" s="155">
        <f t="shared" si="112"/>
        <v>0</v>
      </c>
      <c r="J287" s="155">
        <f t="shared" si="112"/>
        <v>0</v>
      </c>
      <c r="K287" s="155">
        <f t="shared" si="112"/>
        <v>0</v>
      </c>
      <c r="L287" s="155">
        <f t="shared" si="112"/>
        <v>0</v>
      </c>
      <c r="M287" s="155">
        <f t="shared" si="112"/>
        <v>244866</v>
      </c>
      <c r="N287" s="155">
        <f t="shared" si="112"/>
        <v>0</v>
      </c>
      <c r="O287" s="155">
        <f t="shared" si="112"/>
        <v>244866</v>
      </c>
    </row>
    <row r="288" spans="1:16" ht="17.25" thickTop="1" thickBot="1" x14ac:dyDescent="0.3">
      <c r="A288" s="157"/>
      <c r="B288" s="156" t="s">
        <v>379</v>
      </c>
      <c r="C288" s="155">
        <f>+C274+C285</f>
        <v>1215</v>
      </c>
      <c r="D288" s="155">
        <f t="shared" ref="D288:O288" si="113">+D274+D285</f>
        <v>395</v>
      </c>
      <c r="E288" s="155">
        <f t="shared" si="113"/>
        <v>0</v>
      </c>
      <c r="F288" s="155">
        <f t="shared" si="113"/>
        <v>0</v>
      </c>
      <c r="G288" s="155">
        <f t="shared" si="113"/>
        <v>0</v>
      </c>
      <c r="H288" s="155">
        <f t="shared" si="113"/>
        <v>1610</v>
      </c>
      <c r="I288" s="155">
        <f t="shared" si="113"/>
        <v>0</v>
      </c>
      <c r="J288" s="155">
        <f t="shared" si="113"/>
        <v>0</v>
      </c>
      <c r="K288" s="155">
        <f t="shared" si="113"/>
        <v>0</v>
      </c>
      <c r="L288" s="155">
        <f t="shared" si="113"/>
        <v>0</v>
      </c>
      <c r="M288" s="155">
        <f t="shared" si="113"/>
        <v>1610</v>
      </c>
      <c r="N288" s="155">
        <f t="shared" si="113"/>
        <v>0</v>
      </c>
      <c r="O288" s="155">
        <f t="shared" si="113"/>
        <v>1610</v>
      </c>
    </row>
    <row r="289" spans="1:16" ht="16.5" thickTop="1" x14ac:dyDescent="0.25">
      <c r="A289" s="164" t="s">
        <v>7</v>
      </c>
      <c r="B289" s="523" t="s">
        <v>400</v>
      </c>
      <c r="C289" s="524"/>
      <c r="D289" s="525"/>
      <c r="E289" s="525"/>
      <c r="F289" s="532"/>
      <c r="G289" s="525"/>
      <c r="H289" s="527"/>
      <c r="I289" s="528"/>
      <c r="J289" s="526"/>
      <c r="K289" s="526"/>
      <c r="L289" s="527"/>
      <c r="M289" s="527"/>
      <c r="N289" s="527"/>
      <c r="O289" s="527"/>
    </row>
    <row r="290" spans="1:16" x14ac:dyDescent="0.25">
      <c r="A290" s="164"/>
      <c r="B290" s="530" t="s">
        <v>349</v>
      </c>
      <c r="C290" s="524">
        <f>SUM(C291:C292)</f>
        <v>54130</v>
      </c>
      <c r="D290" s="524">
        <f>SUM(D291:D292)</f>
        <v>9211</v>
      </c>
      <c r="E290" s="524">
        <f>SUM(E291:E292)</f>
        <v>17250</v>
      </c>
      <c r="F290" s="532"/>
      <c r="G290" s="525"/>
      <c r="H290" s="527">
        <f>SUM(C290:G290)</f>
        <v>80591</v>
      </c>
      <c r="I290" s="528"/>
      <c r="J290" s="526"/>
      <c r="K290" s="526"/>
      <c r="L290" s="527">
        <f>SUM(I290:K290)</f>
        <v>0</v>
      </c>
      <c r="M290" s="529">
        <f>SUM(H290+L290)</f>
        <v>80591</v>
      </c>
      <c r="N290" s="529"/>
      <c r="O290" s="529">
        <f>SUM(M290+N290)</f>
        <v>80591</v>
      </c>
    </row>
    <row r="291" spans="1:16" s="168" customFormat="1" x14ac:dyDescent="0.25">
      <c r="A291" s="177"/>
      <c r="B291" s="165" t="s">
        <v>383</v>
      </c>
      <c r="C291" s="185">
        <v>54130</v>
      </c>
      <c r="D291" s="175">
        <v>9211</v>
      </c>
      <c r="E291" s="175">
        <v>17250</v>
      </c>
      <c r="F291" s="179"/>
      <c r="G291" s="175"/>
      <c r="H291" s="170">
        <f>SUM(C291:G291)</f>
        <v>80591</v>
      </c>
      <c r="I291" s="172"/>
      <c r="J291" s="171"/>
      <c r="K291" s="171"/>
      <c r="L291" s="170">
        <f>SUM(I291:K291)</f>
        <v>0</v>
      </c>
      <c r="M291" s="169">
        <f>SUM(H291+L291)</f>
        <v>80591</v>
      </c>
      <c r="N291" s="169"/>
      <c r="O291" s="169">
        <f>SUM(M291+N291)</f>
        <v>80591</v>
      </c>
    </row>
    <row r="292" spans="1:16" s="168" customFormat="1" x14ac:dyDescent="0.25">
      <c r="A292" s="177"/>
      <c r="B292" s="165" t="s">
        <v>382</v>
      </c>
      <c r="C292" s="185"/>
      <c r="D292" s="175"/>
      <c r="E292" s="175"/>
      <c r="F292" s="179"/>
      <c r="G292" s="175"/>
      <c r="H292" s="170">
        <f>SUM(C292:G292)</f>
        <v>0</v>
      </c>
      <c r="I292" s="172"/>
      <c r="J292" s="171"/>
      <c r="K292" s="171"/>
      <c r="L292" s="170">
        <f>SUM(I292:K292)</f>
        <v>0</v>
      </c>
      <c r="M292" s="169">
        <f>SUM(H292+L292)</f>
        <v>0</v>
      </c>
      <c r="N292" s="169"/>
      <c r="O292" s="169">
        <f>SUM(M292+N292)</f>
        <v>0</v>
      </c>
    </row>
    <row r="293" spans="1:16" s="168" customFormat="1" x14ac:dyDescent="0.25">
      <c r="A293" s="177"/>
      <c r="B293" s="165" t="s">
        <v>132</v>
      </c>
      <c r="C293" s="185"/>
      <c r="D293" s="175"/>
      <c r="E293" s="175"/>
      <c r="F293" s="179"/>
      <c r="G293" s="175"/>
      <c r="H293" s="170"/>
      <c r="I293" s="172"/>
      <c r="J293" s="171"/>
      <c r="K293" s="171"/>
      <c r="L293" s="170"/>
      <c r="M293" s="169"/>
      <c r="N293" s="169"/>
      <c r="O293" s="169"/>
    </row>
    <row r="294" spans="1:16" s="168" customFormat="1" ht="33" customHeight="1" x14ac:dyDescent="0.25">
      <c r="A294" s="177"/>
      <c r="B294" s="530" t="s">
        <v>1196</v>
      </c>
      <c r="C294" s="201">
        <v>4591</v>
      </c>
      <c r="D294" s="199">
        <v>800</v>
      </c>
      <c r="E294" s="199">
        <v>696</v>
      </c>
      <c r="F294" s="197"/>
      <c r="G294" s="199"/>
      <c r="H294" s="196">
        <f t="shared" ref="H294:H300" si="114">SUM(C294:G294)</f>
        <v>6087</v>
      </c>
      <c r="I294" s="218"/>
      <c r="J294" s="200"/>
      <c r="K294" s="200"/>
      <c r="L294" s="196">
        <f t="shared" ref="L294:L300" si="115">SUM(I294:K294)</f>
        <v>0</v>
      </c>
      <c r="M294" s="195">
        <f t="shared" ref="M294:M300" si="116">SUM(H294+L294)</f>
        <v>6087</v>
      </c>
      <c r="N294" s="195"/>
      <c r="O294" s="195">
        <f t="shared" ref="O294:O300" si="117">SUM(M294+N294)</f>
        <v>6087</v>
      </c>
    </row>
    <row r="295" spans="1:16" s="168" customFormat="1" ht="31.5" x14ac:dyDescent="0.25">
      <c r="A295" s="177"/>
      <c r="B295" s="530" t="s">
        <v>1198</v>
      </c>
      <c r="C295" s="201"/>
      <c r="D295" s="199">
        <v>-523</v>
      </c>
      <c r="E295" s="199"/>
      <c r="F295" s="197"/>
      <c r="G295" s="199"/>
      <c r="H295" s="196">
        <f t="shared" si="114"/>
        <v>-523</v>
      </c>
      <c r="I295" s="218"/>
      <c r="J295" s="200"/>
      <c r="K295" s="200"/>
      <c r="L295" s="196">
        <f t="shared" si="115"/>
        <v>0</v>
      </c>
      <c r="M295" s="195">
        <f t="shared" si="116"/>
        <v>-523</v>
      </c>
      <c r="N295" s="195"/>
      <c r="O295" s="195">
        <f t="shared" si="117"/>
        <v>-523</v>
      </c>
    </row>
    <row r="296" spans="1:16" s="168" customFormat="1" ht="15" customHeight="1" x14ac:dyDescent="0.25">
      <c r="A296" s="177"/>
      <c r="B296" s="530" t="s">
        <v>1199</v>
      </c>
      <c r="C296" s="201">
        <v>-152</v>
      </c>
      <c r="D296" s="199">
        <v>-27</v>
      </c>
      <c r="E296" s="199"/>
      <c r="F296" s="197"/>
      <c r="G296" s="199"/>
      <c r="H296" s="196">
        <f t="shared" si="114"/>
        <v>-179</v>
      </c>
      <c r="I296" s="218"/>
      <c r="J296" s="200"/>
      <c r="K296" s="200"/>
      <c r="L296" s="196">
        <f t="shared" si="115"/>
        <v>0</v>
      </c>
      <c r="M296" s="195">
        <f t="shared" si="116"/>
        <v>-179</v>
      </c>
      <c r="N296" s="195"/>
      <c r="O296" s="195">
        <f t="shared" si="117"/>
        <v>-179</v>
      </c>
    </row>
    <row r="297" spans="1:16" s="168" customFormat="1" ht="38.25" customHeight="1" x14ac:dyDescent="0.25">
      <c r="A297" s="177"/>
      <c r="B297" s="530" t="s">
        <v>1254</v>
      </c>
      <c r="C297" s="201"/>
      <c r="D297" s="199"/>
      <c r="E297" s="199">
        <v>93</v>
      </c>
      <c r="F297" s="197"/>
      <c r="G297" s="199"/>
      <c r="H297" s="196">
        <f t="shared" si="114"/>
        <v>93</v>
      </c>
      <c r="I297" s="218"/>
      <c r="J297" s="200"/>
      <c r="K297" s="200"/>
      <c r="L297" s="196">
        <f t="shared" si="115"/>
        <v>0</v>
      </c>
      <c r="M297" s="195">
        <f t="shared" si="116"/>
        <v>93</v>
      </c>
      <c r="N297" s="195"/>
      <c r="O297" s="195">
        <f t="shared" si="117"/>
        <v>93</v>
      </c>
    </row>
    <row r="298" spans="1:16" s="168" customFormat="1" ht="50.25" customHeight="1" x14ac:dyDescent="0.25">
      <c r="A298" s="177"/>
      <c r="B298" s="530" t="s">
        <v>1200</v>
      </c>
      <c r="C298" s="201">
        <v>567</v>
      </c>
      <c r="D298" s="199">
        <v>99</v>
      </c>
      <c r="E298" s="199"/>
      <c r="F298" s="197"/>
      <c r="G298" s="199"/>
      <c r="H298" s="196">
        <f t="shared" si="114"/>
        <v>666</v>
      </c>
      <c r="I298" s="218"/>
      <c r="J298" s="200"/>
      <c r="K298" s="200"/>
      <c r="L298" s="196">
        <f t="shared" si="115"/>
        <v>0</v>
      </c>
      <c r="M298" s="195">
        <f t="shared" si="116"/>
        <v>666</v>
      </c>
      <c r="N298" s="195"/>
      <c r="O298" s="195">
        <f t="shared" si="117"/>
        <v>666</v>
      </c>
    </row>
    <row r="299" spans="1:16" s="168" customFormat="1" ht="15" customHeight="1" x14ac:dyDescent="0.25">
      <c r="A299" s="186"/>
      <c r="B299" s="523" t="s">
        <v>1201</v>
      </c>
      <c r="C299" s="201"/>
      <c r="D299" s="199"/>
      <c r="E299" s="199">
        <v>-1444</v>
      </c>
      <c r="F299" s="200"/>
      <c r="G299" s="199"/>
      <c r="H299" s="196">
        <f t="shared" si="114"/>
        <v>-1444</v>
      </c>
      <c r="I299" s="218"/>
      <c r="J299" s="200"/>
      <c r="K299" s="200"/>
      <c r="L299" s="196">
        <f t="shared" si="115"/>
        <v>0</v>
      </c>
      <c r="M299" s="196">
        <f t="shared" si="116"/>
        <v>-1444</v>
      </c>
      <c r="N299" s="196"/>
      <c r="O299" s="196">
        <f t="shared" si="117"/>
        <v>-1444</v>
      </c>
    </row>
    <row r="300" spans="1:16" s="168" customFormat="1" ht="33" customHeight="1" x14ac:dyDescent="0.25">
      <c r="A300" s="186"/>
      <c r="B300" s="523" t="s">
        <v>1202</v>
      </c>
      <c r="C300" s="201">
        <v>100</v>
      </c>
      <c r="D300" s="199">
        <v>18</v>
      </c>
      <c r="E300" s="199"/>
      <c r="F300" s="200"/>
      <c r="G300" s="199"/>
      <c r="H300" s="196">
        <f t="shared" si="114"/>
        <v>118</v>
      </c>
      <c r="I300" s="218"/>
      <c r="J300" s="200"/>
      <c r="K300" s="200"/>
      <c r="L300" s="196">
        <f t="shared" si="115"/>
        <v>0</v>
      </c>
      <c r="M300" s="196">
        <f t="shared" si="116"/>
        <v>118</v>
      </c>
      <c r="N300" s="196"/>
      <c r="O300" s="196">
        <f t="shared" si="117"/>
        <v>118</v>
      </c>
    </row>
    <row r="301" spans="1:16" s="168" customFormat="1" x14ac:dyDescent="0.25">
      <c r="A301" s="177"/>
      <c r="B301" s="165" t="s">
        <v>133</v>
      </c>
      <c r="C301" s="201"/>
      <c r="D301" s="199"/>
      <c r="E301" s="199"/>
      <c r="F301" s="197"/>
      <c r="G301" s="199"/>
      <c r="H301" s="196"/>
      <c r="I301" s="218"/>
      <c r="J301" s="200"/>
      <c r="K301" s="200"/>
      <c r="L301" s="196"/>
      <c r="M301" s="195"/>
      <c r="N301" s="195"/>
      <c r="O301" s="195"/>
    </row>
    <row r="302" spans="1:16" s="168" customFormat="1" ht="16.5" thickBot="1" x14ac:dyDescent="0.3">
      <c r="A302" s="177"/>
      <c r="B302" s="530" t="s">
        <v>1204</v>
      </c>
      <c r="C302" s="201">
        <v>529</v>
      </c>
      <c r="D302" s="199">
        <v>172</v>
      </c>
      <c r="E302" s="199"/>
      <c r="F302" s="197"/>
      <c r="G302" s="199"/>
      <c r="H302" s="196">
        <f>SUM(C302:G302)</f>
        <v>701</v>
      </c>
      <c r="I302" s="218"/>
      <c r="J302" s="200"/>
      <c r="K302" s="200"/>
      <c r="L302" s="196">
        <f>SUM(I302:K302)</f>
        <v>0</v>
      </c>
      <c r="M302" s="195">
        <f>SUM(H302+L302)</f>
        <v>701</v>
      </c>
      <c r="N302" s="195"/>
      <c r="O302" s="195">
        <f>SUM(M302+N302)</f>
        <v>701</v>
      </c>
    </row>
    <row r="303" spans="1:16" ht="17.25" thickTop="1" thickBot="1" x14ac:dyDescent="0.3">
      <c r="A303" s="157"/>
      <c r="B303" s="156" t="s">
        <v>381</v>
      </c>
      <c r="C303" s="155">
        <f>+C290+C294+C302+C295+C296+C297+C298+C299+C300</f>
        <v>59765</v>
      </c>
      <c r="D303" s="155">
        <f t="shared" ref="D303:O303" si="118">+D290+D294+D302+D295+D296+D297+D298+D299+D300</f>
        <v>9750</v>
      </c>
      <c r="E303" s="155">
        <f t="shared" si="118"/>
        <v>16595</v>
      </c>
      <c r="F303" s="155">
        <f t="shared" si="118"/>
        <v>0</v>
      </c>
      <c r="G303" s="155">
        <f t="shared" si="118"/>
        <v>0</v>
      </c>
      <c r="H303" s="155">
        <f t="shared" si="118"/>
        <v>86110</v>
      </c>
      <c r="I303" s="155">
        <f t="shared" si="118"/>
        <v>0</v>
      </c>
      <c r="J303" s="155">
        <f t="shared" si="118"/>
        <v>0</v>
      </c>
      <c r="K303" s="155">
        <f t="shared" si="118"/>
        <v>0</v>
      </c>
      <c r="L303" s="155">
        <f t="shared" si="118"/>
        <v>0</v>
      </c>
      <c r="M303" s="155">
        <f t="shared" si="118"/>
        <v>86110</v>
      </c>
      <c r="N303" s="155">
        <f t="shared" si="118"/>
        <v>0</v>
      </c>
      <c r="O303" s="155">
        <f t="shared" si="118"/>
        <v>86110</v>
      </c>
      <c r="P303" s="150"/>
    </row>
    <row r="304" spans="1:16" ht="17.25" thickTop="1" thickBot="1" x14ac:dyDescent="0.3">
      <c r="A304" s="157"/>
      <c r="B304" s="156" t="s">
        <v>380</v>
      </c>
      <c r="C304" s="155">
        <f t="shared" ref="C304:O304" si="119">+C291+C294+C295+C296+C297+C298+C299+C300</f>
        <v>59236</v>
      </c>
      <c r="D304" s="155">
        <f t="shared" si="119"/>
        <v>9578</v>
      </c>
      <c r="E304" s="155">
        <f t="shared" si="119"/>
        <v>16595</v>
      </c>
      <c r="F304" s="155">
        <f t="shared" si="119"/>
        <v>0</v>
      </c>
      <c r="G304" s="155">
        <f t="shared" si="119"/>
        <v>0</v>
      </c>
      <c r="H304" s="155">
        <f t="shared" si="119"/>
        <v>85409</v>
      </c>
      <c r="I304" s="155">
        <f t="shared" si="119"/>
        <v>0</v>
      </c>
      <c r="J304" s="155">
        <f t="shared" si="119"/>
        <v>0</v>
      </c>
      <c r="K304" s="155">
        <f t="shared" si="119"/>
        <v>0</v>
      </c>
      <c r="L304" s="155">
        <f t="shared" si="119"/>
        <v>0</v>
      </c>
      <c r="M304" s="155">
        <f t="shared" si="119"/>
        <v>85409</v>
      </c>
      <c r="N304" s="155">
        <f t="shared" si="119"/>
        <v>0</v>
      </c>
      <c r="O304" s="155">
        <f t="shared" si="119"/>
        <v>85409</v>
      </c>
    </row>
    <row r="305" spans="1:15" ht="17.25" thickTop="1" thickBot="1" x14ac:dyDescent="0.3">
      <c r="A305" s="157"/>
      <c r="B305" s="156" t="s">
        <v>379</v>
      </c>
      <c r="C305" s="155">
        <f>+C292+C302</f>
        <v>529</v>
      </c>
      <c r="D305" s="155">
        <f t="shared" ref="D305:O305" si="120">+D292+D302</f>
        <v>172</v>
      </c>
      <c r="E305" s="155">
        <f t="shared" si="120"/>
        <v>0</v>
      </c>
      <c r="F305" s="155">
        <f t="shared" si="120"/>
        <v>0</v>
      </c>
      <c r="G305" s="155">
        <f t="shared" si="120"/>
        <v>0</v>
      </c>
      <c r="H305" s="155">
        <f t="shared" si="120"/>
        <v>701</v>
      </c>
      <c r="I305" s="155">
        <f t="shared" si="120"/>
        <v>0</v>
      </c>
      <c r="J305" s="155">
        <f t="shared" si="120"/>
        <v>0</v>
      </c>
      <c r="K305" s="155">
        <f t="shared" si="120"/>
        <v>0</v>
      </c>
      <c r="L305" s="155">
        <f t="shared" si="120"/>
        <v>0</v>
      </c>
      <c r="M305" s="155">
        <f t="shared" si="120"/>
        <v>701</v>
      </c>
      <c r="N305" s="155">
        <f t="shared" si="120"/>
        <v>0</v>
      </c>
      <c r="O305" s="155">
        <f t="shared" si="120"/>
        <v>701</v>
      </c>
    </row>
    <row r="306" spans="1:15" ht="16.5" thickTop="1" x14ac:dyDescent="0.25">
      <c r="A306" s="164" t="s">
        <v>8</v>
      </c>
      <c r="B306" s="523" t="s">
        <v>682</v>
      </c>
      <c r="C306" s="524"/>
      <c r="D306" s="525"/>
      <c r="E306" s="525"/>
      <c r="F306" s="532"/>
      <c r="G306" s="525"/>
      <c r="H306" s="527"/>
      <c r="I306" s="528"/>
      <c r="J306" s="526"/>
      <c r="K306" s="526"/>
      <c r="L306" s="527"/>
      <c r="M306" s="527"/>
      <c r="N306" s="527"/>
      <c r="O306" s="527"/>
    </row>
    <row r="307" spans="1:15" x14ac:dyDescent="0.25">
      <c r="A307" s="167"/>
      <c r="B307" s="523" t="s">
        <v>349</v>
      </c>
      <c r="C307" s="524">
        <f>SUM(C308:C309)</f>
        <v>187761</v>
      </c>
      <c r="D307" s="524">
        <f>SUM(D308:D309)</f>
        <v>36510</v>
      </c>
      <c r="E307" s="524">
        <f>SUM(E308:E309)</f>
        <v>72551</v>
      </c>
      <c r="F307" s="526"/>
      <c r="G307" s="525"/>
      <c r="H307" s="527">
        <f>SUM(C307:G307)</f>
        <v>296822</v>
      </c>
      <c r="I307" s="528"/>
      <c r="J307" s="526"/>
      <c r="K307" s="526"/>
      <c r="L307" s="527">
        <f>SUM(I307:K307)</f>
        <v>0</v>
      </c>
      <c r="M307" s="529">
        <f>SUM(H307+L307)</f>
        <v>296822</v>
      </c>
      <c r="N307" s="529"/>
      <c r="O307" s="529">
        <f>SUM(M307+N307)</f>
        <v>296822</v>
      </c>
    </row>
    <row r="308" spans="1:15" s="168" customFormat="1" x14ac:dyDescent="0.25">
      <c r="A308" s="186"/>
      <c r="B308" s="165" t="s">
        <v>383</v>
      </c>
      <c r="C308" s="185">
        <v>187761</v>
      </c>
      <c r="D308" s="175">
        <v>36510</v>
      </c>
      <c r="E308" s="175">
        <v>72551</v>
      </c>
      <c r="F308" s="171"/>
      <c r="G308" s="175"/>
      <c r="H308" s="170">
        <f>SUM(C308:G308)</f>
        <v>296822</v>
      </c>
      <c r="I308" s="172"/>
      <c r="J308" s="171"/>
      <c r="K308" s="171"/>
      <c r="L308" s="170">
        <f>SUM(I308:K308)</f>
        <v>0</v>
      </c>
      <c r="M308" s="169">
        <f>SUM(H308+L308)</f>
        <v>296822</v>
      </c>
      <c r="N308" s="169"/>
      <c r="O308" s="169">
        <f>SUM(M308+N308)</f>
        <v>296822</v>
      </c>
    </row>
    <row r="309" spans="1:15" s="168" customFormat="1" x14ac:dyDescent="0.25">
      <c r="A309" s="186"/>
      <c r="B309" s="165" t="s">
        <v>382</v>
      </c>
      <c r="C309" s="185"/>
      <c r="D309" s="175"/>
      <c r="E309" s="175"/>
      <c r="F309" s="171"/>
      <c r="G309" s="175"/>
      <c r="H309" s="170">
        <f>SUM(C309:G309)</f>
        <v>0</v>
      </c>
      <c r="I309" s="172"/>
      <c r="J309" s="171"/>
      <c r="K309" s="171"/>
      <c r="L309" s="170">
        <f>SUM(I309:K309)</f>
        <v>0</v>
      </c>
      <c r="M309" s="169">
        <f>SUM(H309+L309)</f>
        <v>0</v>
      </c>
      <c r="N309" s="169"/>
      <c r="O309" s="169">
        <f>SUM(M309+N309)</f>
        <v>0</v>
      </c>
    </row>
    <row r="310" spans="1:15" s="168" customFormat="1" x14ac:dyDescent="0.25">
      <c r="A310" s="186"/>
      <c r="B310" s="165" t="s">
        <v>132</v>
      </c>
      <c r="C310" s="185"/>
      <c r="D310" s="175"/>
      <c r="E310" s="175"/>
      <c r="F310" s="171"/>
      <c r="G310" s="175"/>
      <c r="H310" s="170"/>
      <c r="I310" s="172"/>
      <c r="J310" s="171"/>
      <c r="K310" s="171"/>
      <c r="L310" s="170"/>
      <c r="M310" s="169"/>
      <c r="N310" s="169"/>
      <c r="O310" s="169"/>
    </row>
    <row r="311" spans="1:15" s="168" customFormat="1" ht="30.75" customHeight="1" x14ac:dyDescent="0.25">
      <c r="A311" s="186"/>
      <c r="B311" s="530" t="s">
        <v>1196</v>
      </c>
      <c r="C311" s="201">
        <v>15319</v>
      </c>
      <c r="D311" s="199">
        <v>2735</v>
      </c>
      <c r="E311" s="199"/>
      <c r="F311" s="200"/>
      <c r="G311" s="199"/>
      <c r="H311" s="196">
        <f t="shared" ref="H311:H318" si="121">SUM(C311:G311)</f>
        <v>18054</v>
      </c>
      <c r="I311" s="218"/>
      <c r="J311" s="200"/>
      <c r="K311" s="200"/>
      <c r="L311" s="196">
        <f t="shared" ref="L311:L318" si="122">SUM(I311:K311)</f>
        <v>0</v>
      </c>
      <c r="M311" s="195">
        <f t="shared" ref="M311:M318" si="123">SUM(H311+L311)</f>
        <v>18054</v>
      </c>
      <c r="N311" s="169"/>
      <c r="O311" s="195">
        <f t="shared" ref="O311:O318" si="124">SUM(M311+N311)</f>
        <v>18054</v>
      </c>
    </row>
    <row r="312" spans="1:15" s="168" customFormat="1" ht="31.5" x14ac:dyDescent="0.25">
      <c r="A312" s="186"/>
      <c r="B312" s="530" t="s">
        <v>1198</v>
      </c>
      <c r="C312" s="201"/>
      <c r="D312" s="199">
        <v>-1849</v>
      </c>
      <c r="E312" s="199"/>
      <c r="F312" s="200"/>
      <c r="G312" s="199"/>
      <c r="H312" s="196">
        <f t="shared" si="121"/>
        <v>-1849</v>
      </c>
      <c r="I312" s="218"/>
      <c r="J312" s="200"/>
      <c r="K312" s="200"/>
      <c r="L312" s="196">
        <f t="shared" si="122"/>
        <v>0</v>
      </c>
      <c r="M312" s="195">
        <f t="shared" si="123"/>
        <v>-1849</v>
      </c>
      <c r="N312" s="169"/>
      <c r="O312" s="195">
        <f t="shared" si="124"/>
        <v>-1849</v>
      </c>
    </row>
    <row r="313" spans="1:15" s="168" customFormat="1" x14ac:dyDescent="0.25">
      <c r="A313" s="186"/>
      <c r="B313" s="530" t="s">
        <v>1199</v>
      </c>
      <c r="C313" s="201">
        <v>-595</v>
      </c>
      <c r="D313" s="199">
        <v>-104</v>
      </c>
      <c r="E313" s="199"/>
      <c r="F313" s="200"/>
      <c r="G313" s="199"/>
      <c r="H313" s="196">
        <f t="shared" si="121"/>
        <v>-699</v>
      </c>
      <c r="I313" s="218"/>
      <c r="J313" s="200"/>
      <c r="K313" s="200"/>
      <c r="L313" s="196">
        <f t="shared" si="122"/>
        <v>0</v>
      </c>
      <c r="M313" s="195">
        <f t="shared" si="123"/>
        <v>-699</v>
      </c>
      <c r="N313" s="169"/>
      <c r="O313" s="195">
        <f t="shared" si="124"/>
        <v>-699</v>
      </c>
    </row>
    <row r="314" spans="1:15" s="168" customFormat="1" ht="31.5" x14ac:dyDescent="0.25">
      <c r="A314" s="186"/>
      <c r="B314" s="530" t="s">
        <v>1254</v>
      </c>
      <c r="C314" s="201"/>
      <c r="D314" s="199"/>
      <c r="E314" s="199">
        <v>187</v>
      </c>
      <c r="F314" s="200"/>
      <c r="G314" s="199"/>
      <c r="H314" s="196">
        <f t="shared" si="121"/>
        <v>187</v>
      </c>
      <c r="I314" s="218"/>
      <c r="J314" s="200"/>
      <c r="K314" s="200"/>
      <c r="L314" s="196">
        <f t="shared" si="122"/>
        <v>0</v>
      </c>
      <c r="M314" s="195">
        <f t="shared" si="123"/>
        <v>187</v>
      </c>
      <c r="N314" s="169"/>
      <c r="O314" s="195">
        <f t="shared" si="124"/>
        <v>187</v>
      </c>
    </row>
    <row r="315" spans="1:15" s="168" customFormat="1" ht="47.25" x14ac:dyDescent="0.25">
      <c r="A315" s="186"/>
      <c r="B315" s="530" t="s">
        <v>1200</v>
      </c>
      <c r="C315" s="201">
        <v>895</v>
      </c>
      <c r="D315" s="199">
        <v>157</v>
      </c>
      <c r="E315" s="199"/>
      <c r="F315" s="200"/>
      <c r="G315" s="199"/>
      <c r="H315" s="196">
        <f t="shared" si="121"/>
        <v>1052</v>
      </c>
      <c r="I315" s="218"/>
      <c r="J315" s="200"/>
      <c r="K315" s="200"/>
      <c r="L315" s="196">
        <f t="shared" si="122"/>
        <v>0</v>
      </c>
      <c r="M315" s="195">
        <f t="shared" si="123"/>
        <v>1052</v>
      </c>
      <c r="N315" s="169"/>
      <c r="O315" s="195">
        <f t="shared" si="124"/>
        <v>1052</v>
      </c>
    </row>
    <row r="316" spans="1:15" s="168" customFormat="1" x14ac:dyDescent="0.25">
      <c r="A316" s="186"/>
      <c r="B316" s="530" t="s">
        <v>1201</v>
      </c>
      <c r="C316" s="201"/>
      <c r="D316" s="199"/>
      <c r="E316" s="199">
        <v>-5379</v>
      </c>
      <c r="F316" s="200"/>
      <c r="G316" s="199"/>
      <c r="H316" s="196">
        <f t="shared" si="121"/>
        <v>-5379</v>
      </c>
      <c r="I316" s="218"/>
      <c r="J316" s="200"/>
      <c r="K316" s="200"/>
      <c r="L316" s="196">
        <f t="shared" si="122"/>
        <v>0</v>
      </c>
      <c r="M316" s="195">
        <f t="shared" si="123"/>
        <v>-5379</v>
      </c>
      <c r="N316" s="169"/>
      <c r="O316" s="195">
        <f t="shared" si="124"/>
        <v>-5379</v>
      </c>
    </row>
    <row r="317" spans="1:15" s="168" customFormat="1" ht="33" customHeight="1" x14ac:dyDescent="0.25">
      <c r="A317" s="186"/>
      <c r="B317" s="530" t="s">
        <v>1256</v>
      </c>
      <c r="C317" s="201"/>
      <c r="D317" s="199"/>
      <c r="E317" s="199">
        <v>1000</v>
      </c>
      <c r="F317" s="200"/>
      <c r="G317" s="199"/>
      <c r="H317" s="196">
        <f t="shared" si="121"/>
        <v>1000</v>
      </c>
      <c r="I317" s="218"/>
      <c r="J317" s="200"/>
      <c r="K317" s="200"/>
      <c r="L317" s="196">
        <f t="shared" si="122"/>
        <v>0</v>
      </c>
      <c r="M317" s="195">
        <f t="shared" si="123"/>
        <v>1000</v>
      </c>
      <c r="N317" s="169"/>
      <c r="O317" s="195">
        <f t="shared" si="124"/>
        <v>1000</v>
      </c>
    </row>
    <row r="318" spans="1:15" s="168" customFormat="1" ht="33" customHeight="1" x14ac:dyDescent="0.25">
      <c r="A318" s="186"/>
      <c r="B318" s="530" t="s">
        <v>1208</v>
      </c>
      <c r="C318" s="201">
        <v>400</v>
      </c>
      <c r="D318" s="199">
        <v>60</v>
      </c>
      <c r="E318" s="199"/>
      <c r="F318" s="200"/>
      <c r="G318" s="199"/>
      <c r="H318" s="196">
        <f t="shared" si="121"/>
        <v>460</v>
      </c>
      <c r="I318" s="218"/>
      <c r="J318" s="200"/>
      <c r="K318" s="200"/>
      <c r="L318" s="196">
        <f t="shared" si="122"/>
        <v>0</v>
      </c>
      <c r="M318" s="195">
        <f t="shared" si="123"/>
        <v>460</v>
      </c>
      <c r="N318" s="169"/>
      <c r="O318" s="195">
        <f t="shared" si="124"/>
        <v>460</v>
      </c>
    </row>
    <row r="319" spans="1:15" s="168" customFormat="1" x14ac:dyDescent="0.25">
      <c r="A319" s="186"/>
      <c r="B319" s="165" t="s">
        <v>133</v>
      </c>
      <c r="C319" s="201"/>
      <c r="D319" s="199"/>
      <c r="E319" s="199"/>
      <c r="F319" s="200"/>
      <c r="G319" s="199"/>
      <c r="H319" s="196"/>
      <c r="I319" s="218"/>
      <c r="J319" s="200"/>
      <c r="K319" s="200"/>
      <c r="L319" s="196"/>
      <c r="M319" s="195"/>
      <c r="N319" s="169"/>
      <c r="O319" s="195"/>
    </row>
    <row r="320" spans="1:15" s="168" customFormat="1" ht="16.5" thickBot="1" x14ac:dyDescent="0.3">
      <c r="A320" s="186"/>
      <c r="B320" s="530" t="s">
        <v>1204</v>
      </c>
      <c r="C320" s="201">
        <v>1823</v>
      </c>
      <c r="D320" s="199">
        <v>592</v>
      </c>
      <c r="E320" s="199"/>
      <c r="F320" s="200"/>
      <c r="G320" s="199"/>
      <c r="H320" s="196">
        <f>SUM(C320:G320)</f>
        <v>2415</v>
      </c>
      <c r="I320" s="218"/>
      <c r="J320" s="200"/>
      <c r="K320" s="200"/>
      <c r="L320" s="196">
        <f>SUM(I320:K320)</f>
        <v>0</v>
      </c>
      <c r="M320" s="195">
        <f>SUM(H320+L320)</f>
        <v>2415</v>
      </c>
      <c r="N320" s="169"/>
      <c r="O320" s="195">
        <f>SUM(M320+N320)</f>
        <v>2415</v>
      </c>
    </row>
    <row r="321" spans="1:16" ht="17.25" thickTop="1" thickBot="1" x14ac:dyDescent="0.3">
      <c r="A321" s="157"/>
      <c r="B321" s="156" t="s">
        <v>381</v>
      </c>
      <c r="C321" s="155">
        <f>+C307+C311+C320+C312+C313+C314+C315+C316+C317+C318</f>
        <v>205603</v>
      </c>
      <c r="D321" s="155">
        <f t="shared" ref="D321:O321" si="125">+D307+D311+D320+D312+D313+D314+D315+D316+D317+D318</f>
        <v>38101</v>
      </c>
      <c r="E321" s="155">
        <f t="shared" si="125"/>
        <v>68359</v>
      </c>
      <c r="F321" s="155">
        <f t="shared" si="125"/>
        <v>0</v>
      </c>
      <c r="G321" s="155">
        <f t="shared" si="125"/>
        <v>0</v>
      </c>
      <c r="H321" s="155">
        <f t="shared" si="125"/>
        <v>312063</v>
      </c>
      <c r="I321" s="155">
        <f t="shared" si="125"/>
        <v>0</v>
      </c>
      <c r="J321" s="155">
        <f t="shared" si="125"/>
        <v>0</v>
      </c>
      <c r="K321" s="155">
        <f t="shared" si="125"/>
        <v>0</v>
      </c>
      <c r="L321" s="155">
        <f t="shared" si="125"/>
        <v>0</v>
      </c>
      <c r="M321" s="155">
        <f t="shared" si="125"/>
        <v>312063</v>
      </c>
      <c r="N321" s="155">
        <f t="shared" si="125"/>
        <v>0</v>
      </c>
      <c r="O321" s="155">
        <f t="shared" si="125"/>
        <v>312063</v>
      </c>
      <c r="P321" s="150"/>
    </row>
    <row r="322" spans="1:16" ht="17.25" thickTop="1" thickBot="1" x14ac:dyDescent="0.3">
      <c r="A322" s="157"/>
      <c r="B322" s="156" t="s">
        <v>380</v>
      </c>
      <c r="C322" s="155">
        <f t="shared" ref="C322:O322" si="126">+C308+C311+C312+C313+C314+C315+C316+C317+C318</f>
        <v>203780</v>
      </c>
      <c r="D322" s="155">
        <f t="shared" si="126"/>
        <v>37509</v>
      </c>
      <c r="E322" s="155">
        <f t="shared" si="126"/>
        <v>68359</v>
      </c>
      <c r="F322" s="155">
        <f t="shared" si="126"/>
        <v>0</v>
      </c>
      <c r="G322" s="155">
        <f t="shared" si="126"/>
        <v>0</v>
      </c>
      <c r="H322" s="155">
        <f t="shared" si="126"/>
        <v>309648</v>
      </c>
      <c r="I322" s="155">
        <f t="shared" si="126"/>
        <v>0</v>
      </c>
      <c r="J322" s="155">
        <f t="shared" si="126"/>
        <v>0</v>
      </c>
      <c r="K322" s="155">
        <f t="shared" si="126"/>
        <v>0</v>
      </c>
      <c r="L322" s="155">
        <f t="shared" si="126"/>
        <v>0</v>
      </c>
      <c r="M322" s="155">
        <f t="shared" si="126"/>
        <v>309648</v>
      </c>
      <c r="N322" s="155">
        <f t="shared" si="126"/>
        <v>0</v>
      </c>
      <c r="O322" s="155">
        <f t="shared" si="126"/>
        <v>309648</v>
      </c>
    </row>
    <row r="323" spans="1:16" ht="17.25" thickTop="1" thickBot="1" x14ac:dyDescent="0.3">
      <c r="A323" s="157"/>
      <c r="B323" s="156" t="s">
        <v>379</v>
      </c>
      <c r="C323" s="155">
        <f>+C309+C320</f>
        <v>1823</v>
      </c>
      <c r="D323" s="155">
        <f t="shared" ref="D323:O323" si="127">+D309+D320</f>
        <v>592</v>
      </c>
      <c r="E323" s="155">
        <f t="shared" si="127"/>
        <v>0</v>
      </c>
      <c r="F323" s="155">
        <f t="shared" si="127"/>
        <v>0</v>
      </c>
      <c r="G323" s="155">
        <f t="shared" si="127"/>
        <v>0</v>
      </c>
      <c r="H323" s="155">
        <f t="shared" si="127"/>
        <v>2415</v>
      </c>
      <c r="I323" s="155">
        <f t="shared" si="127"/>
        <v>0</v>
      </c>
      <c r="J323" s="155">
        <f t="shared" si="127"/>
        <v>0</v>
      </c>
      <c r="K323" s="155">
        <f t="shared" si="127"/>
        <v>0</v>
      </c>
      <c r="L323" s="155">
        <f t="shared" si="127"/>
        <v>0</v>
      </c>
      <c r="M323" s="155">
        <f t="shared" si="127"/>
        <v>2415</v>
      </c>
      <c r="N323" s="155">
        <f t="shared" si="127"/>
        <v>0</v>
      </c>
      <c r="O323" s="155">
        <f t="shared" si="127"/>
        <v>2415</v>
      </c>
    </row>
    <row r="324" spans="1:16" ht="16.5" thickTop="1" x14ac:dyDescent="0.25">
      <c r="A324" s="164" t="s">
        <v>9</v>
      </c>
      <c r="B324" s="523" t="s">
        <v>399</v>
      </c>
      <c r="C324" s="524"/>
      <c r="D324" s="525"/>
      <c r="E324" s="525"/>
      <c r="F324" s="532"/>
      <c r="G324" s="525"/>
      <c r="H324" s="527"/>
      <c r="I324" s="528"/>
      <c r="J324" s="526"/>
      <c r="K324" s="526"/>
      <c r="L324" s="527"/>
      <c r="M324" s="527"/>
      <c r="N324" s="527"/>
      <c r="O324" s="527"/>
    </row>
    <row r="325" spans="1:16" x14ac:dyDescent="0.25">
      <c r="A325" s="164"/>
      <c r="B325" s="530" t="s">
        <v>349</v>
      </c>
      <c r="C325" s="524">
        <f>SUM(C326:C327)</f>
        <v>124669</v>
      </c>
      <c r="D325" s="524">
        <f>SUM(D326:D327)</f>
        <v>24036</v>
      </c>
      <c r="E325" s="524">
        <f>SUM(E326:E327)</f>
        <v>65902</v>
      </c>
      <c r="F325" s="532"/>
      <c r="G325" s="525"/>
      <c r="H325" s="527">
        <f>SUM(C325:G325)</f>
        <v>214607</v>
      </c>
      <c r="I325" s="528"/>
      <c r="J325" s="526"/>
      <c r="K325" s="526"/>
      <c r="L325" s="527">
        <f>SUM(I325:K325)</f>
        <v>0</v>
      </c>
      <c r="M325" s="529">
        <f>SUM(H325+L325)</f>
        <v>214607</v>
      </c>
      <c r="N325" s="529"/>
      <c r="O325" s="529">
        <f>SUM(M325+N325)</f>
        <v>214607</v>
      </c>
    </row>
    <row r="326" spans="1:16" s="168" customFormat="1" x14ac:dyDescent="0.25">
      <c r="A326" s="177"/>
      <c r="B326" s="165" t="s">
        <v>383</v>
      </c>
      <c r="C326" s="185">
        <v>124669</v>
      </c>
      <c r="D326" s="175">
        <v>24036</v>
      </c>
      <c r="E326" s="175">
        <v>65902</v>
      </c>
      <c r="F326" s="179"/>
      <c r="G326" s="175"/>
      <c r="H326" s="170">
        <f>SUM(C326:G326)</f>
        <v>214607</v>
      </c>
      <c r="I326" s="172"/>
      <c r="J326" s="171"/>
      <c r="K326" s="171"/>
      <c r="L326" s="170">
        <f>SUM(I326:K326)</f>
        <v>0</v>
      </c>
      <c r="M326" s="169">
        <f>SUM(H326+L326)</f>
        <v>214607</v>
      </c>
      <c r="N326" s="169"/>
      <c r="O326" s="169">
        <f>SUM(M326+N326)</f>
        <v>214607</v>
      </c>
    </row>
    <row r="327" spans="1:16" s="168" customFormat="1" x14ac:dyDescent="0.25">
      <c r="A327" s="177"/>
      <c r="B327" s="165" t="s">
        <v>382</v>
      </c>
      <c r="C327" s="185"/>
      <c r="D327" s="175"/>
      <c r="E327" s="175"/>
      <c r="F327" s="179"/>
      <c r="G327" s="175"/>
      <c r="H327" s="170">
        <f>SUM(C327:G327)</f>
        <v>0</v>
      </c>
      <c r="I327" s="172"/>
      <c r="J327" s="171"/>
      <c r="K327" s="171"/>
      <c r="L327" s="170">
        <f>SUM(I327:K327)</f>
        <v>0</v>
      </c>
      <c r="M327" s="169">
        <f>SUM(H327+L327)</f>
        <v>0</v>
      </c>
      <c r="N327" s="169"/>
      <c r="O327" s="169">
        <f>SUM(M327+N327)</f>
        <v>0</v>
      </c>
    </row>
    <row r="328" spans="1:16" s="168" customFormat="1" x14ac:dyDescent="0.25">
      <c r="A328" s="177"/>
      <c r="B328" s="165" t="s">
        <v>132</v>
      </c>
      <c r="C328" s="185"/>
      <c r="D328" s="175"/>
      <c r="E328" s="175"/>
      <c r="F328" s="179"/>
      <c r="G328" s="175"/>
      <c r="H328" s="170"/>
      <c r="I328" s="172"/>
      <c r="J328" s="171"/>
      <c r="K328" s="171"/>
      <c r="L328" s="170"/>
      <c r="M328" s="169"/>
      <c r="N328" s="169"/>
      <c r="O328" s="169"/>
    </row>
    <row r="329" spans="1:16" s="168" customFormat="1" ht="31.5" customHeight="1" x14ac:dyDescent="0.25">
      <c r="A329" s="177"/>
      <c r="B329" s="530" t="s">
        <v>1196</v>
      </c>
      <c r="C329" s="201">
        <v>9705</v>
      </c>
      <c r="D329" s="199">
        <v>1732</v>
      </c>
      <c r="E329" s="199">
        <v>4387</v>
      </c>
      <c r="F329" s="197"/>
      <c r="G329" s="175"/>
      <c r="H329" s="196">
        <f t="shared" ref="H329:H335" si="128">SUM(C329:G329)</f>
        <v>15824</v>
      </c>
      <c r="I329" s="172"/>
      <c r="J329" s="171"/>
      <c r="K329" s="171"/>
      <c r="L329" s="196">
        <f t="shared" ref="L329:L335" si="129">SUM(I329:K329)</f>
        <v>0</v>
      </c>
      <c r="M329" s="195">
        <f t="shared" ref="M329:M335" si="130">SUM(H329+L329)</f>
        <v>15824</v>
      </c>
      <c r="N329" s="169"/>
      <c r="O329" s="195">
        <f t="shared" ref="O329:O335" si="131">SUM(M329+N329)</f>
        <v>15824</v>
      </c>
    </row>
    <row r="330" spans="1:16" s="168" customFormat="1" ht="31.5" x14ac:dyDescent="0.25">
      <c r="A330" s="177"/>
      <c r="B330" s="530" t="s">
        <v>1252</v>
      </c>
      <c r="C330" s="201">
        <v>26</v>
      </c>
      <c r="D330" s="199">
        <v>4</v>
      </c>
      <c r="E330" s="199"/>
      <c r="F330" s="197"/>
      <c r="G330" s="175"/>
      <c r="H330" s="196">
        <f t="shared" si="128"/>
        <v>30</v>
      </c>
      <c r="I330" s="172"/>
      <c r="J330" s="171"/>
      <c r="K330" s="171"/>
      <c r="L330" s="196">
        <f t="shared" si="129"/>
        <v>0</v>
      </c>
      <c r="M330" s="195">
        <f t="shared" si="130"/>
        <v>30</v>
      </c>
      <c r="N330" s="169"/>
      <c r="O330" s="195">
        <f t="shared" si="131"/>
        <v>30</v>
      </c>
    </row>
    <row r="331" spans="1:16" s="168" customFormat="1" ht="31.5" x14ac:dyDescent="0.25">
      <c r="A331" s="177"/>
      <c r="B331" s="530" t="s">
        <v>1198</v>
      </c>
      <c r="C331" s="201"/>
      <c r="D331" s="199">
        <v>-1234</v>
      </c>
      <c r="E331" s="199"/>
      <c r="F331" s="197"/>
      <c r="G331" s="175"/>
      <c r="H331" s="196">
        <f t="shared" si="128"/>
        <v>-1234</v>
      </c>
      <c r="I331" s="172"/>
      <c r="J331" s="171"/>
      <c r="K331" s="171"/>
      <c r="L331" s="196">
        <f t="shared" si="129"/>
        <v>0</v>
      </c>
      <c r="M331" s="195">
        <f t="shared" si="130"/>
        <v>-1234</v>
      </c>
      <c r="N331" s="169"/>
      <c r="O331" s="195">
        <f t="shared" si="131"/>
        <v>-1234</v>
      </c>
    </row>
    <row r="332" spans="1:16" s="168" customFormat="1" x14ac:dyDescent="0.25">
      <c r="A332" s="177"/>
      <c r="B332" s="530" t="s">
        <v>1199</v>
      </c>
      <c r="C332" s="201">
        <v>-368</v>
      </c>
      <c r="D332" s="199">
        <v>-64</v>
      </c>
      <c r="E332" s="199"/>
      <c r="F332" s="197"/>
      <c r="G332" s="175"/>
      <c r="H332" s="196">
        <f t="shared" si="128"/>
        <v>-432</v>
      </c>
      <c r="I332" s="172"/>
      <c r="J332" s="171"/>
      <c r="K332" s="171"/>
      <c r="L332" s="196">
        <f t="shared" si="129"/>
        <v>0</v>
      </c>
      <c r="M332" s="195">
        <f t="shared" si="130"/>
        <v>-432</v>
      </c>
      <c r="N332" s="169"/>
      <c r="O332" s="195">
        <f t="shared" si="131"/>
        <v>-432</v>
      </c>
    </row>
    <row r="333" spans="1:16" s="168" customFormat="1" ht="31.5" x14ac:dyDescent="0.25">
      <c r="A333" s="177"/>
      <c r="B333" s="530" t="s">
        <v>1254</v>
      </c>
      <c r="C333" s="201"/>
      <c r="D333" s="199"/>
      <c r="E333" s="199">
        <v>283</v>
      </c>
      <c r="F333" s="197"/>
      <c r="G333" s="175"/>
      <c r="H333" s="196">
        <f t="shared" si="128"/>
        <v>283</v>
      </c>
      <c r="I333" s="172"/>
      <c r="J333" s="171"/>
      <c r="K333" s="171"/>
      <c r="L333" s="196">
        <f t="shared" si="129"/>
        <v>0</v>
      </c>
      <c r="M333" s="195">
        <f t="shared" si="130"/>
        <v>283</v>
      </c>
      <c r="N333" s="169"/>
      <c r="O333" s="195">
        <f t="shared" si="131"/>
        <v>283</v>
      </c>
    </row>
    <row r="334" spans="1:16" s="168" customFormat="1" ht="47.25" x14ac:dyDescent="0.25">
      <c r="A334" s="177"/>
      <c r="B334" s="530" t="s">
        <v>1200</v>
      </c>
      <c r="C334" s="201">
        <v>2899</v>
      </c>
      <c r="D334" s="199">
        <v>507</v>
      </c>
      <c r="E334" s="199"/>
      <c r="F334" s="197"/>
      <c r="G334" s="175"/>
      <c r="H334" s="196">
        <f t="shared" si="128"/>
        <v>3406</v>
      </c>
      <c r="I334" s="172"/>
      <c r="J334" s="171"/>
      <c r="K334" s="171"/>
      <c r="L334" s="196">
        <f t="shared" si="129"/>
        <v>0</v>
      </c>
      <c r="M334" s="195">
        <f t="shared" si="130"/>
        <v>3406</v>
      </c>
      <c r="N334" s="169"/>
      <c r="O334" s="195">
        <f t="shared" si="131"/>
        <v>3406</v>
      </c>
    </row>
    <row r="335" spans="1:16" s="168" customFormat="1" x14ac:dyDescent="0.25">
      <c r="A335" s="177"/>
      <c r="B335" s="530" t="s">
        <v>1201</v>
      </c>
      <c r="C335" s="201"/>
      <c r="D335" s="199"/>
      <c r="E335" s="199">
        <v>-3887</v>
      </c>
      <c r="F335" s="197"/>
      <c r="G335" s="175"/>
      <c r="H335" s="196">
        <f t="shared" si="128"/>
        <v>-3887</v>
      </c>
      <c r="I335" s="172"/>
      <c r="J335" s="171"/>
      <c r="K335" s="171"/>
      <c r="L335" s="196">
        <f t="shared" si="129"/>
        <v>0</v>
      </c>
      <c r="M335" s="195">
        <f t="shared" si="130"/>
        <v>-3887</v>
      </c>
      <c r="N335" s="169"/>
      <c r="O335" s="195">
        <f t="shared" si="131"/>
        <v>-3887</v>
      </c>
    </row>
    <row r="336" spans="1:16" s="168" customFormat="1" x14ac:dyDescent="0.25">
      <c r="A336" s="177"/>
      <c r="B336" s="165" t="s">
        <v>133</v>
      </c>
      <c r="C336" s="201"/>
      <c r="D336" s="199"/>
      <c r="E336" s="199"/>
      <c r="F336" s="197"/>
      <c r="G336" s="175"/>
      <c r="H336" s="196"/>
      <c r="I336" s="172"/>
      <c r="J336" s="171"/>
      <c r="K336" s="171"/>
      <c r="L336" s="196"/>
      <c r="M336" s="195"/>
      <c r="N336" s="169"/>
      <c r="O336" s="195"/>
    </row>
    <row r="337" spans="1:16" s="168" customFormat="1" ht="16.5" thickBot="1" x14ac:dyDescent="0.3">
      <c r="A337" s="177"/>
      <c r="B337" s="530" t="s">
        <v>1204</v>
      </c>
      <c r="C337" s="201">
        <v>1398</v>
      </c>
      <c r="D337" s="199">
        <v>454</v>
      </c>
      <c r="E337" s="199"/>
      <c r="F337" s="197"/>
      <c r="G337" s="175"/>
      <c r="H337" s="196">
        <f>SUM(C337:G337)</f>
        <v>1852</v>
      </c>
      <c r="I337" s="172"/>
      <c r="J337" s="171"/>
      <c r="K337" s="171"/>
      <c r="L337" s="196">
        <f>SUM(I337:K337)</f>
        <v>0</v>
      </c>
      <c r="M337" s="195">
        <f>SUM(H337+L337)</f>
        <v>1852</v>
      </c>
      <c r="N337" s="169"/>
      <c r="O337" s="195">
        <f>SUM(M337+N337)</f>
        <v>1852</v>
      </c>
    </row>
    <row r="338" spans="1:16" ht="17.25" thickTop="1" thickBot="1" x14ac:dyDescent="0.3">
      <c r="A338" s="157"/>
      <c r="B338" s="156" t="s">
        <v>381</v>
      </c>
      <c r="C338" s="155">
        <f>+C325+C329+C330+C337+C331+C332+C333+C334+C335</f>
        <v>138329</v>
      </c>
      <c r="D338" s="155">
        <f t="shared" ref="D338:O338" si="132">+D325+D329+D330+D337+D331+D332+D333+D334+D335</f>
        <v>25435</v>
      </c>
      <c r="E338" s="155">
        <f t="shared" si="132"/>
        <v>66685</v>
      </c>
      <c r="F338" s="155">
        <f t="shared" si="132"/>
        <v>0</v>
      </c>
      <c r="G338" s="155">
        <f t="shared" si="132"/>
        <v>0</v>
      </c>
      <c r="H338" s="155">
        <f t="shared" si="132"/>
        <v>230449</v>
      </c>
      <c r="I338" s="155">
        <f t="shared" si="132"/>
        <v>0</v>
      </c>
      <c r="J338" s="155">
        <f t="shared" si="132"/>
        <v>0</v>
      </c>
      <c r="K338" s="155">
        <f t="shared" si="132"/>
        <v>0</v>
      </c>
      <c r="L338" s="155">
        <f t="shared" si="132"/>
        <v>0</v>
      </c>
      <c r="M338" s="155">
        <f t="shared" si="132"/>
        <v>230449</v>
      </c>
      <c r="N338" s="155">
        <f t="shared" si="132"/>
        <v>0</v>
      </c>
      <c r="O338" s="155">
        <f t="shared" si="132"/>
        <v>230449</v>
      </c>
      <c r="P338" s="150"/>
    </row>
    <row r="339" spans="1:16" ht="17.25" thickTop="1" thickBot="1" x14ac:dyDescent="0.3">
      <c r="A339" s="157"/>
      <c r="B339" s="156" t="s">
        <v>380</v>
      </c>
      <c r="C339" s="155">
        <f>+C326+C329+C330+C331+C332+C333+C334+C335</f>
        <v>136931</v>
      </c>
      <c r="D339" s="155">
        <f t="shared" ref="D339:O339" si="133">+D326+D329+D330+D331+D332+D333+D334+D335</f>
        <v>24981</v>
      </c>
      <c r="E339" s="155">
        <f t="shared" si="133"/>
        <v>66685</v>
      </c>
      <c r="F339" s="155">
        <f t="shared" si="133"/>
        <v>0</v>
      </c>
      <c r="G339" s="155">
        <f t="shared" si="133"/>
        <v>0</v>
      </c>
      <c r="H339" s="155">
        <f t="shared" si="133"/>
        <v>228597</v>
      </c>
      <c r="I339" s="155">
        <f t="shared" si="133"/>
        <v>0</v>
      </c>
      <c r="J339" s="155">
        <f t="shared" si="133"/>
        <v>0</v>
      </c>
      <c r="K339" s="155">
        <f t="shared" si="133"/>
        <v>0</v>
      </c>
      <c r="L339" s="155">
        <f t="shared" si="133"/>
        <v>0</v>
      </c>
      <c r="M339" s="155">
        <f t="shared" si="133"/>
        <v>228597</v>
      </c>
      <c r="N339" s="155">
        <f t="shared" si="133"/>
        <v>0</v>
      </c>
      <c r="O339" s="155">
        <f t="shared" si="133"/>
        <v>228597</v>
      </c>
    </row>
    <row r="340" spans="1:16" ht="17.25" thickTop="1" thickBot="1" x14ac:dyDescent="0.3">
      <c r="A340" s="157"/>
      <c r="B340" s="156" t="s">
        <v>379</v>
      </c>
      <c r="C340" s="155">
        <f>+C327+C337</f>
        <v>1398</v>
      </c>
      <c r="D340" s="155">
        <f t="shared" ref="D340:O340" si="134">+D327+D337</f>
        <v>454</v>
      </c>
      <c r="E340" s="155">
        <f t="shared" si="134"/>
        <v>0</v>
      </c>
      <c r="F340" s="155">
        <f t="shared" si="134"/>
        <v>0</v>
      </c>
      <c r="G340" s="155">
        <f t="shared" si="134"/>
        <v>0</v>
      </c>
      <c r="H340" s="155">
        <f t="shared" si="134"/>
        <v>1852</v>
      </c>
      <c r="I340" s="155">
        <f t="shared" si="134"/>
        <v>0</v>
      </c>
      <c r="J340" s="155">
        <f t="shared" si="134"/>
        <v>0</v>
      </c>
      <c r="K340" s="155">
        <f t="shared" si="134"/>
        <v>0</v>
      </c>
      <c r="L340" s="155">
        <f t="shared" si="134"/>
        <v>0</v>
      </c>
      <c r="M340" s="155">
        <f t="shared" si="134"/>
        <v>1852</v>
      </c>
      <c r="N340" s="155">
        <f t="shared" si="134"/>
        <v>0</v>
      </c>
      <c r="O340" s="155">
        <f t="shared" si="134"/>
        <v>1852</v>
      </c>
    </row>
    <row r="341" spans="1:16" ht="16.5" thickTop="1" x14ac:dyDescent="0.25">
      <c r="A341" s="161" t="s">
        <v>10</v>
      </c>
      <c r="B341" s="539" t="s">
        <v>398</v>
      </c>
      <c r="C341" s="540"/>
      <c r="D341" s="541"/>
      <c r="E341" s="541"/>
      <c r="F341" s="542"/>
      <c r="G341" s="541"/>
      <c r="H341" s="543"/>
      <c r="I341" s="544"/>
      <c r="J341" s="542"/>
      <c r="K341" s="542"/>
      <c r="L341" s="543"/>
      <c r="M341" s="543"/>
      <c r="N341" s="543"/>
      <c r="O341" s="543"/>
    </row>
    <row r="342" spans="1:16" x14ac:dyDescent="0.25">
      <c r="A342" s="167"/>
      <c r="B342" s="523" t="s">
        <v>349</v>
      </c>
      <c r="C342" s="524">
        <f>SUM(C343:C344)</f>
        <v>152846</v>
      </c>
      <c r="D342" s="524">
        <f>SUM(D343:D344)</f>
        <v>29372</v>
      </c>
      <c r="E342" s="524">
        <f>SUM(E343:E344)</f>
        <v>64039</v>
      </c>
      <c r="F342" s="526"/>
      <c r="G342" s="525"/>
      <c r="H342" s="527">
        <f>SUM(C342:G342)</f>
        <v>246257</v>
      </c>
      <c r="I342" s="528"/>
      <c r="J342" s="526"/>
      <c r="K342" s="526"/>
      <c r="L342" s="527">
        <f>SUM(I342:K342)</f>
        <v>0</v>
      </c>
      <c r="M342" s="529">
        <f>SUM(H342+L342)</f>
        <v>246257</v>
      </c>
      <c r="N342" s="529"/>
      <c r="O342" s="529">
        <f>SUM(M342+N342)</f>
        <v>246257</v>
      </c>
    </row>
    <row r="343" spans="1:16" s="168" customFormat="1" x14ac:dyDescent="0.25">
      <c r="A343" s="177"/>
      <c r="B343" s="165" t="s">
        <v>383</v>
      </c>
      <c r="C343" s="185">
        <v>152846</v>
      </c>
      <c r="D343" s="175">
        <v>29372</v>
      </c>
      <c r="E343" s="175">
        <v>64039</v>
      </c>
      <c r="F343" s="171"/>
      <c r="G343" s="175"/>
      <c r="H343" s="170">
        <f>SUM(C343:G343)</f>
        <v>246257</v>
      </c>
      <c r="I343" s="172"/>
      <c r="J343" s="171"/>
      <c r="K343" s="171"/>
      <c r="L343" s="170">
        <f>SUM(I343:K343)</f>
        <v>0</v>
      </c>
      <c r="M343" s="169">
        <f>SUM(H343+L343)</f>
        <v>246257</v>
      </c>
      <c r="N343" s="169"/>
      <c r="O343" s="169">
        <f>SUM(M343+N343)</f>
        <v>246257</v>
      </c>
    </row>
    <row r="344" spans="1:16" s="168" customFormat="1" x14ac:dyDescent="0.25">
      <c r="A344" s="177"/>
      <c r="B344" s="165" t="s">
        <v>382</v>
      </c>
      <c r="C344" s="185"/>
      <c r="D344" s="175"/>
      <c r="E344" s="175"/>
      <c r="F344" s="171"/>
      <c r="G344" s="175"/>
      <c r="H344" s="170">
        <f>SUM(C344:G344)</f>
        <v>0</v>
      </c>
      <c r="I344" s="172"/>
      <c r="J344" s="171"/>
      <c r="K344" s="171"/>
      <c r="L344" s="170">
        <f>SUM(I344:K344)</f>
        <v>0</v>
      </c>
      <c r="M344" s="169">
        <f>SUM(H344+L344)</f>
        <v>0</v>
      </c>
      <c r="N344" s="169"/>
      <c r="O344" s="169">
        <f>SUM(M344+N344)</f>
        <v>0</v>
      </c>
    </row>
    <row r="345" spans="1:16" s="168" customFormat="1" x14ac:dyDescent="0.25">
      <c r="A345" s="177"/>
      <c r="B345" s="165" t="s">
        <v>132</v>
      </c>
      <c r="C345" s="185"/>
      <c r="D345" s="175"/>
      <c r="E345" s="175"/>
      <c r="F345" s="171"/>
      <c r="G345" s="175"/>
      <c r="H345" s="170"/>
      <c r="I345" s="172"/>
      <c r="J345" s="171"/>
      <c r="K345" s="171"/>
      <c r="L345" s="170"/>
      <c r="M345" s="169"/>
      <c r="N345" s="169"/>
      <c r="O345" s="169"/>
    </row>
    <row r="346" spans="1:16" s="168" customFormat="1" ht="31.5" customHeight="1" x14ac:dyDescent="0.25">
      <c r="A346" s="177"/>
      <c r="B346" s="530" t="s">
        <v>1196</v>
      </c>
      <c r="C346" s="201">
        <v>11151</v>
      </c>
      <c r="D346" s="199">
        <v>2020</v>
      </c>
      <c r="E346" s="199"/>
      <c r="F346" s="200"/>
      <c r="G346" s="175"/>
      <c r="H346" s="196">
        <f t="shared" ref="H346:H352" si="135">SUM(C346:G346)</f>
        <v>13171</v>
      </c>
      <c r="I346" s="172"/>
      <c r="J346" s="171"/>
      <c r="K346" s="171"/>
      <c r="L346" s="196">
        <f t="shared" ref="L346:L352" si="136">SUM(I346:K346)</f>
        <v>0</v>
      </c>
      <c r="M346" s="195">
        <f t="shared" ref="M346:M352" si="137">SUM(H346+L346)</f>
        <v>13171</v>
      </c>
      <c r="N346" s="169"/>
      <c r="O346" s="195">
        <f t="shared" ref="O346:O352" si="138">SUM(M346+N346)</f>
        <v>13171</v>
      </c>
    </row>
    <row r="347" spans="1:16" s="168" customFormat="1" ht="31.5" x14ac:dyDescent="0.25">
      <c r="A347" s="177"/>
      <c r="B347" s="530" t="s">
        <v>1252</v>
      </c>
      <c r="C347" s="201">
        <v>40</v>
      </c>
      <c r="D347" s="199">
        <v>7</v>
      </c>
      <c r="E347" s="199"/>
      <c r="F347" s="200"/>
      <c r="G347" s="175"/>
      <c r="H347" s="196">
        <f t="shared" si="135"/>
        <v>47</v>
      </c>
      <c r="I347" s="172"/>
      <c r="J347" s="171"/>
      <c r="K347" s="171"/>
      <c r="L347" s="196">
        <f t="shared" si="136"/>
        <v>0</v>
      </c>
      <c r="M347" s="195">
        <f t="shared" si="137"/>
        <v>47</v>
      </c>
      <c r="N347" s="169"/>
      <c r="O347" s="195">
        <f t="shared" si="138"/>
        <v>47</v>
      </c>
    </row>
    <row r="348" spans="1:16" s="168" customFormat="1" ht="31.5" x14ac:dyDescent="0.25">
      <c r="A348" s="177"/>
      <c r="B348" s="530" t="s">
        <v>1198</v>
      </c>
      <c r="C348" s="201"/>
      <c r="D348" s="199">
        <v>-1499</v>
      </c>
      <c r="E348" s="199"/>
      <c r="F348" s="200"/>
      <c r="G348" s="175"/>
      <c r="H348" s="196">
        <f t="shared" si="135"/>
        <v>-1499</v>
      </c>
      <c r="I348" s="172"/>
      <c r="J348" s="171"/>
      <c r="K348" s="171"/>
      <c r="L348" s="196">
        <f t="shared" si="136"/>
        <v>0</v>
      </c>
      <c r="M348" s="195">
        <f t="shared" si="137"/>
        <v>-1499</v>
      </c>
      <c r="N348" s="169"/>
      <c r="O348" s="195">
        <f t="shared" si="138"/>
        <v>-1499</v>
      </c>
    </row>
    <row r="349" spans="1:16" s="168" customFormat="1" x14ac:dyDescent="0.25">
      <c r="A349" s="177"/>
      <c r="B349" s="530" t="s">
        <v>1199</v>
      </c>
      <c r="C349" s="201">
        <v>-471</v>
      </c>
      <c r="D349" s="199">
        <v>-82</v>
      </c>
      <c r="E349" s="199"/>
      <c r="F349" s="200"/>
      <c r="G349" s="175"/>
      <c r="H349" s="196">
        <f t="shared" si="135"/>
        <v>-553</v>
      </c>
      <c r="I349" s="172"/>
      <c r="J349" s="171"/>
      <c r="K349" s="171"/>
      <c r="L349" s="196">
        <f t="shared" si="136"/>
        <v>0</v>
      </c>
      <c r="M349" s="195">
        <f t="shared" si="137"/>
        <v>-553</v>
      </c>
      <c r="N349" s="169"/>
      <c r="O349" s="195">
        <f t="shared" si="138"/>
        <v>-553</v>
      </c>
    </row>
    <row r="350" spans="1:16" s="168" customFormat="1" ht="31.5" x14ac:dyDescent="0.25">
      <c r="A350" s="177"/>
      <c r="B350" s="530" t="s">
        <v>1254</v>
      </c>
      <c r="C350" s="201"/>
      <c r="D350" s="199"/>
      <c r="E350" s="199">
        <v>29</v>
      </c>
      <c r="F350" s="200"/>
      <c r="G350" s="175"/>
      <c r="H350" s="196">
        <f t="shared" si="135"/>
        <v>29</v>
      </c>
      <c r="I350" s="172"/>
      <c r="J350" s="171"/>
      <c r="K350" s="171"/>
      <c r="L350" s="196">
        <f t="shared" si="136"/>
        <v>0</v>
      </c>
      <c r="M350" s="195">
        <f t="shared" si="137"/>
        <v>29</v>
      </c>
      <c r="N350" s="169"/>
      <c r="O350" s="195">
        <f t="shared" si="138"/>
        <v>29</v>
      </c>
    </row>
    <row r="351" spans="1:16" s="168" customFormat="1" ht="47.25" x14ac:dyDescent="0.25">
      <c r="A351" s="186"/>
      <c r="B351" s="523" t="s">
        <v>1200</v>
      </c>
      <c r="C351" s="201">
        <v>2503</v>
      </c>
      <c r="D351" s="199">
        <v>438</v>
      </c>
      <c r="E351" s="199"/>
      <c r="F351" s="200"/>
      <c r="G351" s="175"/>
      <c r="H351" s="196">
        <f t="shared" si="135"/>
        <v>2941</v>
      </c>
      <c r="I351" s="172"/>
      <c r="J351" s="171"/>
      <c r="K351" s="171"/>
      <c r="L351" s="196">
        <f t="shared" si="136"/>
        <v>0</v>
      </c>
      <c r="M351" s="196">
        <f t="shared" si="137"/>
        <v>2941</v>
      </c>
      <c r="N351" s="170"/>
      <c r="O351" s="196">
        <f t="shared" si="138"/>
        <v>2941</v>
      </c>
    </row>
    <row r="352" spans="1:16" s="168" customFormat="1" x14ac:dyDescent="0.25">
      <c r="A352" s="186"/>
      <c r="B352" s="523" t="s">
        <v>1201</v>
      </c>
      <c r="C352" s="201"/>
      <c r="D352" s="199"/>
      <c r="E352" s="199">
        <v>-4500</v>
      </c>
      <c r="F352" s="200"/>
      <c r="G352" s="175"/>
      <c r="H352" s="196">
        <f t="shared" si="135"/>
        <v>-4500</v>
      </c>
      <c r="I352" s="172"/>
      <c r="J352" s="171"/>
      <c r="K352" s="171"/>
      <c r="L352" s="196">
        <f t="shared" si="136"/>
        <v>0</v>
      </c>
      <c r="M352" s="196">
        <f t="shared" si="137"/>
        <v>-4500</v>
      </c>
      <c r="N352" s="170"/>
      <c r="O352" s="196">
        <f t="shared" si="138"/>
        <v>-4500</v>
      </c>
    </row>
    <row r="353" spans="1:16" s="168" customFormat="1" x14ac:dyDescent="0.25">
      <c r="A353" s="177"/>
      <c r="B353" s="165" t="s">
        <v>133</v>
      </c>
      <c r="C353" s="201"/>
      <c r="D353" s="199"/>
      <c r="E353" s="199"/>
      <c r="F353" s="200"/>
      <c r="G353" s="175"/>
      <c r="H353" s="196"/>
      <c r="I353" s="172"/>
      <c r="J353" s="171"/>
      <c r="K353" s="171"/>
      <c r="L353" s="196"/>
      <c r="M353" s="195"/>
      <c r="N353" s="169"/>
      <c r="O353" s="195"/>
    </row>
    <row r="354" spans="1:16" s="168" customFormat="1" ht="16.5" thickBot="1" x14ac:dyDescent="0.3">
      <c r="A354" s="177"/>
      <c r="B354" s="530" t="s">
        <v>1204</v>
      </c>
      <c r="C354" s="201">
        <v>1480</v>
      </c>
      <c r="D354" s="199">
        <v>481</v>
      </c>
      <c r="E354" s="199"/>
      <c r="F354" s="200"/>
      <c r="G354" s="175"/>
      <c r="H354" s="196">
        <f>SUM(C354:G354)</f>
        <v>1961</v>
      </c>
      <c r="I354" s="172"/>
      <c r="J354" s="171"/>
      <c r="K354" s="171"/>
      <c r="L354" s="196">
        <f>SUM(I354:K354)</f>
        <v>0</v>
      </c>
      <c r="M354" s="195">
        <f>SUM(H354+L354)</f>
        <v>1961</v>
      </c>
      <c r="N354" s="169"/>
      <c r="O354" s="195">
        <f>SUM(M354+N354)</f>
        <v>1961</v>
      </c>
    </row>
    <row r="355" spans="1:16" ht="17.25" thickTop="1" thickBot="1" x14ac:dyDescent="0.3">
      <c r="A355" s="157"/>
      <c r="B355" s="156" t="s">
        <v>381</v>
      </c>
      <c r="C355" s="155">
        <f>+C342+C346+C347+C354+C348+C349+C350+C351+C352</f>
        <v>167549</v>
      </c>
      <c r="D355" s="155">
        <f t="shared" ref="D355:O355" si="139">+D342+D346+D347+D354+D348+D349+D350+D351+D352</f>
        <v>30737</v>
      </c>
      <c r="E355" s="155">
        <f t="shared" si="139"/>
        <v>59568</v>
      </c>
      <c r="F355" s="155">
        <f t="shared" si="139"/>
        <v>0</v>
      </c>
      <c r="G355" s="155">
        <f t="shared" si="139"/>
        <v>0</v>
      </c>
      <c r="H355" s="155">
        <f t="shared" si="139"/>
        <v>257854</v>
      </c>
      <c r="I355" s="155">
        <f t="shared" si="139"/>
        <v>0</v>
      </c>
      <c r="J355" s="155">
        <f t="shared" si="139"/>
        <v>0</v>
      </c>
      <c r="K355" s="155">
        <f t="shared" si="139"/>
        <v>0</v>
      </c>
      <c r="L355" s="155">
        <f t="shared" si="139"/>
        <v>0</v>
      </c>
      <c r="M355" s="155">
        <f t="shared" si="139"/>
        <v>257854</v>
      </c>
      <c r="N355" s="155">
        <f t="shared" si="139"/>
        <v>0</v>
      </c>
      <c r="O355" s="155">
        <f t="shared" si="139"/>
        <v>257854</v>
      </c>
      <c r="P355" s="150"/>
    </row>
    <row r="356" spans="1:16" ht="17.25" thickTop="1" thickBot="1" x14ac:dyDescent="0.3">
      <c r="A356" s="157"/>
      <c r="B356" s="156" t="s">
        <v>380</v>
      </c>
      <c r="C356" s="155">
        <f>+C343+C346+C347+C348+C349+C350+C351+C352</f>
        <v>166069</v>
      </c>
      <c r="D356" s="155">
        <f t="shared" ref="D356:O356" si="140">+D343+D346+D347+D348+D349+D350+D351+D352</f>
        <v>30256</v>
      </c>
      <c r="E356" s="155">
        <f t="shared" si="140"/>
        <v>59568</v>
      </c>
      <c r="F356" s="155">
        <f t="shared" si="140"/>
        <v>0</v>
      </c>
      <c r="G356" s="155">
        <f t="shared" si="140"/>
        <v>0</v>
      </c>
      <c r="H356" s="155">
        <f t="shared" si="140"/>
        <v>255893</v>
      </c>
      <c r="I356" s="155">
        <f t="shared" si="140"/>
        <v>0</v>
      </c>
      <c r="J356" s="155">
        <f t="shared" si="140"/>
        <v>0</v>
      </c>
      <c r="K356" s="155">
        <f t="shared" si="140"/>
        <v>0</v>
      </c>
      <c r="L356" s="155">
        <f t="shared" si="140"/>
        <v>0</v>
      </c>
      <c r="M356" s="155">
        <f t="shared" si="140"/>
        <v>255893</v>
      </c>
      <c r="N356" s="155">
        <f t="shared" si="140"/>
        <v>0</v>
      </c>
      <c r="O356" s="155">
        <f t="shared" si="140"/>
        <v>255893</v>
      </c>
    </row>
    <row r="357" spans="1:16" ht="17.25" thickTop="1" thickBot="1" x14ac:dyDescent="0.3">
      <c r="A357" s="157"/>
      <c r="B357" s="156" t="s">
        <v>379</v>
      </c>
      <c r="C357" s="155">
        <f>+C344+C354</f>
        <v>1480</v>
      </c>
      <c r="D357" s="155">
        <f t="shared" ref="D357:O357" si="141">+D344+D354</f>
        <v>481</v>
      </c>
      <c r="E357" s="155">
        <f t="shared" si="141"/>
        <v>0</v>
      </c>
      <c r="F357" s="155">
        <f t="shared" si="141"/>
        <v>0</v>
      </c>
      <c r="G357" s="155">
        <f t="shared" si="141"/>
        <v>0</v>
      </c>
      <c r="H357" s="155">
        <f t="shared" si="141"/>
        <v>1961</v>
      </c>
      <c r="I357" s="155">
        <f t="shared" si="141"/>
        <v>0</v>
      </c>
      <c r="J357" s="155">
        <f t="shared" si="141"/>
        <v>0</v>
      </c>
      <c r="K357" s="155">
        <f t="shared" si="141"/>
        <v>0</v>
      </c>
      <c r="L357" s="155">
        <f t="shared" si="141"/>
        <v>0</v>
      </c>
      <c r="M357" s="155">
        <f t="shared" si="141"/>
        <v>1961</v>
      </c>
      <c r="N357" s="155">
        <f t="shared" si="141"/>
        <v>0</v>
      </c>
      <c r="O357" s="155">
        <f t="shared" si="141"/>
        <v>1961</v>
      </c>
    </row>
    <row r="358" spans="1:16" ht="17.25" thickTop="1" thickBot="1" x14ac:dyDescent="0.3">
      <c r="A358" s="157"/>
      <c r="B358" s="156" t="s">
        <v>397</v>
      </c>
      <c r="C358" s="155">
        <f t="shared" ref="C358:O358" si="142">SUM(C166+C184+C201+C218+C235+C250+C268+C286+C303+C321+C338+C355)</f>
        <v>1900911</v>
      </c>
      <c r="D358" s="155">
        <f t="shared" si="142"/>
        <v>349581</v>
      </c>
      <c r="E358" s="155">
        <f t="shared" si="142"/>
        <v>688359</v>
      </c>
      <c r="F358" s="155">
        <f t="shared" si="142"/>
        <v>0</v>
      </c>
      <c r="G358" s="155">
        <f t="shared" si="142"/>
        <v>0</v>
      </c>
      <c r="H358" s="155">
        <f t="shared" si="142"/>
        <v>2938851</v>
      </c>
      <c r="I358" s="155">
        <f t="shared" si="142"/>
        <v>70</v>
      </c>
      <c r="J358" s="155">
        <f t="shared" si="142"/>
        <v>0</v>
      </c>
      <c r="K358" s="155">
        <f t="shared" si="142"/>
        <v>0</v>
      </c>
      <c r="L358" s="155">
        <f t="shared" si="142"/>
        <v>70</v>
      </c>
      <c r="M358" s="155">
        <f t="shared" si="142"/>
        <v>2938921</v>
      </c>
      <c r="N358" s="155">
        <f t="shared" si="142"/>
        <v>0</v>
      </c>
      <c r="O358" s="155">
        <f t="shared" si="142"/>
        <v>2938921</v>
      </c>
    </row>
    <row r="359" spans="1:16" ht="17.25" thickTop="1" thickBot="1" x14ac:dyDescent="0.3">
      <c r="A359" s="157"/>
      <c r="B359" s="156" t="s">
        <v>396</v>
      </c>
      <c r="C359" s="155">
        <f t="shared" ref="C359:O359" si="143">SUM(C44+C149+C358)</f>
        <v>3137812</v>
      </c>
      <c r="D359" s="155">
        <f t="shared" si="143"/>
        <v>564943</v>
      </c>
      <c r="E359" s="155">
        <f t="shared" si="143"/>
        <v>1202948</v>
      </c>
      <c r="F359" s="155">
        <f t="shared" si="143"/>
        <v>0</v>
      </c>
      <c r="G359" s="155">
        <f t="shared" si="143"/>
        <v>0</v>
      </c>
      <c r="H359" s="155">
        <f t="shared" si="143"/>
        <v>4905703</v>
      </c>
      <c r="I359" s="155">
        <f t="shared" si="143"/>
        <v>7885</v>
      </c>
      <c r="J359" s="155">
        <f t="shared" si="143"/>
        <v>0</v>
      </c>
      <c r="K359" s="155">
        <f t="shared" si="143"/>
        <v>0</v>
      </c>
      <c r="L359" s="155">
        <f t="shared" si="143"/>
        <v>7885</v>
      </c>
      <c r="M359" s="155">
        <f t="shared" si="143"/>
        <v>4913588</v>
      </c>
      <c r="N359" s="155">
        <f t="shared" si="143"/>
        <v>0</v>
      </c>
      <c r="O359" s="155">
        <f t="shared" si="143"/>
        <v>4913588</v>
      </c>
    </row>
    <row r="360" spans="1:16" ht="16.5" thickTop="1" x14ac:dyDescent="0.25">
      <c r="A360" s="164" t="s">
        <v>11</v>
      </c>
      <c r="B360" s="523" t="s">
        <v>769</v>
      </c>
      <c r="C360" s="524"/>
      <c r="D360" s="525"/>
      <c r="E360" s="525"/>
      <c r="F360" s="532"/>
      <c r="G360" s="525"/>
      <c r="H360" s="527"/>
      <c r="I360" s="528"/>
      <c r="J360" s="526"/>
      <c r="K360" s="526"/>
      <c r="L360" s="527"/>
      <c r="M360" s="527"/>
      <c r="N360" s="527"/>
      <c r="O360" s="527"/>
    </row>
    <row r="361" spans="1:16" x14ac:dyDescent="0.25">
      <c r="A361" s="164"/>
      <c r="B361" s="530" t="s">
        <v>349</v>
      </c>
      <c r="C361" s="524">
        <f>SUM(C362:C363)</f>
        <v>658479</v>
      </c>
      <c r="D361" s="524">
        <f>SUM(D362:D363)</f>
        <v>126880</v>
      </c>
      <c r="E361" s="524">
        <f>SUM(E362:E363)</f>
        <v>475345</v>
      </c>
      <c r="F361" s="532"/>
      <c r="G361" s="525"/>
      <c r="H361" s="527">
        <f>SUM(C361:G361)</f>
        <v>1260704</v>
      </c>
      <c r="I361" s="528"/>
      <c r="J361" s="526"/>
      <c r="K361" s="526"/>
      <c r="L361" s="527">
        <f>SUM(I361:K361)</f>
        <v>0</v>
      </c>
      <c r="M361" s="529">
        <f>SUM(H361+L361)</f>
        <v>1260704</v>
      </c>
      <c r="N361" s="529"/>
      <c r="O361" s="529">
        <f>SUM(M361+N361)</f>
        <v>1260704</v>
      </c>
    </row>
    <row r="362" spans="1:16" s="168" customFormat="1" x14ac:dyDescent="0.25">
      <c r="A362" s="177"/>
      <c r="B362" s="165" t="s">
        <v>383</v>
      </c>
      <c r="C362" s="185">
        <v>658479</v>
      </c>
      <c r="D362" s="175">
        <v>126880</v>
      </c>
      <c r="E362" s="175">
        <v>475345</v>
      </c>
      <c r="F362" s="179"/>
      <c r="G362" s="175"/>
      <c r="H362" s="170">
        <f>SUM(C362:G362)</f>
        <v>1260704</v>
      </c>
      <c r="I362" s="172"/>
      <c r="J362" s="171"/>
      <c r="K362" s="171"/>
      <c r="L362" s="170">
        <f>SUM(I362:K362)</f>
        <v>0</v>
      </c>
      <c r="M362" s="169">
        <f>SUM(H362+L362)</f>
        <v>1260704</v>
      </c>
      <c r="N362" s="169"/>
      <c r="O362" s="169">
        <f>SUM(M362+N362)</f>
        <v>1260704</v>
      </c>
    </row>
    <row r="363" spans="1:16" s="168" customFormat="1" x14ac:dyDescent="0.25">
      <c r="A363" s="177"/>
      <c r="B363" s="165" t="s">
        <v>382</v>
      </c>
      <c r="C363" s="185"/>
      <c r="D363" s="175"/>
      <c r="E363" s="175"/>
      <c r="F363" s="179"/>
      <c r="G363" s="175"/>
      <c r="H363" s="170">
        <f>SUM(C363:G363)</f>
        <v>0</v>
      </c>
      <c r="I363" s="172"/>
      <c r="J363" s="171"/>
      <c r="K363" s="171"/>
      <c r="L363" s="170">
        <f>SUM(I363:K363)</f>
        <v>0</v>
      </c>
      <c r="M363" s="169">
        <f>SUM(H363+L363)</f>
        <v>0</v>
      </c>
      <c r="N363" s="169"/>
      <c r="O363" s="169">
        <f>SUM(M363+N363)</f>
        <v>0</v>
      </c>
    </row>
    <row r="364" spans="1:16" s="168" customFormat="1" x14ac:dyDescent="0.25">
      <c r="A364" s="177"/>
      <c r="B364" s="165" t="s">
        <v>132</v>
      </c>
      <c r="C364" s="185"/>
      <c r="D364" s="175"/>
      <c r="E364" s="175"/>
      <c r="F364" s="179"/>
      <c r="G364" s="175"/>
      <c r="H364" s="170"/>
      <c r="I364" s="172"/>
      <c r="J364" s="171"/>
      <c r="K364" s="171"/>
      <c r="L364" s="170"/>
      <c r="M364" s="169"/>
      <c r="N364" s="169"/>
      <c r="O364" s="169"/>
    </row>
    <row r="365" spans="1:16" s="168" customFormat="1" ht="32.25" customHeight="1" x14ac:dyDescent="0.25">
      <c r="A365" s="177"/>
      <c r="B365" s="530" t="s">
        <v>1196</v>
      </c>
      <c r="C365" s="201">
        <v>57030</v>
      </c>
      <c r="D365" s="199">
        <v>10536</v>
      </c>
      <c r="E365" s="199">
        <v>49098</v>
      </c>
      <c r="F365" s="197"/>
      <c r="G365" s="175"/>
      <c r="H365" s="196">
        <f t="shared" ref="H365:H374" si="144">SUM(C365:G365)</f>
        <v>116664</v>
      </c>
      <c r="I365" s="172"/>
      <c r="J365" s="171"/>
      <c r="K365" s="171"/>
      <c r="L365" s="196">
        <f t="shared" ref="L365:L374" si="145">SUM(I365:K365)</f>
        <v>0</v>
      </c>
      <c r="M365" s="195">
        <f t="shared" ref="M365:M374" si="146">SUM(H365+L365)</f>
        <v>116664</v>
      </c>
      <c r="N365" s="169"/>
      <c r="O365" s="195">
        <f t="shared" ref="O365:O374" si="147">SUM(M365+N365)</f>
        <v>116664</v>
      </c>
    </row>
    <row r="366" spans="1:16" s="168" customFormat="1" ht="31.5" x14ac:dyDescent="0.25">
      <c r="A366" s="177"/>
      <c r="B366" s="530" t="s">
        <v>1252</v>
      </c>
      <c r="C366" s="201">
        <v>234</v>
      </c>
      <c r="D366" s="199">
        <v>41</v>
      </c>
      <c r="E366" s="199"/>
      <c r="F366" s="197"/>
      <c r="G366" s="175"/>
      <c r="H366" s="196">
        <f t="shared" si="144"/>
        <v>275</v>
      </c>
      <c r="I366" s="172"/>
      <c r="J366" s="171"/>
      <c r="K366" s="171"/>
      <c r="L366" s="196">
        <f t="shared" si="145"/>
        <v>0</v>
      </c>
      <c r="M366" s="195">
        <f t="shared" si="146"/>
        <v>275</v>
      </c>
      <c r="N366" s="169"/>
      <c r="O366" s="195">
        <f t="shared" si="147"/>
        <v>275</v>
      </c>
    </row>
    <row r="367" spans="1:16" s="168" customFormat="1" ht="31.5" x14ac:dyDescent="0.25">
      <c r="A367" s="177"/>
      <c r="B367" s="530" t="s">
        <v>1253</v>
      </c>
      <c r="C367" s="201">
        <v>27874</v>
      </c>
      <c r="D367" s="199">
        <v>4878</v>
      </c>
      <c r="E367" s="199"/>
      <c r="F367" s="197"/>
      <c r="G367" s="175"/>
      <c r="H367" s="196">
        <f t="shared" si="144"/>
        <v>32752</v>
      </c>
      <c r="I367" s="172"/>
      <c r="J367" s="171"/>
      <c r="K367" s="171"/>
      <c r="L367" s="196">
        <f t="shared" si="145"/>
        <v>0</v>
      </c>
      <c r="M367" s="195">
        <f t="shared" si="146"/>
        <v>32752</v>
      </c>
      <c r="N367" s="169"/>
      <c r="O367" s="195">
        <f t="shared" si="147"/>
        <v>32752</v>
      </c>
    </row>
    <row r="368" spans="1:16" s="168" customFormat="1" ht="31.5" x14ac:dyDescent="0.25">
      <c r="A368" s="177"/>
      <c r="B368" s="530" t="s">
        <v>1257</v>
      </c>
      <c r="C368" s="201">
        <v>3015</v>
      </c>
      <c r="D368" s="199">
        <v>527</v>
      </c>
      <c r="E368" s="199"/>
      <c r="F368" s="197"/>
      <c r="G368" s="175"/>
      <c r="H368" s="196">
        <f t="shared" si="144"/>
        <v>3542</v>
      </c>
      <c r="I368" s="218"/>
      <c r="J368" s="171"/>
      <c r="K368" s="171"/>
      <c r="L368" s="196">
        <f t="shared" si="145"/>
        <v>0</v>
      </c>
      <c r="M368" s="195">
        <f t="shared" si="146"/>
        <v>3542</v>
      </c>
      <c r="N368" s="169"/>
      <c r="O368" s="195">
        <f t="shared" si="147"/>
        <v>3542</v>
      </c>
    </row>
    <row r="369" spans="1:16" s="168" customFormat="1" ht="31.5" x14ac:dyDescent="0.25">
      <c r="A369" s="177"/>
      <c r="B369" s="530" t="s">
        <v>1198</v>
      </c>
      <c r="C369" s="201"/>
      <c r="D369" s="199">
        <v>-5742</v>
      </c>
      <c r="E369" s="199"/>
      <c r="F369" s="197"/>
      <c r="G369" s="175"/>
      <c r="H369" s="196">
        <f t="shared" si="144"/>
        <v>-5742</v>
      </c>
      <c r="I369" s="218"/>
      <c r="J369" s="171"/>
      <c r="K369" s="171"/>
      <c r="L369" s="196">
        <f t="shared" si="145"/>
        <v>0</v>
      </c>
      <c r="M369" s="195">
        <f t="shared" si="146"/>
        <v>-5742</v>
      </c>
      <c r="N369" s="169"/>
      <c r="O369" s="195">
        <f t="shared" si="147"/>
        <v>-5742</v>
      </c>
    </row>
    <row r="370" spans="1:16" s="168" customFormat="1" x14ac:dyDescent="0.25">
      <c r="A370" s="177"/>
      <c r="B370" s="530" t="s">
        <v>1199</v>
      </c>
      <c r="C370" s="201">
        <v>-5349</v>
      </c>
      <c r="D370" s="199">
        <v>-936</v>
      </c>
      <c r="E370" s="199"/>
      <c r="F370" s="197"/>
      <c r="G370" s="175"/>
      <c r="H370" s="196">
        <f t="shared" si="144"/>
        <v>-6285</v>
      </c>
      <c r="I370" s="218"/>
      <c r="J370" s="171"/>
      <c r="K370" s="171"/>
      <c r="L370" s="196">
        <f t="shared" si="145"/>
        <v>0</v>
      </c>
      <c r="M370" s="195">
        <f t="shared" si="146"/>
        <v>-6285</v>
      </c>
      <c r="N370" s="169"/>
      <c r="O370" s="195">
        <f t="shared" si="147"/>
        <v>-6285</v>
      </c>
    </row>
    <row r="371" spans="1:16" s="168" customFormat="1" x14ac:dyDescent="0.25">
      <c r="A371" s="177"/>
      <c r="B371" s="530" t="s">
        <v>1201</v>
      </c>
      <c r="C371" s="201"/>
      <c r="D371" s="199"/>
      <c r="E371" s="199">
        <v>-16476</v>
      </c>
      <c r="F371" s="197"/>
      <c r="G371" s="175"/>
      <c r="H371" s="196">
        <f t="shared" si="144"/>
        <v>-16476</v>
      </c>
      <c r="I371" s="218"/>
      <c r="J371" s="171"/>
      <c r="K371" s="171"/>
      <c r="L371" s="196">
        <f t="shared" si="145"/>
        <v>0</v>
      </c>
      <c r="M371" s="195">
        <f t="shared" si="146"/>
        <v>-16476</v>
      </c>
      <c r="N371" s="169"/>
      <c r="O371" s="195">
        <f t="shared" si="147"/>
        <v>-16476</v>
      </c>
    </row>
    <row r="372" spans="1:16" s="168" customFormat="1" x14ac:dyDescent="0.25">
      <c r="A372" s="177"/>
      <c r="B372" s="530" t="s">
        <v>1214</v>
      </c>
      <c r="C372" s="201">
        <v>2415</v>
      </c>
      <c r="D372" s="199">
        <v>374</v>
      </c>
      <c r="E372" s="199"/>
      <c r="F372" s="197"/>
      <c r="G372" s="175"/>
      <c r="H372" s="196">
        <f t="shared" si="144"/>
        <v>2789</v>
      </c>
      <c r="I372" s="218"/>
      <c r="J372" s="171"/>
      <c r="K372" s="171"/>
      <c r="L372" s="196">
        <f t="shared" si="145"/>
        <v>0</v>
      </c>
      <c r="M372" s="195">
        <f t="shared" si="146"/>
        <v>2789</v>
      </c>
      <c r="N372" s="169"/>
      <c r="O372" s="195">
        <f t="shared" si="147"/>
        <v>2789</v>
      </c>
    </row>
    <row r="373" spans="1:16" s="168" customFormat="1" ht="31.5" x14ac:dyDescent="0.25">
      <c r="A373" s="177"/>
      <c r="B373" s="530" t="s">
        <v>1202</v>
      </c>
      <c r="C373" s="201">
        <v>11838</v>
      </c>
      <c r="D373" s="199">
        <v>2072</v>
      </c>
      <c r="E373" s="199"/>
      <c r="F373" s="197"/>
      <c r="G373" s="175"/>
      <c r="H373" s="196">
        <f t="shared" si="144"/>
        <v>13910</v>
      </c>
      <c r="I373" s="218"/>
      <c r="J373" s="171"/>
      <c r="K373" s="171"/>
      <c r="L373" s="196">
        <f t="shared" si="145"/>
        <v>0</v>
      </c>
      <c r="M373" s="195">
        <f t="shared" si="146"/>
        <v>13910</v>
      </c>
      <c r="N373" s="169"/>
      <c r="O373" s="195">
        <f t="shared" si="147"/>
        <v>13910</v>
      </c>
    </row>
    <row r="374" spans="1:16" s="168" customFormat="1" ht="115.5" customHeight="1" x14ac:dyDescent="0.25">
      <c r="A374" s="177"/>
      <c r="B374" s="530" t="s">
        <v>1258</v>
      </c>
      <c r="C374" s="201"/>
      <c r="D374" s="199"/>
      <c r="E374" s="199">
        <v>-30000</v>
      </c>
      <c r="F374" s="197"/>
      <c r="G374" s="175"/>
      <c r="H374" s="196">
        <f t="shared" si="144"/>
        <v>-30000</v>
      </c>
      <c r="I374" s="218"/>
      <c r="J374" s="171"/>
      <c r="K374" s="171"/>
      <c r="L374" s="196">
        <f t="shared" si="145"/>
        <v>0</v>
      </c>
      <c r="M374" s="195">
        <f t="shared" si="146"/>
        <v>-30000</v>
      </c>
      <c r="N374" s="169"/>
      <c r="O374" s="195">
        <f t="shared" si="147"/>
        <v>-30000</v>
      </c>
    </row>
    <row r="375" spans="1:16" s="168" customFormat="1" x14ac:dyDescent="0.25">
      <c r="A375" s="177"/>
      <c r="B375" s="165" t="s">
        <v>133</v>
      </c>
      <c r="C375" s="201"/>
      <c r="D375" s="199"/>
      <c r="E375" s="199"/>
      <c r="F375" s="197"/>
      <c r="G375" s="175"/>
      <c r="H375" s="196"/>
      <c r="I375" s="172"/>
      <c r="J375" s="171"/>
      <c r="K375" s="171"/>
      <c r="L375" s="196"/>
      <c r="M375" s="195"/>
      <c r="N375" s="169"/>
      <c r="O375" s="195"/>
    </row>
    <row r="376" spans="1:16" s="168" customFormat="1" ht="16.5" thickBot="1" x14ac:dyDescent="0.3">
      <c r="A376" s="177"/>
      <c r="B376" s="530" t="s">
        <v>1204</v>
      </c>
      <c r="C376" s="201">
        <v>7573</v>
      </c>
      <c r="D376" s="199">
        <v>2461</v>
      </c>
      <c r="E376" s="199"/>
      <c r="F376" s="197"/>
      <c r="G376" s="175"/>
      <c r="H376" s="196">
        <f>SUM(C376:G376)</f>
        <v>10034</v>
      </c>
      <c r="I376" s="218"/>
      <c r="J376" s="171"/>
      <c r="K376" s="171"/>
      <c r="L376" s="196">
        <f>SUM(I376:K376)</f>
        <v>0</v>
      </c>
      <c r="M376" s="195">
        <f>SUM(H376+L376)</f>
        <v>10034</v>
      </c>
      <c r="N376" s="169"/>
      <c r="O376" s="195">
        <f>SUM(M376+N376)</f>
        <v>10034</v>
      </c>
    </row>
    <row r="377" spans="1:16" ht="17.25" thickTop="1" thickBot="1" x14ac:dyDescent="0.3">
      <c r="A377" s="157"/>
      <c r="B377" s="156" t="s">
        <v>381</v>
      </c>
      <c r="C377" s="155">
        <f>+C361+C365+C366+C376+C367+C368+C369+C370+C371+C372+C373+C374</f>
        <v>763109</v>
      </c>
      <c r="D377" s="155">
        <f t="shared" ref="D377:O377" si="148">+D361+D365+D366+D376+D367+D368+D369+D370+D371+D372+D373+D374</f>
        <v>141091</v>
      </c>
      <c r="E377" s="155">
        <f t="shared" si="148"/>
        <v>477967</v>
      </c>
      <c r="F377" s="155">
        <f t="shared" si="148"/>
        <v>0</v>
      </c>
      <c r="G377" s="155">
        <f t="shared" si="148"/>
        <v>0</v>
      </c>
      <c r="H377" s="155">
        <f t="shared" si="148"/>
        <v>1382167</v>
      </c>
      <c r="I377" s="155">
        <f t="shared" si="148"/>
        <v>0</v>
      </c>
      <c r="J377" s="155">
        <f t="shared" si="148"/>
        <v>0</v>
      </c>
      <c r="K377" s="155">
        <f t="shared" si="148"/>
        <v>0</v>
      </c>
      <c r="L377" s="155">
        <f t="shared" si="148"/>
        <v>0</v>
      </c>
      <c r="M377" s="155">
        <f t="shared" si="148"/>
        <v>1382167</v>
      </c>
      <c r="N377" s="155">
        <f t="shared" si="148"/>
        <v>0</v>
      </c>
      <c r="O377" s="155">
        <f t="shared" si="148"/>
        <v>1382167</v>
      </c>
      <c r="P377" s="150"/>
    </row>
    <row r="378" spans="1:16" ht="17.25" thickTop="1" thickBot="1" x14ac:dyDescent="0.3">
      <c r="A378" s="157"/>
      <c r="B378" s="156" t="s">
        <v>380</v>
      </c>
      <c r="C378" s="155">
        <f t="shared" ref="C378:O378" si="149">+C362+C365+C366+C367+C368+C369+C370+C371+C372+C373+C374</f>
        <v>755536</v>
      </c>
      <c r="D378" s="155">
        <f t="shared" si="149"/>
        <v>138630</v>
      </c>
      <c r="E378" s="155">
        <f t="shared" si="149"/>
        <v>477967</v>
      </c>
      <c r="F378" s="155">
        <f t="shared" si="149"/>
        <v>0</v>
      </c>
      <c r="G378" s="155">
        <f t="shared" si="149"/>
        <v>0</v>
      </c>
      <c r="H378" s="155">
        <f t="shared" si="149"/>
        <v>1372133</v>
      </c>
      <c r="I378" s="155">
        <f t="shared" si="149"/>
        <v>0</v>
      </c>
      <c r="J378" s="155">
        <f t="shared" si="149"/>
        <v>0</v>
      </c>
      <c r="K378" s="155">
        <f t="shared" si="149"/>
        <v>0</v>
      </c>
      <c r="L378" s="155">
        <f t="shared" si="149"/>
        <v>0</v>
      </c>
      <c r="M378" s="155">
        <f t="shared" si="149"/>
        <v>1372133</v>
      </c>
      <c r="N378" s="155">
        <f t="shared" si="149"/>
        <v>0</v>
      </c>
      <c r="O378" s="155">
        <f t="shared" si="149"/>
        <v>1372133</v>
      </c>
    </row>
    <row r="379" spans="1:16" ht="17.25" thickTop="1" thickBot="1" x14ac:dyDescent="0.3">
      <c r="A379" s="157"/>
      <c r="B379" s="156" t="s">
        <v>379</v>
      </c>
      <c r="C379" s="155">
        <f>+C363+C376</f>
        <v>7573</v>
      </c>
      <c r="D379" s="155">
        <f t="shared" ref="D379:O379" si="150">+D363+D376</f>
        <v>2461</v>
      </c>
      <c r="E379" s="155">
        <f t="shared" si="150"/>
        <v>0</v>
      </c>
      <c r="F379" s="155">
        <f t="shared" si="150"/>
        <v>0</v>
      </c>
      <c r="G379" s="155">
        <f t="shared" si="150"/>
        <v>0</v>
      </c>
      <c r="H379" s="155">
        <f t="shared" si="150"/>
        <v>10034</v>
      </c>
      <c r="I379" s="155">
        <f t="shared" si="150"/>
        <v>0</v>
      </c>
      <c r="J379" s="155">
        <f t="shared" si="150"/>
        <v>0</v>
      </c>
      <c r="K379" s="155">
        <f t="shared" si="150"/>
        <v>0</v>
      </c>
      <c r="L379" s="155">
        <f t="shared" si="150"/>
        <v>0</v>
      </c>
      <c r="M379" s="155">
        <f t="shared" si="150"/>
        <v>10034</v>
      </c>
      <c r="N379" s="155">
        <f t="shared" si="150"/>
        <v>0</v>
      </c>
      <c r="O379" s="155">
        <f t="shared" si="150"/>
        <v>10034</v>
      </c>
    </row>
    <row r="380" spans="1:16" ht="32.25" thickTop="1" x14ac:dyDescent="0.25">
      <c r="A380" s="164" t="s">
        <v>12</v>
      </c>
      <c r="B380" s="523" t="s">
        <v>828</v>
      </c>
      <c r="C380" s="524"/>
      <c r="D380" s="525"/>
      <c r="E380" s="525"/>
      <c r="F380" s="532"/>
      <c r="G380" s="525"/>
      <c r="H380" s="527"/>
      <c r="I380" s="528"/>
      <c r="J380" s="526"/>
      <c r="K380" s="526"/>
      <c r="L380" s="527"/>
      <c r="M380" s="527"/>
      <c r="N380" s="527"/>
      <c r="O380" s="527"/>
    </row>
    <row r="381" spans="1:16" x14ac:dyDescent="0.25">
      <c r="A381" s="164"/>
      <c r="B381" s="530" t="s">
        <v>349</v>
      </c>
      <c r="C381" s="524">
        <f>SUM(C382:C383)</f>
        <v>204763</v>
      </c>
      <c r="D381" s="524">
        <f>SUM(D382:D383)</f>
        <v>39257</v>
      </c>
      <c r="E381" s="524">
        <f>SUM(E382:E383)</f>
        <v>135552</v>
      </c>
      <c r="F381" s="532"/>
      <c r="G381" s="525"/>
      <c r="H381" s="527">
        <f>SUM(C381:G381)</f>
        <v>379572</v>
      </c>
      <c r="I381" s="528"/>
      <c r="J381" s="526"/>
      <c r="K381" s="526"/>
      <c r="L381" s="527">
        <f>SUM(I381:K381)</f>
        <v>0</v>
      </c>
      <c r="M381" s="529">
        <f>SUM(H381+L381)</f>
        <v>379572</v>
      </c>
      <c r="N381" s="529"/>
      <c r="O381" s="529">
        <f>SUM(M381+N381)</f>
        <v>379572</v>
      </c>
    </row>
    <row r="382" spans="1:16" s="168" customFormat="1" x14ac:dyDescent="0.25">
      <c r="A382" s="177"/>
      <c r="B382" s="165" t="s">
        <v>383</v>
      </c>
      <c r="C382" s="185">
        <v>204763</v>
      </c>
      <c r="D382" s="175">
        <v>39257</v>
      </c>
      <c r="E382" s="175">
        <v>135552</v>
      </c>
      <c r="F382" s="179"/>
      <c r="G382" s="175"/>
      <c r="H382" s="170">
        <f>SUM(C382:G382)</f>
        <v>379572</v>
      </c>
      <c r="I382" s="172"/>
      <c r="J382" s="171"/>
      <c r="K382" s="171"/>
      <c r="L382" s="170">
        <f>SUM(I382:K382)</f>
        <v>0</v>
      </c>
      <c r="M382" s="169">
        <f>SUM(H382+L382)</f>
        <v>379572</v>
      </c>
      <c r="N382" s="169"/>
      <c r="O382" s="169">
        <f>SUM(M382+N382)</f>
        <v>379572</v>
      </c>
    </row>
    <row r="383" spans="1:16" s="168" customFormat="1" x14ac:dyDescent="0.25">
      <c r="A383" s="177"/>
      <c r="B383" s="165" t="s">
        <v>382</v>
      </c>
      <c r="C383" s="185"/>
      <c r="D383" s="175"/>
      <c r="E383" s="175"/>
      <c r="F383" s="179"/>
      <c r="G383" s="175"/>
      <c r="H383" s="170">
        <f>SUM(C383:G383)</f>
        <v>0</v>
      </c>
      <c r="I383" s="172"/>
      <c r="J383" s="171"/>
      <c r="K383" s="171"/>
      <c r="L383" s="170">
        <f>SUM(I383:K383)</f>
        <v>0</v>
      </c>
      <c r="M383" s="169">
        <f>SUM(H383+L383)</f>
        <v>0</v>
      </c>
      <c r="N383" s="169"/>
      <c r="O383" s="169">
        <f>SUM(M383+N383)</f>
        <v>0</v>
      </c>
    </row>
    <row r="384" spans="1:16" s="168" customFormat="1" x14ac:dyDescent="0.25">
      <c r="A384" s="177"/>
      <c r="B384" s="165" t="s">
        <v>132</v>
      </c>
      <c r="C384" s="185"/>
      <c r="D384" s="175"/>
      <c r="E384" s="175"/>
      <c r="F384" s="179"/>
      <c r="G384" s="175"/>
      <c r="H384" s="170"/>
      <c r="I384" s="172"/>
      <c r="J384" s="171"/>
      <c r="K384" s="171"/>
      <c r="L384" s="170"/>
      <c r="M384" s="169"/>
      <c r="N384" s="169"/>
      <c r="O384" s="169"/>
    </row>
    <row r="385" spans="1:16" s="168" customFormat="1" ht="33.75" customHeight="1" x14ac:dyDescent="0.25">
      <c r="A385" s="177"/>
      <c r="B385" s="530" t="s">
        <v>1196</v>
      </c>
      <c r="C385" s="201">
        <v>93781</v>
      </c>
      <c r="D385" s="199">
        <v>16456</v>
      </c>
      <c r="E385" s="199">
        <v>66422</v>
      </c>
      <c r="F385" s="197"/>
      <c r="G385" s="175"/>
      <c r="H385" s="196">
        <f t="shared" ref="H385:H393" si="151">SUM(C385:G385)</f>
        <v>176659</v>
      </c>
      <c r="I385" s="172"/>
      <c r="J385" s="171"/>
      <c r="K385" s="171"/>
      <c r="L385" s="196">
        <f t="shared" ref="L385:L393" si="152">SUM(I385:K385)</f>
        <v>0</v>
      </c>
      <c r="M385" s="195">
        <f t="shared" ref="M385:M393" si="153">SUM(H385+L385)</f>
        <v>176659</v>
      </c>
      <c r="N385" s="169"/>
      <c r="O385" s="195">
        <f t="shared" ref="O385:O393" si="154">SUM(M385+N385)</f>
        <v>176659</v>
      </c>
    </row>
    <row r="386" spans="1:16" s="168" customFormat="1" ht="31.5" x14ac:dyDescent="0.25">
      <c r="A386" s="177"/>
      <c r="B386" s="530" t="s">
        <v>1252</v>
      </c>
      <c r="C386" s="201">
        <v>184</v>
      </c>
      <c r="D386" s="199">
        <v>32</v>
      </c>
      <c r="E386" s="199"/>
      <c r="F386" s="197"/>
      <c r="G386" s="175"/>
      <c r="H386" s="196">
        <f t="shared" si="151"/>
        <v>216</v>
      </c>
      <c r="I386" s="172"/>
      <c r="J386" s="171"/>
      <c r="K386" s="171"/>
      <c r="L386" s="196">
        <f t="shared" si="152"/>
        <v>0</v>
      </c>
      <c r="M386" s="195">
        <f t="shared" si="153"/>
        <v>216</v>
      </c>
      <c r="N386" s="169"/>
      <c r="O386" s="195">
        <f t="shared" si="154"/>
        <v>216</v>
      </c>
    </row>
    <row r="387" spans="1:16" s="168" customFormat="1" ht="31.5" x14ac:dyDescent="0.25">
      <c r="A387" s="177"/>
      <c r="B387" s="530" t="s">
        <v>1253</v>
      </c>
      <c r="C387" s="201">
        <v>20240</v>
      </c>
      <c r="D387" s="199">
        <v>3542</v>
      </c>
      <c r="E387" s="199"/>
      <c r="F387" s="197"/>
      <c r="G387" s="175"/>
      <c r="H387" s="196">
        <f t="shared" si="151"/>
        <v>23782</v>
      </c>
      <c r="I387" s="172"/>
      <c r="J387" s="171"/>
      <c r="K387" s="171"/>
      <c r="L387" s="196">
        <f t="shared" si="152"/>
        <v>0</v>
      </c>
      <c r="M387" s="195">
        <f t="shared" si="153"/>
        <v>23782</v>
      </c>
      <c r="N387" s="169"/>
      <c r="O387" s="195">
        <f t="shared" si="154"/>
        <v>23782</v>
      </c>
    </row>
    <row r="388" spans="1:16" s="168" customFormat="1" ht="31.5" x14ac:dyDescent="0.25">
      <c r="A388" s="177"/>
      <c r="B388" s="530" t="s">
        <v>1198</v>
      </c>
      <c r="C388" s="201"/>
      <c r="D388" s="199">
        <v>-1935</v>
      </c>
      <c r="E388" s="199"/>
      <c r="F388" s="197"/>
      <c r="G388" s="175"/>
      <c r="H388" s="196">
        <f t="shared" si="151"/>
        <v>-1935</v>
      </c>
      <c r="I388" s="172"/>
      <c r="J388" s="171"/>
      <c r="K388" s="171"/>
      <c r="L388" s="196">
        <f t="shared" si="152"/>
        <v>0</v>
      </c>
      <c r="M388" s="195">
        <f t="shared" si="153"/>
        <v>-1935</v>
      </c>
      <c r="N388" s="169"/>
      <c r="O388" s="195">
        <f t="shared" si="154"/>
        <v>-1935</v>
      </c>
    </row>
    <row r="389" spans="1:16" s="168" customFormat="1" x14ac:dyDescent="0.25">
      <c r="A389" s="177"/>
      <c r="B389" s="530" t="s">
        <v>1199</v>
      </c>
      <c r="C389" s="201">
        <v>-1814</v>
      </c>
      <c r="D389" s="199">
        <v>-318</v>
      </c>
      <c r="E389" s="199"/>
      <c r="F389" s="197"/>
      <c r="G389" s="175"/>
      <c r="H389" s="196">
        <f t="shared" si="151"/>
        <v>-2132</v>
      </c>
      <c r="I389" s="172"/>
      <c r="J389" s="171"/>
      <c r="K389" s="171"/>
      <c r="L389" s="196">
        <f t="shared" si="152"/>
        <v>0</v>
      </c>
      <c r="M389" s="195">
        <f t="shared" si="153"/>
        <v>-2132</v>
      </c>
      <c r="N389" s="169"/>
      <c r="O389" s="195">
        <f t="shared" si="154"/>
        <v>-2132</v>
      </c>
    </row>
    <row r="390" spans="1:16" s="168" customFormat="1" x14ac:dyDescent="0.25">
      <c r="A390" s="177"/>
      <c r="B390" s="530" t="s">
        <v>1201</v>
      </c>
      <c r="C390" s="201">
        <v>-16429</v>
      </c>
      <c r="D390" s="199">
        <v>-2764</v>
      </c>
      <c r="E390" s="199"/>
      <c r="F390" s="197"/>
      <c r="G390" s="175"/>
      <c r="H390" s="196">
        <f t="shared" si="151"/>
        <v>-19193</v>
      </c>
      <c r="I390" s="172"/>
      <c r="J390" s="171"/>
      <c r="K390" s="171"/>
      <c r="L390" s="196">
        <f t="shared" si="152"/>
        <v>0</v>
      </c>
      <c r="M390" s="195">
        <f t="shared" si="153"/>
        <v>-19193</v>
      </c>
      <c r="N390" s="169"/>
      <c r="O390" s="195">
        <f t="shared" si="154"/>
        <v>-19193</v>
      </c>
    </row>
    <row r="391" spans="1:16" s="168" customFormat="1" ht="31.5" x14ac:dyDescent="0.25">
      <c r="A391" s="177"/>
      <c r="B391" s="530" t="s">
        <v>1202</v>
      </c>
      <c r="C391" s="201">
        <v>675</v>
      </c>
      <c r="D391" s="199">
        <v>118</v>
      </c>
      <c r="E391" s="199"/>
      <c r="F391" s="197"/>
      <c r="G391" s="175"/>
      <c r="H391" s="196">
        <f t="shared" si="151"/>
        <v>793</v>
      </c>
      <c r="I391" s="172"/>
      <c r="J391" s="171"/>
      <c r="K391" s="171"/>
      <c r="L391" s="196">
        <f t="shared" si="152"/>
        <v>0</v>
      </c>
      <c r="M391" s="195">
        <f t="shared" si="153"/>
        <v>793</v>
      </c>
      <c r="N391" s="169"/>
      <c r="O391" s="195">
        <f t="shared" si="154"/>
        <v>793</v>
      </c>
    </row>
    <row r="392" spans="1:16" s="168" customFormat="1" ht="112.5" customHeight="1" x14ac:dyDescent="0.25">
      <c r="A392" s="177"/>
      <c r="B392" s="530" t="s">
        <v>1203</v>
      </c>
      <c r="C392" s="201"/>
      <c r="D392" s="199"/>
      <c r="E392" s="199">
        <v>-90000</v>
      </c>
      <c r="F392" s="197"/>
      <c r="G392" s="175"/>
      <c r="H392" s="196">
        <f t="shared" si="151"/>
        <v>-90000</v>
      </c>
      <c r="I392" s="172"/>
      <c r="J392" s="171"/>
      <c r="K392" s="171"/>
      <c r="L392" s="196">
        <f t="shared" si="152"/>
        <v>0</v>
      </c>
      <c r="M392" s="195">
        <f t="shared" si="153"/>
        <v>-90000</v>
      </c>
      <c r="N392" s="169"/>
      <c r="O392" s="195">
        <f t="shared" si="154"/>
        <v>-90000</v>
      </c>
    </row>
    <row r="393" spans="1:16" s="168" customFormat="1" ht="35.25" customHeight="1" x14ac:dyDescent="0.25">
      <c r="A393" s="177"/>
      <c r="B393" s="530" t="s">
        <v>1215</v>
      </c>
      <c r="C393" s="201"/>
      <c r="D393" s="199"/>
      <c r="E393" s="199"/>
      <c r="F393" s="197"/>
      <c r="G393" s="175"/>
      <c r="H393" s="196">
        <f t="shared" si="151"/>
        <v>0</v>
      </c>
      <c r="I393" s="218">
        <v>6400</v>
      </c>
      <c r="J393" s="171"/>
      <c r="K393" s="171"/>
      <c r="L393" s="196">
        <f t="shared" si="152"/>
        <v>6400</v>
      </c>
      <c r="M393" s="195">
        <f t="shared" si="153"/>
        <v>6400</v>
      </c>
      <c r="N393" s="169"/>
      <c r="O393" s="195">
        <f t="shared" si="154"/>
        <v>6400</v>
      </c>
    </row>
    <row r="394" spans="1:16" s="168" customFormat="1" x14ac:dyDescent="0.25">
      <c r="A394" s="177"/>
      <c r="B394" s="165" t="s">
        <v>133</v>
      </c>
      <c r="C394" s="201"/>
      <c r="D394" s="199"/>
      <c r="E394" s="199"/>
      <c r="F394" s="197"/>
      <c r="G394" s="175"/>
      <c r="H394" s="196"/>
      <c r="I394" s="172"/>
      <c r="J394" s="171"/>
      <c r="K394" s="171"/>
      <c r="L394" s="196"/>
      <c r="M394" s="195"/>
      <c r="N394" s="169"/>
      <c r="O394" s="195"/>
    </row>
    <row r="395" spans="1:16" s="168" customFormat="1" ht="16.5" thickBot="1" x14ac:dyDescent="0.3">
      <c r="A395" s="177"/>
      <c r="B395" s="530" t="s">
        <v>1204</v>
      </c>
      <c r="C395" s="201">
        <v>2325</v>
      </c>
      <c r="D395" s="199">
        <v>755</v>
      </c>
      <c r="E395" s="199"/>
      <c r="F395" s="197"/>
      <c r="G395" s="175"/>
      <c r="H395" s="196">
        <f>SUM(C395:G395)</f>
        <v>3080</v>
      </c>
      <c r="I395" s="218"/>
      <c r="J395" s="171"/>
      <c r="K395" s="171"/>
      <c r="L395" s="196">
        <f>SUM(I395:K395)</f>
        <v>0</v>
      </c>
      <c r="M395" s="195">
        <f>SUM(H395+L395)</f>
        <v>3080</v>
      </c>
      <c r="N395" s="169"/>
      <c r="O395" s="195">
        <f>SUM(M395+N395)</f>
        <v>3080</v>
      </c>
    </row>
    <row r="396" spans="1:16" ht="17.25" thickTop="1" thickBot="1" x14ac:dyDescent="0.3">
      <c r="A396" s="157"/>
      <c r="B396" s="156" t="s">
        <v>381</v>
      </c>
      <c r="C396" s="155">
        <f>+C381+C385+C386+C395+C387+C388+C389+C390+C391+C392+C393</f>
        <v>303725</v>
      </c>
      <c r="D396" s="155">
        <f t="shared" ref="D396:O396" si="155">+D381+D385+D386+D395+D387+D388+D389+D390+D391+D392+D393</f>
        <v>55143</v>
      </c>
      <c r="E396" s="155">
        <f t="shared" si="155"/>
        <v>111974</v>
      </c>
      <c r="F396" s="155">
        <f t="shared" si="155"/>
        <v>0</v>
      </c>
      <c r="G396" s="155">
        <f t="shared" si="155"/>
        <v>0</v>
      </c>
      <c r="H396" s="155">
        <f t="shared" si="155"/>
        <v>470842</v>
      </c>
      <c r="I396" s="155">
        <f t="shared" si="155"/>
        <v>6400</v>
      </c>
      <c r="J396" s="155">
        <f t="shared" si="155"/>
        <v>0</v>
      </c>
      <c r="K396" s="155">
        <f t="shared" si="155"/>
        <v>0</v>
      </c>
      <c r="L396" s="155">
        <f t="shared" si="155"/>
        <v>6400</v>
      </c>
      <c r="M396" s="155">
        <f t="shared" si="155"/>
        <v>477242</v>
      </c>
      <c r="N396" s="155">
        <f t="shared" si="155"/>
        <v>0</v>
      </c>
      <c r="O396" s="155">
        <f t="shared" si="155"/>
        <v>477242</v>
      </c>
      <c r="P396" s="150"/>
    </row>
    <row r="397" spans="1:16" ht="17.25" thickTop="1" thickBot="1" x14ac:dyDescent="0.3">
      <c r="A397" s="157"/>
      <c r="B397" s="156" t="s">
        <v>380</v>
      </c>
      <c r="C397" s="155">
        <f>+C382+C385+C386+C387+C388+C389+C390+C391+C392+C393</f>
        <v>301400</v>
      </c>
      <c r="D397" s="155">
        <f t="shared" ref="D397:O397" si="156">+D382+D385+D386+D387+D388+D389+D390+D391+D392+D393</f>
        <v>54388</v>
      </c>
      <c r="E397" s="155">
        <f t="shared" si="156"/>
        <v>111974</v>
      </c>
      <c r="F397" s="155">
        <f t="shared" si="156"/>
        <v>0</v>
      </c>
      <c r="G397" s="155">
        <f t="shared" si="156"/>
        <v>0</v>
      </c>
      <c r="H397" s="155">
        <f t="shared" si="156"/>
        <v>467762</v>
      </c>
      <c r="I397" s="155">
        <f t="shared" si="156"/>
        <v>6400</v>
      </c>
      <c r="J397" s="155">
        <f t="shared" si="156"/>
        <v>0</v>
      </c>
      <c r="K397" s="155">
        <f t="shared" si="156"/>
        <v>0</v>
      </c>
      <c r="L397" s="155">
        <f t="shared" si="156"/>
        <v>6400</v>
      </c>
      <c r="M397" s="155">
        <f t="shared" si="156"/>
        <v>474162</v>
      </c>
      <c r="N397" s="155">
        <f t="shared" si="156"/>
        <v>0</v>
      </c>
      <c r="O397" s="155">
        <f t="shared" si="156"/>
        <v>474162</v>
      </c>
    </row>
    <row r="398" spans="1:16" ht="17.25" thickTop="1" thickBot="1" x14ac:dyDescent="0.3">
      <c r="A398" s="157"/>
      <c r="B398" s="156" t="s">
        <v>379</v>
      </c>
      <c r="C398" s="155">
        <f>+C383+C395</f>
        <v>2325</v>
      </c>
      <c r="D398" s="155">
        <f t="shared" ref="D398:O398" si="157">+D383+D395</f>
        <v>755</v>
      </c>
      <c r="E398" s="155">
        <f t="shared" si="157"/>
        <v>0</v>
      </c>
      <c r="F398" s="155">
        <f t="shared" si="157"/>
        <v>0</v>
      </c>
      <c r="G398" s="155">
        <f t="shared" si="157"/>
        <v>0</v>
      </c>
      <c r="H398" s="155">
        <f t="shared" si="157"/>
        <v>3080</v>
      </c>
      <c r="I398" s="155">
        <f t="shared" si="157"/>
        <v>0</v>
      </c>
      <c r="J398" s="155">
        <f t="shared" si="157"/>
        <v>0</v>
      </c>
      <c r="K398" s="155">
        <f t="shared" si="157"/>
        <v>0</v>
      </c>
      <c r="L398" s="155">
        <f t="shared" si="157"/>
        <v>0</v>
      </c>
      <c r="M398" s="155">
        <f t="shared" si="157"/>
        <v>3080</v>
      </c>
      <c r="N398" s="155">
        <f t="shared" si="157"/>
        <v>0</v>
      </c>
      <c r="O398" s="155">
        <f t="shared" si="157"/>
        <v>3080</v>
      </c>
    </row>
    <row r="399" spans="1:16" ht="16.5" thickTop="1" x14ac:dyDescent="0.25">
      <c r="A399" s="164" t="s">
        <v>13</v>
      </c>
      <c r="B399" s="523" t="s">
        <v>378</v>
      </c>
      <c r="C399" s="524"/>
      <c r="D399" s="525"/>
      <c r="E399" s="525"/>
      <c r="F399" s="532"/>
      <c r="G399" s="525"/>
      <c r="H399" s="527"/>
      <c r="I399" s="528"/>
      <c r="J399" s="526"/>
      <c r="K399" s="526"/>
      <c r="L399" s="527"/>
      <c r="M399" s="527"/>
      <c r="N399" s="527"/>
      <c r="O399" s="527"/>
    </row>
    <row r="400" spans="1:16" x14ac:dyDescent="0.25">
      <c r="A400" s="164"/>
      <c r="B400" s="530" t="s">
        <v>349</v>
      </c>
      <c r="C400" s="524">
        <f>SUM(C401:C402)</f>
        <v>162626</v>
      </c>
      <c r="D400" s="524">
        <f>SUM(D401:D402)</f>
        <v>30860</v>
      </c>
      <c r="E400" s="524">
        <f>SUM(E401:E402)</f>
        <v>87263</v>
      </c>
      <c r="F400" s="532"/>
      <c r="G400" s="525"/>
      <c r="H400" s="527">
        <f>SUM(C400:G400)</f>
        <v>280749</v>
      </c>
      <c r="I400" s="528"/>
      <c r="J400" s="526"/>
      <c r="K400" s="526"/>
      <c r="L400" s="527">
        <f>SUM(I400:K400)</f>
        <v>0</v>
      </c>
      <c r="M400" s="529">
        <f>SUM(H400+L400)</f>
        <v>280749</v>
      </c>
      <c r="N400" s="529"/>
      <c r="O400" s="529">
        <f>SUM(M400+N400)</f>
        <v>280749</v>
      </c>
    </row>
    <row r="401" spans="1:16" s="168" customFormat="1" x14ac:dyDescent="0.25">
      <c r="A401" s="177"/>
      <c r="B401" s="165" t="s">
        <v>383</v>
      </c>
      <c r="C401" s="185">
        <v>162626</v>
      </c>
      <c r="D401" s="175">
        <v>30860</v>
      </c>
      <c r="E401" s="175">
        <v>87263</v>
      </c>
      <c r="F401" s="179"/>
      <c r="G401" s="175"/>
      <c r="H401" s="170">
        <f>SUM(C401:G401)</f>
        <v>280749</v>
      </c>
      <c r="I401" s="172"/>
      <c r="J401" s="171"/>
      <c r="K401" s="171"/>
      <c r="L401" s="170">
        <f>SUM(I401:K401)</f>
        <v>0</v>
      </c>
      <c r="M401" s="169">
        <f>SUM(H401+L401)</f>
        <v>280749</v>
      </c>
      <c r="N401" s="169"/>
      <c r="O401" s="169">
        <f>SUM(M401+N401)</f>
        <v>280749</v>
      </c>
    </row>
    <row r="402" spans="1:16" s="168" customFormat="1" x14ac:dyDescent="0.25">
      <c r="A402" s="177"/>
      <c r="B402" s="165" t="s">
        <v>382</v>
      </c>
      <c r="C402" s="185"/>
      <c r="D402" s="175"/>
      <c r="E402" s="175"/>
      <c r="F402" s="179"/>
      <c r="G402" s="175"/>
      <c r="H402" s="170">
        <f>SUM(C402:G402)</f>
        <v>0</v>
      </c>
      <c r="I402" s="172"/>
      <c r="J402" s="171"/>
      <c r="K402" s="171"/>
      <c r="L402" s="170">
        <f>SUM(I402:K402)</f>
        <v>0</v>
      </c>
      <c r="M402" s="169">
        <f>SUM(H402+L402)</f>
        <v>0</v>
      </c>
      <c r="N402" s="169"/>
      <c r="O402" s="169">
        <f>SUM(M402+N402)</f>
        <v>0</v>
      </c>
    </row>
    <row r="403" spans="1:16" s="168" customFormat="1" x14ac:dyDescent="0.25">
      <c r="A403" s="186"/>
      <c r="B403" s="166" t="s">
        <v>132</v>
      </c>
      <c r="C403" s="185"/>
      <c r="D403" s="175"/>
      <c r="E403" s="175"/>
      <c r="F403" s="171"/>
      <c r="G403" s="175"/>
      <c r="H403" s="170"/>
      <c r="I403" s="172"/>
      <c r="J403" s="171"/>
      <c r="K403" s="171"/>
      <c r="L403" s="170"/>
      <c r="M403" s="170"/>
      <c r="N403" s="170"/>
      <c r="O403" s="170"/>
    </row>
    <row r="404" spans="1:16" s="168" customFormat="1" ht="36.75" customHeight="1" x14ac:dyDescent="0.25">
      <c r="A404" s="186"/>
      <c r="B404" s="523" t="s">
        <v>1196</v>
      </c>
      <c r="C404" s="201">
        <v>41556</v>
      </c>
      <c r="D404" s="199">
        <v>6484</v>
      </c>
      <c r="E404" s="199">
        <v>64819</v>
      </c>
      <c r="F404" s="200"/>
      <c r="G404" s="175"/>
      <c r="H404" s="196">
        <f t="shared" ref="H404:H410" si="158">SUM(C404:G404)</f>
        <v>112859</v>
      </c>
      <c r="I404" s="172"/>
      <c r="J404" s="171"/>
      <c r="K404" s="171"/>
      <c r="L404" s="196">
        <f t="shared" ref="L404:L410" si="159">SUM(I404:K404)</f>
        <v>0</v>
      </c>
      <c r="M404" s="196">
        <f t="shared" ref="M404:M410" si="160">SUM(H404+L404)</f>
        <v>112859</v>
      </c>
      <c r="N404" s="170"/>
      <c r="O404" s="196">
        <f t="shared" ref="O404:O410" si="161">SUM(M404+N404)</f>
        <v>112859</v>
      </c>
    </row>
    <row r="405" spans="1:16" s="168" customFormat="1" ht="31.5" x14ac:dyDescent="0.25">
      <c r="A405" s="177"/>
      <c r="B405" s="530" t="s">
        <v>1252</v>
      </c>
      <c r="C405" s="201">
        <v>83</v>
      </c>
      <c r="D405" s="199">
        <v>15</v>
      </c>
      <c r="E405" s="199"/>
      <c r="F405" s="197"/>
      <c r="G405" s="175"/>
      <c r="H405" s="196">
        <f t="shared" si="158"/>
        <v>98</v>
      </c>
      <c r="I405" s="172"/>
      <c r="J405" s="171"/>
      <c r="K405" s="171"/>
      <c r="L405" s="196">
        <f t="shared" si="159"/>
        <v>0</v>
      </c>
      <c r="M405" s="195">
        <f t="shared" si="160"/>
        <v>98</v>
      </c>
      <c r="N405" s="169"/>
      <c r="O405" s="195">
        <f t="shared" si="161"/>
        <v>98</v>
      </c>
    </row>
    <row r="406" spans="1:16" s="168" customFormat="1" ht="31.5" x14ac:dyDescent="0.25">
      <c r="A406" s="177"/>
      <c r="B406" s="530" t="s">
        <v>1253</v>
      </c>
      <c r="C406" s="201">
        <v>11894</v>
      </c>
      <c r="D406" s="199">
        <v>2081</v>
      </c>
      <c r="E406" s="199"/>
      <c r="F406" s="197"/>
      <c r="G406" s="175"/>
      <c r="H406" s="196">
        <f t="shared" si="158"/>
        <v>13975</v>
      </c>
      <c r="I406" s="172"/>
      <c r="J406" s="171"/>
      <c r="K406" s="171"/>
      <c r="L406" s="196">
        <f t="shared" si="159"/>
        <v>0</v>
      </c>
      <c r="M406" s="195">
        <f t="shared" si="160"/>
        <v>13975</v>
      </c>
      <c r="N406" s="169"/>
      <c r="O406" s="195">
        <f t="shared" si="161"/>
        <v>13975</v>
      </c>
    </row>
    <row r="407" spans="1:16" s="168" customFormat="1" ht="31.5" x14ac:dyDescent="0.25">
      <c r="A407" s="177"/>
      <c r="B407" s="530" t="s">
        <v>1198</v>
      </c>
      <c r="C407" s="201"/>
      <c r="D407" s="199">
        <v>-1436</v>
      </c>
      <c r="E407" s="199"/>
      <c r="F407" s="197"/>
      <c r="G407" s="175"/>
      <c r="H407" s="196">
        <f t="shared" si="158"/>
        <v>-1436</v>
      </c>
      <c r="I407" s="172"/>
      <c r="J407" s="171"/>
      <c r="K407" s="171"/>
      <c r="L407" s="196">
        <f t="shared" si="159"/>
        <v>0</v>
      </c>
      <c r="M407" s="195">
        <f t="shared" si="160"/>
        <v>-1436</v>
      </c>
      <c r="N407" s="169"/>
      <c r="O407" s="195">
        <f t="shared" si="161"/>
        <v>-1436</v>
      </c>
    </row>
    <row r="408" spans="1:16" s="168" customFormat="1" x14ac:dyDescent="0.25">
      <c r="A408" s="177"/>
      <c r="B408" s="530" t="s">
        <v>1199</v>
      </c>
      <c r="C408" s="201">
        <v>-1336</v>
      </c>
      <c r="D408" s="199">
        <v>-234</v>
      </c>
      <c r="E408" s="199"/>
      <c r="F408" s="197"/>
      <c r="G408" s="175"/>
      <c r="H408" s="196">
        <f t="shared" si="158"/>
        <v>-1570</v>
      </c>
      <c r="I408" s="172"/>
      <c r="J408" s="171"/>
      <c r="K408" s="171"/>
      <c r="L408" s="196">
        <f t="shared" si="159"/>
        <v>0</v>
      </c>
      <c r="M408" s="195">
        <f t="shared" si="160"/>
        <v>-1570</v>
      </c>
      <c r="N408" s="169"/>
      <c r="O408" s="195">
        <f t="shared" si="161"/>
        <v>-1570</v>
      </c>
    </row>
    <row r="409" spans="1:16" s="168" customFormat="1" x14ac:dyDescent="0.25">
      <c r="A409" s="177"/>
      <c r="B409" s="530" t="s">
        <v>1201</v>
      </c>
      <c r="C409" s="201"/>
      <c r="D409" s="199"/>
      <c r="E409" s="199">
        <v>-4853</v>
      </c>
      <c r="F409" s="197"/>
      <c r="G409" s="175"/>
      <c r="H409" s="196">
        <f t="shared" si="158"/>
        <v>-4853</v>
      </c>
      <c r="I409" s="172"/>
      <c r="J409" s="171"/>
      <c r="K409" s="171"/>
      <c r="L409" s="196">
        <f t="shared" si="159"/>
        <v>0</v>
      </c>
      <c r="M409" s="195">
        <f t="shared" si="160"/>
        <v>-4853</v>
      </c>
      <c r="N409" s="169"/>
      <c r="O409" s="195">
        <f t="shared" si="161"/>
        <v>-4853</v>
      </c>
    </row>
    <row r="410" spans="1:16" s="168" customFormat="1" ht="31.5" x14ac:dyDescent="0.25">
      <c r="A410" s="177"/>
      <c r="B410" s="530" t="s">
        <v>1202</v>
      </c>
      <c r="C410" s="201">
        <v>2200</v>
      </c>
      <c r="D410" s="199">
        <v>385</v>
      </c>
      <c r="E410" s="199"/>
      <c r="F410" s="197"/>
      <c r="G410" s="175"/>
      <c r="H410" s="196">
        <f t="shared" si="158"/>
        <v>2585</v>
      </c>
      <c r="I410" s="172"/>
      <c r="J410" s="171"/>
      <c r="K410" s="171"/>
      <c r="L410" s="196">
        <f t="shared" si="159"/>
        <v>0</v>
      </c>
      <c r="M410" s="195">
        <f t="shared" si="160"/>
        <v>2585</v>
      </c>
      <c r="N410" s="169"/>
      <c r="O410" s="195">
        <f t="shared" si="161"/>
        <v>2585</v>
      </c>
    </row>
    <row r="411" spans="1:16" s="168" customFormat="1" x14ac:dyDescent="0.25">
      <c r="A411" s="177"/>
      <c r="B411" s="165" t="s">
        <v>133</v>
      </c>
      <c r="C411" s="201"/>
      <c r="D411" s="199"/>
      <c r="E411" s="199"/>
      <c r="F411" s="197"/>
      <c r="G411" s="175"/>
      <c r="H411" s="196"/>
      <c r="I411" s="172"/>
      <c r="J411" s="171"/>
      <c r="K411" s="171"/>
      <c r="L411" s="196"/>
      <c r="M411" s="195"/>
      <c r="N411" s="169"/>
      <c r="O411" s="195"/>
    </row>
    <row r="412" spans="1:16" s="168" customFormat="1" ht="16.5" thickBot="1" x14ac:dyDescent="0.3">
      <c r="A412" s="177"/>
      <c r="B412" s="530" t="s">
        <v>1204</v>
      </c>
      <c r="C412" s="201">
        <v>1868</v>
      </c>
      <c r="D412" s="199">
        <v>606</v>
      </c>
      <c r="E412" s="199"/>
      <c r="F412" s="197"/>
      <c r="G412" s="175"/>
      <c r="H412" s="196">
        <f>SUM(C412:G412)</f>
        <v>2474</v>
      </c>
      <c r="I412" s="172"/>
      <c r="J412" s="171"/>
      <c r="K412" s="171"/>
      <c r="L412" s="196">
        <f>SUM(I412:K412)</f>
        <v>0</v>
      </c>
      <c r="M412" s="195">
        <f>SUM(H412+L412)</f>
        <v>2474</v>
      </c>
      <c r="N412" s="169"/>
      <c r="O412" s="195">
        <f>SUM(M412+N412)</f>
        <v>2474</v>
      </c>
    </row>
    <row r="413" spans="1:16" ht="17.25" thickTop="1" thickBot="1" x14ac:dyDescent="0.3">
      <c r="A413" s="157"/>
      <c r="B413" s="156" t="s">
        <v>381</v>
      </c>
      <c r="C413" s="155">
        <f>+C400+C404+C405+C412+C406+C407+C408+C409+C410</f>
        <v>218891</v>
      </c>
      <c r="D413" s="155">
        <f t="shared" ref="D413:O413" si="162">+D400+D404+D405+D412+D406+D407+D408+D409+D410</f>
        <v>38761</v>
      </c>
      <c r="E413" s="155">
        <f t="shared" si="162"/>
        <v>147229</v>
      </c>
      <c r="F413" s="155">
        <f t="shared" si="162"/>
        <v>0</v>
      </c>
      <c r="G413" s="155">
        <f t="shared" si="162"/>
        <v>0</v>
      </c>
      <c r="H413" s="155">
        <f t="shared" si="162"/>
        <v>404881</v>
      </c>
      <c r="I413" s="155">
        <f t="shared" si="162"/>
        <v>0</v>
      </c>
      <c r="J413" s="155">
        <f t="shared" si="162"/>
        <v>0</v>
      </c>
      <c r="K413" s="155">
        <f t="shared" si="162"/>
        <v>0</v>
      </c>
      <c r="L413" s="155">
        <f t="shared" si="162"/>
        <v>0</v>
      </c>
      <c r="M413" s="155">
        <f t="shared" si="162"/>
        <v>404881</v>
      </c>
      <c r="N413" s="155">
        <f t="shared" si="162"/>
        <v>0</v>
      </c>
      <c r="O413" s="155">
        <f t="shared" si="162"/>
        <v>404881</v>
      </c>
      <c r="P413" s="150"/>
    </row>
    <row r="414" spans="1:16" ht="17.25" thickTop="1" thickBot="1" x14ac:dyDescent="0.3">
      <c r="A414" s="157"/>
      <c r="B414" s="156" t="s">
        <v>380</v>
      </c>
      <c r="C414" s="155">
        <f t="shared" ref="C414:O414" si="163">+C401+C404+C405+C406+C407+C408+C409+C410</f>
        <v>217023</v>
      </c>
      <c r="D414" s="155">
        <f t="shared" si="163"/>
        <v>38155</v>
      </c>
      <c r="E414" s="155">
        <f t="shared" si="163"/>
        <v>147229</v>
      </c>
      <c r="F414" s="155">
        <f t="shared" si="163"/>
        <v>0</v>
      </c>
      <c r="G414" s="155">
        <f t="shared" si="163"/>
        <v>0</v>
      </c>
      <c r="H414" s="155">
        <f t="shared" si="163"/>
        <v>402407</v>
      </c>
      <c r="I414" s="155">
        <f t="shared" si="163"/>
        <v>0</v>
      </c>
      <c r="J414" s="155">
        <f t="shared" si="163"/>
        <v>0</v>
      </c>
      <c r="K414" s="155">
        <f t="shared" si="163"/>
        <v>0</v>
      </c>
      <c r="L414" s="155">
        <f t="shared" si="163"/>
        <v>0</v>
      </c>
      <c r="M414" s="155">
        <f t="shared" si="163"/>
        <v>402407</v>
      </c>
      <c r="N414" s="155">
        <f t="shared" si="163"/>
        <v>0</v>
      </c>
      <c r="O414" s="155">
        <f t="shared" si="163"/>
        <v>402407</v>
      </c>
    </row>
    <row r="415" spans="1:16" ht="17.25" thickTop="1" thickBot="1" x14ac:dyDescent="0.3">
      <c r="A415" s="157"/>
      <c r="B415" s="156" t="s">
        <v>379</v>
      </c>
      <c r="C415" s="155">
        <f>+C402+C412</f>
        <v>1868</v>
      </c>
      <c r="D415" s="155">
        <f t="shared" ref="D415:O415" si="164">+D402+D412</f>
        <v>606</v>
      </c>
      <c r="E415" s="155">
        <f t="shared" si="164"/>
        <v>0</v>
      </c>
      <c r="F415" s="155">
        <f t="shared" si="164"/>
        <v>0</v>
      </c>
      <c r="G415" s="155">
        <f t="shared" si="164"/>
        <v>0</v>
      </c>
      <c r="H415" s="155">
        <f t="shared" si="164"/>
        <v>2474</v>
      </c>
      <c r="I415" s="155">
        <f t="shared" si="164"/>
        <v>0</v>
      </c>
      <c r="J415" s="155">
        <f t="shared" si="164"/>
        <v>0</v>
      </c>
      <c r="K415" s="155">
        <f t="shared" si="164"/>
        <v>0</v>
      </c>
      <c r="L415" s="155">
        <f t="shared" si="164"/>
        <v>0</v>
      </c>
      <c r="M415" s="155">
        <f t="shared" si="164"/>
        <v>2474</v>
      </c>
      <c r="N415" s="155">
        <f t="shared" si="164"/>
        <v>0</v>
      </c>
      <c r="O415" s="155">
        <f t="shared" si="164"/>
        <v>2474</v>
      </c>
    </row>
    <row r="416" spans="1:16" ht="17.25" thickTop="1" thickBot="1" x14ac:dyDescent="0.3">
      <c r="A416" s="157"/>
      <c r="B416" s="156" t="s">
        <v>395</v>
      </c>
      <c r="C416" s="155">
        <f t="shared" ref="C416:O416" si="165">SUM(C377+C396+C413)</f>
        <v>1285725</v>
      </c>
      <c r="D416" s="155">
        <f t="shared" si="165"/>
        <v>234995</v>
      </c>
      <c r="E416" s="155">
        <f t="shared" si="165"/>
        <v>737170</v>
      </c>
      <c r="F416" s="155">
        <f t="shared" si="165"/>
        <v>0</v>
      </c>
      <c r="G416" s="155">
        <f t="shared" si="165"/>
        <v>0</v>
      </c>
      <c r="H416" s="155">
        <f t="shared" si="165"/>
        <v>2257890</v>
      </c>
      <c r="I416" s="155">
        <f t="shared" si="165"/>
        <v>6400</v>
      </c>
      <c r="J416" s="155">
        <f t="shared" si="165"/>
        <v>0</v>
      </c>
      <c r="K416" s="155">
        <f t="shared" si="165"/>
        <v>0</v>
      </c>
      <c r="L416" s="155">
        <f t="shared" si="165"/>
        <v>6400</v>
      </c>
      <c r="M416" s="155">
        <f t="shared" si="165"/>
        <v>2264290</v>
      </c>
      <c r="N416" s="155">
        <f t="shared" si="165"/>
        <v>0</v>
      </c>
      <c r="O416" s="155">
        <f t="shared" si="165"/>
        <v>2264290</v>
      </c>
    </row>
    <row r="417" spans="1:16" ht="16.5" thickTop="1" x14ac:dyDescent="0.25">
      <c r="A417" s="161" t="s">
        <v>14</v>
      </c>
      <c r="B417" s="194" t="s">
        <v>394</v>
      </c>
      <c r="C417" s="193"/>
      <c r="D417" s="191"/>
      <c r="E417" s="191"/>
      <c r="F417" s="190"/>
      <c r="G417" s="191"/>
      <c r="H417" s="189"/>
      <c r="I417" s="192"/>
      <c r="J417" s="191"/>
      <c r="K417" s="190"/>
      <c r="L417" s="189"/>
      <c r="M417" s="189"/>
      <c r="N417" s="189"/>
      <c r="O417" s="189"/>
    </row>
    <row r="418" spans="1:16" x14ac:dyDescent="0.25">
      <c r="A418" s="164"/>
      <c r="B418" s="545" t="s">
        <v>349</v>
      </c>
      <c r="C418" s="534">
        <f>SUM(C419:C420)</f>
        <v>215801</v>
      </c>
      <c r="D418" s="534">
        <f>SUM(D419:D420)</f>
        <v>41373</v>
      </c>
      <c r="E418" s="534">
        <f>SUM(E419:E420)</f>
        <v>1213342</v>
      </c>
      <c r="F418" s="535"/>
      <c r="G418" s="535"/>
      <c r="H418" s="527">
        <f>SUM(C418:G418)</f>
        <v>1470516</v>
      </c>
      <c r="I418" s="528"/>
      <c r="J418" s="526"/>
      <c r="K418" s="526"/>
      <c r="L418" s="527">
        <f>SUM(I418:K418)</f>
        <v>0</v>
      </c>
      <c r="M418" s="529">
        <f>SUM(H418+L418)</f>
        <v>1470516</v>
      </c>
      <c r="N418" s="529"/>
      <c r="O418" s="529">
        <f>SUM(M418+N418)</f>
        <v>1470516</v>
      </c>
    </row>
    <row r="419" spans="1:16" s="168" customFormat="1" x14ac:dyDescent="0.25">
      <c r="A419" s="177"/>
      <c r="B419" s="165" t="s">
        <v>383</v>
      </c>
      <c r="C419" s="176">
        <v>215801</v>
      </c>
      <c r="D419" s="173">
        <v>41373</v>
      </c>
      <c r="E419" s="173">
        <v>1213342</v>
      </c>
      <c r="F419" s="173"/>
      <c r="G419" s="173"/>
      <c r="H419" s="170">
        <f>SUM(C419:G419)</f>
        <v>1470516</v>
      </c>
      <c r="I419" s="172"/>
      <c r="J419" s="171"/>
      <c r="K419" s="171"/>
      <c r="L419" s="170">
        <f>SUM(I419:K419)</f>
        <v>0</v>
      </c>
      <c r="M419" s="169">
        <f>SUM(H419+L419)</f>
        <v>1470516</v>
      </c>
      <c r="N419" s="169"/>
      <c r="O419" s="169">
        <f>SUM(M419+N419)</f>
        <v>1470516</v>
      </c>
    </row>
    <row r="420" spans="1:16" s="168" customFormat="1" x14ac:dyDescent="0.25">
      <c r="A420" s="177"/>
      <c r="B420" s="165" t="s">
        <v>382</v>
      </c>
      <c r="C420" s="176"/>
      <c r="D420" s="173"/>
      <c r="E420" s="173"/>
      <c r="F420" s="182"/>
      <c r="G420" s="173"/>
      <c r="H420" s="170">
        <f>SUM(C420:G420)</f>
        <v>0</v>
      </c>
      <c r="I420" s="172"/>
      <c r="J420" s="171"/>
      <c r="K420" s="171"/>
      <c r="L420" s="170">
        <f>SUM(I420:K420)</f>
        <v>0</v>
      </c>
      <c r="M420" s="169">
        <f>SUM(H420+L420)</f>
        <v>0</v>
      </c>
      <c r="N420" s="169"/>
      <c r="O420" s="169">
        <f>SUM(M420+N420)</f>
        <v>0</v>
      </c>
    </row>
    <row r="421" spans="1:16" x14ac:dyDescent="0.25">
      <c r="A421" s="164"/>
      <c r="B421" s="165" t="s">
        <v>132</v>
      </c>
      <c r="C421" s="524"/>
      <c r="D421" s="525"/>
      <c r="E421" s="525"/>
      <c r="F421" s="526"/>
      <c r="G421" s="525"/>
      <c r="H421" s="527"/>
      <c r="I421" s="528"/>
      <c r="J421" s="526"/>
      <c r="K421" s="526"/>
      <c r="L421" s="527"/>
      <c r="M421" s="529"/>
      <c r="N421" s="529"/>
      <c r="O421" s="529"/>
    </row>
    <row r="422" spans="1:16" ht="36.75" customHeight="1" x14ac:dyDescent="0.25">
      <c r="A422" s="164"/>
      <c r="B422" s="530" t="s">
        <v>1196</v>
      </c>
      <c r="C422" s="546">
        <v>15023</v>
      </c>
      <c r="D422" s="547">
        <v>2979</v>
      </c>
      <c r="E422" s="525">
        <v>24643</v>
      </c>
      <c r="F422" s="532"/>
      <c r="G422" s="547"/>
      <c r="H422" s="527">
        <f t="shared" ref="H422:H427" si="166">SUM(C422:G422)</f>
        <v>42645</v>
      </c>
      <c r="I422" s="528"/>
      <c r="J422" s="526"/>
      <c r="K422" s="526"/>
      <c r="L422" s="527">
        <f t="shared" ref="L422:L427" si="167">SUM(I422:K422)</f>
        <v>0</v>
      </c>
      <c r="M422" s="529">
        <f t="shared" ref="M422:M427" si="168">SUM(H422+L422)</f>
        <v>42645</v>
      </c>
      <c r="N422" s="529"/>
      <c r="O422" s="529">
        <f t="shared" ref="O422:O427" si="169">SUM(M422+N422)</f>
        <v>42645</v>
      </c>
    </row>
    <row r="423" spans="1:16" ht="31.5" x14ac:dyDescent="0.25">
      <c r="A423" s="164"/>
      <c r="B423" s="530" t="s">
        <v>1252</v>
      </c>
      <c r="C423" s="546">
        <v>193</v>
      </c>
      <c r="D423" s="547">
        <v>34</v>
      </c>
      <c r="E423" s="525"/>
      <c r="F423" s="532"/>
      <c r="G423" s="547"/>
      <c r="H423" s="527">
        <f t="shared" si="166"/>
        <v>227</v>
      </c>
      <c r="I423" s="528"/>
      <c r="J423" s="526"/>
      <c r="K423" s="526"/>
      <c r="L423" s="527">
        <f t="shared" si="167"/>
        <v>0</v>
      </c>
      <c r="M423" s="529">
        <f t="shared" si="168"/>
        <v>227</v>
      </c>
      <c r="N423" s="529"/>
      <c r="O423" s="529">
        <f t="shared" si="169"/>
        <v>227</v>
      </c>
    </row>
    <row r="424" spans="1:16" ht="31.5" x14ac:dyDescent="0.25">
      <c r="A424" s="164"/>
      <c r="B424" s="530" t="s">
        <v>1198</v>
      </c>
      <c r="C424" s="546"/>
      <c r="D424" s="547">
        <v>-2072</v>
      </c>
      <c r="E424" s="525"/>
      <c r="F424" s="532"/>
      <c r="G424" s="547"/>
      <c r="H424" s="527">
        <f t="shared" si="166"/>
        <v>-2072</v>
      </c>
      <c r="I424" s="528"/>
      <c r="J424" s="526"/>
      <c r="K424" s="526"/>
      <c r="L424" s="527">
        <f t="shared" si="167"/>
        <v>0</v>
      </c>
      <c r="M424" s="529">
        <f t="shared" si="168"/>
        <v>-2072</v>
      </c>
      <c r="N424" s="529"/>
      <c r="O424" s="529">
        <f t="shared" si="169"/>
        <v>-2072</v>
      </c>
    </row>
    <row r="425" spans="1:16" x14ac:dyDescent="0.25">
      <c r="A425" s="164"/>
      <c r="B425" s="530" t="s">
        <v>1199</v>
      </c>
      <c r="C425" s="546">
        <v>-1871</v>
      </c>
      <c r="D425" s="547">
        <v>-328</v>
      </c>
      <c r="E425" s="525"/>
      <c r="F425" s="532"/>
      <c r="G425" s="547"/>
      <c r="H425" s="527">
        <f t="shared" si="166"/>
        <v>-2199</v>
      </c>
      <c r="I425" s="528"/>
      <c r="J425" s="526"/>
      <c r="K425" s="526"/>
      <c r="L425" s="527">
        <f t="shared" si="167"/>
        <v>0</v>
      </c>
      <c r="M425" s="529">
        <f t="shared" si="168"/>
        <v>-2199</v>
      </c>
      <c r="N425" s="529"/>
      <c r="O425" s="529">
        <f t="shared" si="169"/>
        <v>-2199</v>
      </c>
    </row>
    <row r="426" spans="1:16" ht="31.5" x14ac:dyDescent="0.25">
      <c r="A426" s="164"/>
      <c r="B426" s="530" t="s">
        <v>584</v>
      </c>
      <c r="C426" s="546"/>
      <c r="D426" s="547"/>
      <c r="E426" s="525">
        <v>-1551</v>
      </c>
      <c r="F426" s="532"/>
      <c r="G426" s="547"/>
      <c r="H426" s="527">
        <f t="shared" si="166"/>
        <v>-1551</v>
      </c>
      <c r="I426" s="528">
        <v>1551</v>
      </c>
      <c r="J426" s="526"/>
      <c r="K426" s="526"/>
      <c r="L426" s="527">
        <f t="shared" si="167"/>
        <v>1551</v>
      </c>
      <c r="M426" s="529">
        <f t="shared" si="168"/>
        <v>0</v>
      </c>
      <c r="N426" s="529"/>
      <c r="O426" s="529">
        <f t="shared" si="169"/>
        <v>0</v>
      </c>
    </row>
    <row r="427" spans="1:16" x14ac:dyDescent="0.25">
      <c r="A427" s="164"/>
      <c r="B427" s="530" t="s">
        <v>1201</v>
      </c>
      <c r="C427" s="546">
        <v>-5824</v>
      </c>
      <c r="D427" s="547">
        <v>-1019</v>
      </c>
      <c r="E427" s="525">
        <v>-14656</v>
      </c>
      <c r="F427" s="532"/>
      <c r="G427" s="547"/>
      <c r="H427" s="527">
        <f t="shared" si="166"/>
        <v>-21499</v>
      </c>
      <c r="I427" s="528"/>
      <c r="J427" s="526"/>
      <c r="K427" s="526"/>
      <c r="L427" s="527">
        <f t="shared" si="167"/>
        <v>0</v>
      </c>
      <c r="M427" s="529">
        <f t="shared" si="168"/>
        <v>-21499</v>
      </c>
      <c r="N427" s="529"/>
      <c r="O427" s="529">
        <f t="shared" si="169"/>
        <v>-21499</v>
      </c>
    </row>
    <row r="428" spans="1:16" x14ac:dyDescent="0.25">
      <c r="A428" s="164"/>
      <c r="B428" s="151" t="s">
        <v>133</v>
      </c>
      <c r="C428" s="546"/>
      <c r="D428" s="547"/>
      <c r="E428" s="525"/>
      <c r="F428" s="532"/>
      <c r="G428" s="547"/>
      <c r="H428" s="527"/>
      <c r="I428" s="528"/>
      <c r="J428" s="526"/>
      <c r="K428" s="526"/>
      <c r="L428" s="527"/>
      <c r="M428" s="529"/>
      <c r="N428" s="529"/>
      <c r="O428" s="529"/>
    </row>
    <row r="429" spans="1:16" ht="16.5" thickBot="1" x14ac:dyDescent="0.3">
      <c r="A429" s="164"/>
      <c r="B429" s="530" t="s">
        <v>1204</v>
      </c>
      <c r="C429" s="546">
        <v>2207</v>
      </c>
      <c r="D429" s="547">
        <v>717</v>
      </c>
      <c r="E429" s="525"/>
      <c r="F429" s="532"/>
      <c r="G429" s="547"/>
      <c r="H429" s="527">
        <f>SUM(C429:G429)</f>
        <v>2924</v>
      </c>
      <c r="I429" s="528"/>
      <c r="J429" s="526"/>
      <c r="K429" s="526"/>
      <c r="L429" s="527">
        <f>SUM(I429:K429)</f>
        <v>0</v>
      </c>
      <c r="M429" s="529">
        <f>SUM(H429+L429)</f>
        <v>2924</v>
      </c>
      <c r="N429" s="529"/>
      <c r="O429" s="529">
        <f>SUM(M429+N429)</f>
        <v>2924</v>
      </c>
    </row>
    <row r="430" spans="1:16" ht="17.25" thickTop="1" thickBot="1" x14ac:dyDescent="0.3">
      <c r="A430" s="157"/>
      <c r="B430" s="156" t="s">
        <v>381</v>
      </c>
      <c r="C430" s="155">
        <f>+C418+C422+C423+C424+C429+C425+C426+C427</f>
        <v>225529</v>
      </c>
      <c r="D430" s="155">
        <f t="shared" ref="D430:O430" si="170">+D418+D422+D423+D424+D429+D425+D426+D427</f>
        <v>41684</v>
      </c>
      <c r="E430" s="155">
        <f t="shared" si="170"/>
        <v>1221778</v>
      </c>
      <c r="F430" s="155">
        <f t="shared" si="170"/>
        <v>0</v>
      </c>
      <c r="G430" s="155">
        <f t="shared" si="170"/>
        <v>0</v>
      </c>
      <c r="H430" s="155">
        <f t="shared" si="170"/>
        <v>1488991</v>
      </c>
      <c r="I430" s="155">
        <f t="shared" si="170"/>
        <v>1551</v>
      </c>
      <c r="J430" s="155">
        <f t="shared" si="170"/>
        <v>0</v>
      </c>
      <c r="K430" s="155">
        <f t="shared" si="170"/>
        <v>0</v>
      </c>
      <c r="L430" s="155">
        <f t="shared" si="170"/>
        <v>1551</v>
      </c>
      <c r="M430" s="155">
        <f t="shared" si="170"/>
        <v>1490542</v>
      </c>
      <c r="N430" s="155">
        <f t="shared" si="170"/>
        <v>0</v>
      </c>
      <c r="O430" s="155">
        <f t="shared" si="170"/>
        <v>1490542</v>
      </c>
      <c r="P430" s="150"/>
    </row>
    <row r="431" spans="1:16" ht="17.25" thickTop="1" thickBot="1" x14ac:dyDescent="0.3">
      <c r="A431" s="157"/>
      <c r="B431" s="156" t="s">
        <v>380</v>
      </c>
      <c r="C431" s="155">
        <f>++C419+C422+C423+C424+C425+C426+C427</f>
        <v>223322</v>
      </c>
      <c r="D431" s="155">
        <f t="shared" ref="D431:O431" si="171">++D419+D422+D423+D424+D425+D426+D427</f>
        <v>40967</v>
      </c>
      <c r="E431" s="155">
        <f t="shared" si="171"/>
        <v>1221778</v>
      </c>
      <c r="F431" s="155">
        <f t="shared" si="171"/>
        <v>0</v>
      </c>
      <c r="G431" s="155">
        <f t="shared" si="171"/>
        <v>0</v>
      </c>
      <c r="H431" s="155">
        <f t="shared" si="171"/>
        <v>1486067</v>
      </c>
      <c r="I431" s="155">
        <f t="shared" si="171"/>
        <v>1551</v>
      </c>
      <c r="J431" s="155">
        <f t="shared" si="171"/>
        <v>0</v>
      </c>
      <c r="K431" s="155">
        <f t="shared" si="171"/>
        <v>0</v>
      </c>
      <c r="L431" s="155">
        <f t="shared" si="171"/>
        <v>1551</v>
      </c>
      <c r="M431" s="155">
        <f t="shared" si="171"/>
        <v>1487618</v>
      </c>
      <c r="N431" s="155">
        <f t="shared" si="171"/>
        <v>0</v>
      </c>
      <c r="O431" s="155">
        <f t="shared" si="171"/>
        <v>1487618</v>
      </c>
    </row>
    <row r="432" spans="1:16" ht="17.25" thickTop="1" thickBot="1" x14ac:dyDescent="0.3">
      <c r="A432" s="157"/>
      <c r="B432" s="156" t="s">
        <v>379</v>
      </c>
      <c r="C432" s="155">
        <f>+C420+C429</f>
        <v>2207</v>
      </c>
      <c r="D432" s="155">
        <f t="shared" ref="D432:O432" si="172">+D420+D429</f>
        <v>717</v>
      </c>
      <c r="E432" s="155">
        <f t="shared" si="172"/>
        <v>0</v>
      </c>
      <c r="F432" s="155">
        <f t="shared" si="172"/>
        <v>0</v>
      </c>
      <c r="G432" s="155">
        <f t="shared" si="172"/>
        <v>0</v>
      </c>
      <c r="H432" s="155">
        <f t="shared" si="172"/>
        <v>2924</v>
      </c>
      <c r="I432" s="155">
        <f t="shared" si="172"/>
        <v>0</v>
      </c>
      <c r="J432" s="155">
        <f t="shared" si="172"/>
        <v>0</v>
      </c>
      <c r="K432" s="155">
        <f t="shared" si="172"/>
        <v>0</v>
      </c>
      <c r="L432" s="155">
        <f t="shared" si="172"/>
        <v>0</v>
      </c>
      <c r="M432" s="155">
        <f t="shared" si="172"/>
        <v>2924</v>
      </c>
      <c r="N432" s="155">
        <f t="shared" si="172"/>
        <v>0</v>
      </c>
      <c r="O432" s="155">
        <f t="shared" si="172"/>
        <v>2924</v>
      </c>
    </row>
    <row r="433" spans="1:15" ht="16.5" thickTop="1" x14ac:dyDescent="0.25">
      <c r="A433" s="161" t="s">
        <v>15</v>
      </c>
      <c r="B433" s="539" t="s">
        <v>393</v>
      </c>
      <c r="C433" s="540"/>
      <c r="D433" s="541"/>
      <c r="E433" s="541"/>
      <c r="F433" s="542"/>
      <c r="G433" s="541"/>
      <c r="H433" s="543"/>
      <c r="I433" s="544"/>
      <c r="J433" s="542"/>
      <c r="K433" s="542"/>
      <c r="L433" s="543"/>
      <c r="M433" s="543"/>
      <c r="N433" s="543"/>
      <c r="O433" s="543"/>
    </row>
    <row r="434" spans="1:15" x14ac:dyDescent="0.25">
      <c r="A434" s="164"/>
      <c r="B434" s="530" t="s">
        <v>349</v>
      </c>
      <c r="C434" s="534">
        <f>SUM(C435)</f>
        <v>40642</v>
      </c>
      <c r="D434" s="534">
        <f>SUM(D435)</f>
        <v>6998</v>
      </c>
      <c r="E434" s="534">
        <f>SUM(E435)</f>
        <v>35874</v>
      </c>
      <c r="F434" s="537"/>
      <c r="G434" s="535"/>
      <c r="H434" s="527">
        <f>SUM(C434:G434)</f>
        <v>83514</v>
      </c>
      <c r="I434" s="528"/>
      <c r="J434" s="526"/>
      <c r="K434" s="526"/>
      <c r="L434" s="527">
        <f>SUM(I434:K434)</f>
        <v>0</v>
      </c>
      <c r="M434" s="529">
        <f>SUM(H434+L434)</f>
        <v>83514</v>
      </c>
      <c r="N434" s="529"/>
      <c r="O434" s="529">
        <f>SUM(M434+N434)</f>
        <v>83514</v>
      </c>
    </row>
    <row r="435" spans="1:15" s="168" customFormat="1" x14ac:dyDescent="0.25">
      <c r="A435" s="177"/>
      <c r="B435" s="165" t="s">
        <v>388</v>
      </c>
      <c r="C435" s="176">
        <v>40642</v>
      </c>
      <c r="D435" s="173">
        <v>6998</v>
      </c>
      <c r="E435" s="175">
        <v>35874</v>
      </c>
      <c r="F435" s="174"/>
      <c r="G435" s="173"/>
      <c r="H435" s="170">
        <f>SUM(C435:G435)</f>
        <v>83514</v>
      </c>
      <c r="I435" s="172"/>
      <c r="J435" s="171"/>
      <c r="K435" s="171"/>
      <c r="L435" s="170">
        <f>SUM(I435:K435)</f>
        <v>0</v>
      </c>
      <c r="M435" s="169">
        <f>SUM(H435+L435)</f>
        <v>83514</v>
      </c>
      <c r="N435" s="169"/>
      <c r="O435" s="169">
        <f>SUM(M435+N435)</f>
        <v>83514</v>
      </c>
    </row>
    <row r="436" spans="1:15" s="168" customFormat="1" x14ac:dyDescent="0.25">
      <c r="A436" s="177"/>
      <c r="B436" s="165" t="s">
        <v>133</v>
      </c>
      <c r="C436" s="176"/>
      <c r="D436" s="173"/>
      <c r="E436" s="175"/>
      <c r="F436" s="174"/>
      <c r="G436" s="173"/>
      <c r="H436" s="170"/>
      <c r="I436" s="172"/>
      <c r="J436" s="171"/>
      <c r="K436" s="171"/>
      <c r="L436" s="170"/>
      <c r="M436" s="169"/>
      <c r="N436" s="169"/>
      <c r="O436" s="169"/>
    </row>
    <row r="437" spans="1:15" s="168" customFormat="1" ht="38.25" customHeight="1" x14ac:dyDescent="0.25">
      <c r="A437" s="177"/>
      <c r="B437" s="530" t="s">
        <v>1196</v>
      </c>
      <c r="C437" s="224">
        <v>3391</v>
      </c>
      <c r="D437" s="225">
        <v>736</v>
      </c>
      <c r="E437" s="199">
        <v>2544</v>
      </c>
      <c r="F437" s="226"/>
      <c r="G437" s="225"/>
      <c r="H437" s="196">
        <f t="shared" ref="H437:H444" si="173">SUM(C437:G437)</f>
        <v>6671</v>
      </c>
      <c r="I437" s="218"/>
      <c r="J437" s="200"/>
      <c r="K437" s="200"/>
      <c r="L437" s="196">
        <f t="shared" ref="L437:L444" si="174">SUM(I437:K437)</f>
        <v>0</v>
      </c>
      <c r="M437" s="195">
        <f t="shared" ref="M437:M444" si="175">SUM(H437+L437)</f>
        <v>6671</v>
      </c>
      <c r="N437" s="195"/>
      <c r="O437" s="195">
        <f t="shared" ref="O437:O444" si="176">SUM(M437+N437)</f>
        <v>6671</v>
      </c>
    </row>
    <row r="438" spans="1:15" s="168" customFormat="1" ht="31.5" x14ac:dyDescent="0.25">
      <c r="A438" s="177"/>
      <c r="B438" s="530" t="s">
        <v>1216</v>
      </c>
      <c r="C438" s="224">
        <v>1089</v>
      </c>
      <c r="D438" s="225">
        <v>190</v>
      </c>
      <c r="E438" s="199"/>
      <c r="F438" s="226"/>
      <c r="G438" s="225"/>
      <c r="H438" s="196">
        <f t="shared" si="173"/>
        <v>1279</v>
      </c>
      <c r="I438" s="218"/>
      <c r="J438" s="200"/>
      <c r="K438" s="200"/>
      <c r="L438" s="196">
        <f t="shared" si="174"/>
        <v>0</v>
      </c>
      <c r="M438" s="195">
        <f t="shared" si="175"/>
        <v>1279</v>
      </c>
      <c r="N438" s="195"/>
      <c r="O438" s="195">
        <f t="shared" si="176"/>
        <v>1279</v>
      </c>
    </row>
    <row r="439" spans="1:15" s="168" customFormat="1" ht="86.25" customHeight="1" x14ac:dyDescent="0.25">
      <c r="A439" s="177"/>
      <c r="B439" s="530" t="s">
        <v>1217</v>
      </c>
      <c r="C439" s="224"/>
      <c r="D439" s="225"/>
      <c r="E439" s="199">
        <v>150</v>
      </c>
      <c r="F439" s="226"/>
      <c r="G439" s="225"/>
      <c r="H439" s="196">
        <f t="shared" si="173"/>
        <v>150</v>
      </c>
      <c r="I439" s="218"/>
      <c r="J439" s="200"/>
      <c r="K439" s="200"/>
      <c r="L439" s="196">
        <f t="shared" si="174"/>
        <v>0</v>
      </c>
      <c r="M439" s="195">
        <f t="shared" si="175"/>
        <v>150</v>
      </c>
      <c r="N439" s="195"/>
      <c r="O439" s="195">
        <f t="shared" si="176"/>
        <v>150</v>
      </c>
    </row>
    <row r="440" spans="1:15" s="168" customFormat="1" x14ac:dyDescent="0.25">
      <c r="A440" s="177"/>
      <c r="B440" s="530" t="s">
        <v>1204</v>
      </c>
      <c r="C440" s="224">
        <v>408</v>
      </c>
      <c r="D440" s="225">
        <v>132</v>
      </c>
      <c r="E440" s="199"/>
      <c r="F440" s="226"/>
      <c r="G440" s="225"/>
      <c r="H440" s="196">
        <f t="shared" si="173"/>
        <v>540</v>
      </c>
      <c r="I440" s="218"/>
      <c r="J440" s="200"/>
      <c r="K440" s="200"/>
      <c r="L440" s="196">
        <f t="shared" si="174"/>
        <v>0</v>
      </c>
      <c r="M440" s="195">
        <f t="shared" si="175"/>
        <v>540</v>
      </c>
      <c r="N440" s="195"/>
      <c r="O440" s="195">
        <f t="shared" si="176"/>
        <v>540</v>
      </c>
    </row>
    <row r="441" spans="1:15" s="168" customFormat="1" ht="31.5" x14ac:dyDescent="0.25">
      <c r="A441" s="177"/>
      <c r="B441" s="530" t="s">
        <v>1198</v>
      </c>
      <c r="C441" s="224"/>
      <c r="D441" s="225">
        <v>-361</v>
      </c>
      <c r="E441" s="199"/>
      <c r="F441" s="226"/>
      <c r="G441" s="225"/>
      <c r="H441" s="196">
        <f t="shared" si="173"/>
        <v>-361</v>
      </c>
      <c r="I441" s="218"/>
      <c r="J441" s="200"/>
      <c r="K441" s="200"/>
      <c r="L441" s="196">
        <f t="shared" si="174"/>
        <v>0</v>
      </c>
      <c r="M441" s="195">
        <f t="shared" si="175"/>
        <v>-361</v>
      </c>
      <c r="N441" s="195"/>
      <c r="O441" s="195">
        <f t="shared" si="176"/>
        <v>-361</v>
      </c>
    </row>
    <row r="442" spans="1:15" s="168" customFormat="1" x14ac:dyDescent="0.25">
      <c r="A442" s="177"/>
      <c r="B442" s="530" t="s">
        <v>1199</v>
      </c>
      <c r="C442" s="224">
        <v>-350</v>
      </c>
      <c r="D442" s="225">
        <v>-61</v>
      </c>
      <c r="E442" s="199"/>
      <c r="F442" s="226"/>
      <c r="G442" s="225"/>
      <c r="H442" s="196">
        <f t="shared" si="173"/>
        <v>-411</v>
      </c>
      <c r="I442" s="218"/>
      <c r="J442" s="200"/>
      <c r="K442" s="200"/>
      <c r="L442" s="196">
        <f t="shared" si="174"/>
        <v>0</v>
      </c>
      <c r="M442" s="195">
        <f t="shared" si="175"/>
        <v>-411</v>
      </c>
      <c r="N442" s="195"/>
      <c r="O442" s="195">
        <f t="shared" si="176"/>
        <v>-411</v>
      </c>
    </row>
    <row r="443" spans="1:15" s="168" customFormat="1" ht="31.5" x14ac:dyDescent="0.25">
      <c r="A443" s="177"/>
      <c r="B443" s="530" t="s">
        <v>584</v>
      </c>
      <c r="C443" s="224"/>
      <c r="D443" s="225"/>
      <c r="E443" s="199">
        <v>-39</v>
      </c>
      <c r="F443" s="226"/>
      <c r="G443" s="225"/>
      <c r="H443" s="196">
        <f t="shared" si="173"/>
        <v>-39</v>
      </c>
      <c r="I443" s="218">
        <v>39</v>
      </c>
      <c r="J443" s="200"/>
      <c r="K443" s="200"/>
      <c r="L443" s="196">
        <f t="shared" si="174"/>
        <v>39</v>
      </c>
      <c r="M443" s="195">
        <f t="shared" si="175"/>
        <v>0</v>
      </c>
      <c r="N443" s="195"/>
      <c r="O443" s="195">
        <f t="shared" si="176"/>
        <v>0</v>
      </c>
    </row>
    <row r="444" spans="1:15" s="168" customFormat="1" ht="16.5" thickBot="1" x14ac:dyDescent="0.3">
      <c r="A444" s="177"/>
      <c r="B444" s="530" t="s">
        <v>1201</v>
      </c>
      <c r="C444" s="224"/>
      <c r="D444" s="225"/>
      <c r="E444" s="199">
        <v>-1718</v>
      </c>
      <c r="F444" s="226"/>
      <c r="G444" s="225"/>
      <c r="H444" s="196">
        <f t="shared" si="173"/>
        <v>-1718</v>
      </c>
      <c r="I444" s="218"/>
      <c r="J444" s="200"/>
      <c r="K444" s="200"/>
      <c r="L444" s="196">
        <f t="shared" si="174"/>
        <v>0</v>
      </c>
      <c r="M444" s="195">
        <f t="shared" si="175"/>
        <v>-1718</v>
      </c>
      <c r="N444" s="195"/>
      <c r="O444" s="195">
        <f t="shared" si="176"/>
        <v>-1718</v>
      </c>
    </row>
    <row r="445" spans="1:15" ht="17.25" thickTop="1" thickBot="1" x14ac:dyDescent="0.3">
      <c r="A445" s="157"/>
      <c r="B445" s="188" t="s">
        <v>381</v>
      </c>
      <c r="C445" s="158">
        <f t="shared" ref="C445:O445" si="177">+C434+C437+C438+C439+C440+C441+C442+C443+C444</f>
        <v>45180</v>
      </c>
      <c r="D445" s="158">
        <f t="shared" si="177"/>
        <v>7634</v>
      </c>
      <c r="E445" s="158">
        <f t="shared" si="177"/>
        <v>36811</v>
      </c>
      <c r="F445" s="158">
        <f t="shared" si="177"/>
        <v>0</v>
      </c>
      <c r="G445" s="158">
        <f t="shared" si="177"/>
        <v>0</v>
      </c>
      <c r="H445" s="158">
        <f t="shared" si="177"/>
        <v>89625</v>
      </c>
      <c r="I445" s="158">
        <f t="shared" si="177"/>
        <v>39</v>
      </c>
      <c r="J445" s="158">
        <f t="shared" si="177"/>
        <v>0</v>
      </c>
      <c r="K445" s="158">
        <f t="shared" si="177"/>
        <v>0</v>
      </c>
      <c r="L445" s="158">
        <f t="shared" si="177"/>
        <v>39</v>
      </c>
      <c r="M445" s="158">
        <f t="shared" si="177"/>
        <v>89664</v>
      </c>
      <c r="N445" s="158">
        <f t="shared" si="177"/>
        <v>0</v>
      </c>
      <c r="O445" s="158">
        <f t="shared" si="177"/>
        <v>89664</v>
      </c>
    </row>
    <row r="446" spans="1:15" ht="17.25" thickTop="1" thickBot="1" x14ac:dyDescent="0.3">
      <c r="A446" s="157"/>
      <c r="B446" s="156" t="s">
        <v>387</v>
      </c>
      <c r="C446" s="155">
        <f t="shared" ref="C446:O446" si="178">+C435+C437+C438+C439+C440+C441+C442+C443+C444</f>
        <v>45180</v>
      </c>
      <c r="D446" s="155">
        <f t="shared" si="178"/>
        <v>7634</v>
      </c>
      <c r="E446" s="155">
        <f t="shared" si="178"/>
        <v>36811</v>
      </c>
      <c r="F446" s="155">
        <f t="shared" si="178"/>
        <v>0</v>
      </c>
      <c r="G446" s="155">
        <f t="shared" si="178"/>
        <v>0</v>
      </c>
      <c r="H446" s="155">
        <f t="shared" si="178"/>
        <v>89625</v>
      </c>
      <c r="I446" s="155">
        <f t="shared" si="178"/>
        <v>39</v>
      </c>
      <c r="J446" s="155">
        <f t="shared" si="178"/>
        <v>0</v>
      </c>
      <c r="K446" s="155">
        <f t="shared" si="178"/>
        <v>0</v>
      </c>
      <c r="L446" s="155">
        <f t="shared" si="178"/>
        <v>39</v>
      </c>
      <c r="M446" s="155">
        <f t="shared" si="178"/>
        <v>89664</v>
      </c>
      <c r="N446" s="155">
        <f t="shared" si="178"/>
        <v>0</v>
      </c>
      <c r="O446" s="155">
        <f t="shared" si="178"/>
        <v>89664</v>
      </c>
    </row>
    <row r="447" spans="1:15" ht="15.75" customHeight="1" thickTop="1" x14ac:dyDescent="0.25">
      <c r="A447" s="164" t="s">
        <v>16</v>
      </c>
      <c r="B447" s="533" t="s">
        <v>392</v>
      </c>
      <c r="C447" s="534"/>
      <c r="D447" s="535"/>
      <c r="E447" s="525"/>
      <c r="F447" s="537"/>
      <c r="G447" s="535"/>
      <c r="H447" s="527"/>
      <c r="I447" s="536"/>
      <c r="J447" s="537"/>
      <c r="K447" s="537"/>
      <c r="L447" s="527"/>
      <c r="M447" s="538"/>
      <c r="N447" s="538"/>
      <c r="O447" s="538"/>
    </row>
    <row r="448" spans="1:15" x14ac:dyDescent="0.25">
      <c r="A448" s="164"/>
      <c r="B448" s="530" t="s">
        <v>349</v>
      </c>
      <c r="C448" s="534">
        <f>SUM(C449:C450)</f>
        <v>239893</v>
      </c>
      <c r="D448" s="534">
        <f>SUM(D449:D450)</f>
        <v>46860</v>
      </c>
      <c r="E448" s="534">
        <f>SUM(E449:E450)</f>
        <v>85626</v>
      </c>
      <c r="F448" s="537"/>
      <c r="G448" s="535"/>
      <c r="H448" s="527">
        <f>SUM(C448:G448)</f>
        <v>372379</v>
      </c>
      <c r="I448" s="528">
        <f>SUM(I449:I450)</f>
        <v>9974</v>
      </c>
      <c r="J448" s="528">
        <f>SUM(J449:J450)</f>
        <v>0</v>
      </c>
      <c r="K448" s="528">
        <f>SUM(K449:K450)</f>
        <v>0</v>
      </c>
      <c r="L448" s="527">
        <f>SUM(I448:K448)</f>
        <v>9974</v>
      </c>
      <c r="M448" s="529">
        <f>SUM(H448+L448)</f>
        <v>382353</v>
      </c>
      <c r="N448" s="529"/>
      <c r="O448" s="529">
        <f>SUM(M448+N448)</f>
        <v>382353</v>
      </c>
    </row>
    <row r="449" spans="1:15" s="168" customFormat="1" x14ac:dyDescent="0.25">
      <c r="A449" s="177"/>
      <c r="B449" s="165" t="s">
        <v>383</v>
      </c>
      <c r="C449" s="176">
        <v>239893</v>
      </c>
      <c r="D449" s="173">
        <v>46860</v>
      </c>
      <c r="E449" s="175">
        <v>85626</v>
      </c>
      <c r="F449" s="174"/>
      <c r="G449" s="184"/>
      <c r="H449" s="187">
        <f>SUM(C449:G449)</f>
        <v>372379</v>
      </c>
      <c r="I449" s="172">
        <v>9974</v>
      </c>
      <c r="J449" s="171"/>
      <c r="K449" s="184"/>
      <c r="L449" s="170">
        <f>SUM(I449:K449)</f>
        <v>9974</v>
      </c>
      <c r="M449" s="169">
        <f>SUM(H449+L449)</f>
        <v>382353</v>
      </c>
      <c r="N449" s="169"/>
      <c r="O449" s="169">
        <f>SUM(M449+N449)</f>
        <v>382353</v>
      </c>
    </row>
    <row r="450" spans="1:15" s="168" customFormat="1" x14ac:dyDescent="0.25">
      <c r="A450" s="177"/>
      <c r="B450" s="165" t="s">
        <v>382</v>
      </c>
      <c r="C450" s="176"/>
      <c r="D450" s="173"/>
      <c r="E450" s="175"/>
      <c r="F450" s="174"/>
      <c r="G450" s="548"/>
      <c r="H450" s="187">
        <f>SUM(C450:G450)</f>
        <v>0</v>
      </c>
      <c r="I450" s="172"/>
      <c r="J450" s="171"/>
      <c r="K450" s="184"/>
      <c r="L450" s="170">
        <f>SUM(I450:K450)</f>
        <v>0</v>
      </c>
      <c r="M450" s="169">
        <f>SUM(H450+L450)</f>
        <v>0</v>
      </c>
      <c r="N450" s="169"/>
      <c r="O450" s="169">
        <f>SUM(M450+N450)</f>
        <v>0</v>
      </c>
    </row>
    <row r="451" spans="1:15" s="168" customFormat="1" x14ac:dyDescent="0.25">
      <c r="A451" s="177"/>
      <c r="B451" s="165" t="s">
        <v>132</v>
      </c>
      <c r="C451" s="176"/>
      <c r="D451" s="173"/>
      <c r="E451" s="175"/>
      <c r="F451" s="174"/>
      <c r="G451" s="548"/>
      <c r="H451" s="187"/>
      <c r="I451" s="172"/>
      <c r="J451" s="171"/>
      <c r="K451" s="184"/>
      <c r="L451" s="170"/>
      <c r="M451" s="169"/>
      <c r="N451" s="169"/>
      <c r="O451" s="169"/>
    </row>
    <row r="452" spans="1:15" s="168" customFormat="1" ht="39.75" customHeight="1" x14ac:dyDescent="0.25">
      <c r="A452" s="177"/>
      <c r="B452" s="530" t="s">
        <v>1196</v>
      </c>
      <c r="C452" s="224">
        <v>20398</v>
      </c>
      <c r="D452" s="225">
        <v>4118</v>
      </c>
      <c r="E452" s="199">
        <v>6945</v>
      </c>
      <c r="F452" s="226"/>
      <c r="G452" s="227"/>
      <c r="H452" s="228">
        <f t="shared" ref="H452:H460" si="179">SUM(C452:G452)</f>
        <v>31461</v>
      </c>
      <c r="I452" s="218"/>
      <c r="J452" s="200"/>
      <c r="K452" s="229"/>
      <c r="L452" s="196">
        <f t="shared" ref="L452:L460" si="180">SUM(I452:K452)</f>
        <v>0</v>
      </c>
      <c r="M452" s="195">
        <f t="shared" ref="M452:M460" si="181">SUM(H452+L452)</f>
        <v>31461</v>
      </c>
      <c r="N452" s="195"/>
      <c r="O452" s="195">
        <f t="shared" ref="O452:O460" si="182">SUM(M452+N452)</f>
        <v>31461</v>
      </c>
    </row>
    <row r="453" spans="1:15" s="168" customFormat="1" ht="31.5" x14ac:dyDescent="0.25">
      <c r="A453" s="177"/>
      <c r="B453" s="530" t="s">
        <v>1252</v>
      </c>
      <c r="C453" s="224">
        <v>102</v>
      </c>
      <c r="D453" s="225">
        <v>18</v>
      </c>
      <c r="E453" s="199"/>
      <c r="F453" s="226"/>
      <c r="G453" s="227"/>
      <c r="H453" s="228">
        <f t="shared" si="179"/>
        <v>120</v>
      </c>
      <c r="I453" s="218"/>
      <c r="J453" s="200"/>
      <c r="K453" s="229"/>
      <c r="L453" s="196">
        <f t="shared" si="180"/>
        <v>0</v>
      </c>
      <c r="M453" s="195">
        <f t="shared" si="181"/>
        <v>120</v>
      </c>
      <c r="N453" s="195"/>
      <c r="O453" s="195">
        <f t="shared" si="182"/>
        <v>120</v>
      </c>
    </row>
    <row r="454" spans="1:15" s="168" customFormat="1" ht="31.5" x14ac:dyDescent="0.25">
      <c r="A454" s="177"/>
      <c r="B454" s="530" t="s">
        <v>1216</v>
      </c>
      <c r="C454" s="224">
        <v>6848</v>
      </c>
      <c r="D454" s="225">
        <v>1199</v>
      </c>
      <c r="E454" s="199"/>
      <c r="F454" s="226"/>
      <c r="G454" s="227"/>
      <c r="H454" s="228">
        <f t="shared" si="179"/>
        <v>8047</v>
      </c>
      <c r="I454" s="218"/>
      <c r="J454" s="200"/>
      <c r="K454" s="229"/>
      <c r="L454" s="196">
        <f t="shared" si="180"/>
        <v>0</v>
      </c>
      <c r="M454" s="195">
        <f t="shared" si="181"/>
        <v>8047</v>
      </c>
      <c r="N454" s="195"/>
      <c r="O454" s="195">
        <f t="shared" si="182"/>
        <v>8047</v>
      </c>
    </row>
    <row r="455" spans="1:15" s="168" customFormat="1" ht="31.5" x14ac:dyDescent="0.25">
      <c r="A455" s="177"/>
      <c r="B455" s="530" t="s">
        <v>1198</v>
      </c>
      <c r="C455" s="224"/>
      <c r="D455" s="225">
        <v>-2141</v>
      </c>
      <c r="E455" s="199"/>
      <c r="F455" s="226"/>
      <c r="G455" s="227"/>
      <c r="H455" s="228">
        <f t="shared" si="179"/>
        <v>-2141</v>
      </c>
      <c r="I455" s="218"/>
      <c r="J455" s="200"/>
      <c r="K455" s="229"/>
      <c r="L455" s="196">
        <f t="shared" si="180"/>
        <v>0</v>
      </c>
      <c r="M455" s="195">
        <f t="shared" si="181"/>
        <v>-2141</v>
      </c>
      <c r="N455" s="195"/>
      <c r="O455" s="195">
        <f t="shared" si="182"/>
        <v>-2141</v>
      </c>
    </row>
    <row r="456" spans="1:15" s="168" customFormat="1" x14ac:dyDescent="0.25">
      <c r="A456" s="177"/>
      <c r="B456" s="530" t="s">
        <v>1199</v>
      </c>
      <c r="C456" s="224">
        <v>-2024</v>
      </c>
      <c r="D456" s="225">
        <v>-354</v>
      </c>
      <c r="E456" s="199"/>
      <c r="F456" s="226"/>
      <c r="G456" s="227"/>
      <c r="H456" s="228">
        <f t="shared" si="179"/>
        <v>-2378</v>
      </c>
      <c r="I456" s="218"/>
      <c r="J456" s="200"/>
      <c r="K456" s="229"/>
      <c r="L456" s="196">
        <f t="shared" si="180"/>
        <v>0</v>
      </c>
      <c r="M456" s="195">
        <f t="shared" si="181"/>
        <v>-2378</v>
      </c>
      <c r="N456" s="195"/>
      <c r="O456" s="195">
        <f t="shared" si="182"/>
        <v>-2378</v>
      </c>
    </row>
    <row r="457" spans="1:15" s="168" customFormat="1" ht="31.5" x14ac:dyDescent="0.25">
      <c r="A457" s="186"/>
      <c r="B457" s="523" t="s">
        <v>1218</v>
      </c>
      <c r="C457" s="201">
        <v>20</v>
      </c>
      <c r="D457" s="199">
        <v>3</v>
      </c>
      <c r="E457" s="199">
        <v>11895</v>
      </c>
      <c r="F457" s="200"/>
      <c r="G457" s="229"/>
      <c r="H457" s="228">
        <f t="shared" si="179"/>
        <v>11918</v>
      </c>
      <c r="I457" s="218">
        <v>572</v>
      </c>
      <c r="J457" s="200"/>
      <c r="K457" s="229"/>
      <c r="L457" s="196">
        <f t="shared" si="180"/>
        <v>572</v>
      </c>
      <c r="M457" s="196">
        <f t="shared" si="181"/>
        <v>12490</v>
      </c>
      <c r="N457" s="196"/>
      <c r="O457" s="196">
        <f t="shared" si="182"/>
        <v>12490</v>
      </c>
    </row>
    <row r="458" spans="1:15" s="168" customFormat="1" ht="31.5" x14ac:dyDescent="0.25">
      <c r="A458" s="186"/>
      <c r="B458" s="523" t="s">
        <v>584</v>
      </c>
      <c r="C458" s="201"/>
      <c r="D458" s="199"/>
      <c r="E458" s="199">
        <v>-2887</v>
      </c>
      <c r="F458" s="200"/>
      <c r="G458" s="229"/>
      <c r="H458" s="228">
        <f t="shared" si="179"/>
        <v>-2887</v>
      </c>
      <c r="I458" s="218">
        <v>2887</v>
      </c>
      <c r="J458" s="200"/>
      <c r="K458" s="229"/>
      <c r="L458" s="196">
        <f t="shared" si="180"/>
        <v>2887</v>
      </c>
      <c r="M458" s="196">
        <f t="shared" si="181"/>
        <v>0</v>
      </c>
      <c r="N458" s="196"/>
      <c r="O458" s="196">
        <f t="shared" si="182"/>
        <v>0</v>
      </c>
    </row>
    <row r="459" spans="1:15" s="168" customFormat="1" x14ac:dyDescent="0.25">
      <c r="A459" s="177"/>
      <c r="B459" s="530" t="s">
        <v>1201</v>
      </c>
      <c r="C459" s="224"/>
      <c r="D459" s="225"/>
      <c r="E459" s="199">
        <v>-6689</v>
      </c>
      <c r="F459" s="226"/>
      <c r="G459" s="227"/>
      <c r="H459" s="228">
        <f t="shared" si="179"/>
        <v>-6689</v>
      </c>
      <c r="I459" s="218"/>
      <c r="J459" s="200"/>
      <c r="K459" s="229"/>
      <c r="L459" s="196">
        <f t="shared" si="180"/>
        <v>0</v>
      </c>
      <c r="M459" s="195">
        <f t="shared" si="181"/>
        <v>-6689</v>
      </c>
      <c r="N459" s="195"/>
      <c r="O459" s="195">
        <f t="shared" si="182"/>
        <v>-6689</v>
      </c>
    </row>
    <row r="460" spans="1:15" s="168" customFormat="1" x14ac:dyDescent="0.25">
      <c r="A460" s="177"/>
      <c r="B460" s="530" t="s">
        <v>1219</v>
      </c>
      <c r="C460" s="224"/>
      <c r="D460" s="225"/>
      <c r="E460" s="199">
        <v>2100</v>
      </c>
      <c r="F460" s="226"/>
      <c r="G460" s="227"/>
      <c r="H460" s="228">
        <f t="shared" si="179"/>
        <v>2100</v>
      </c>
      <c r="I460" s="218"/>
      <c r="J460" s="200"/>
      <c r="K460" s="229"/>
      <c r="L460" s="196">
        <f t="shared" si="180"/>
        <v>0</v>
      </c>
      <c r="M460" s="195">
        <f t="shared" si="181"/>
        <v>2100</v>
      </c>
      <c r="N460" s="195"/>
      <c r="O460" s="195">
        <f t="shared" si="182"/>
        <v>2100</v>
      </c>
    </row>
    <row r="461" spans="1:15" s="168" customFormat="1" x14ac:dyDescent="0.25">
      <c r="A461" s="177"/>
      <c r="B461" s="165" t="s">
        <v>133</v>
      </c>
      <c r="C461" s="224"/>
      <c r="D461" s="225"/>
      <c r="E461" s="199"/>
      <c r="F461" s="226"/>
      <c r="G461" s="227"/>
      <c r="H461" s="228"/>
      <c r="I461" s="218"/>
      <c r="J461" s="200"/>
      <c r="K461" s="229"/>
      <c r="L461" s="196"/>
      <c r="M461" s="195"/>
      <c r="N461" s="195"/>
      <c r="O461" s="195"/>
    </row>
    <row r="462" spans="1:15" s="168" customFormat="1" ht="85.5" customHeight="1" x14ac:dyDescent="0.25">
      <c r="A462" s="177"/>
      <c r="B462" s="530" t="s">
        <v>1259</v>
      </c>
      <c r="C462" s="224"/>
      <c r="D462" s="225"/>
      <c r="E462" s="199">
        <v>50</v>
      </c>
      <c r="F462" s="226"/>
      <c r="G462" s="227"/>
      <c r="H462" s="228">
        <f>SUM(C462:G462)</f>
        <v>50</v>
      </c>
      <c r="I462" s="218"/>
      <c r="J462" s="200"/>
      <c r="K462" s="229"/>
      <c r="L462" s="196">
        <f>SUM(I462:K462)</f>
        <v>0</v>
      </c>
      <c r="M462" s="195">
        <f>SUM(H462+L462)</f>
        <v>50</v>
      </c>
      <c r="N462" s="195"/>
      <c r="O462" s="195">
        <f>SUM(M462+N462)</f>
        <v>50</v>
      </c>
    </row>
    <row r="463" spans="1:15" s="168" customFormat="1" ht="80.25" customHeight="1" x14ac:dyDescent="0.25">
      <c r="A463" s="177"/>
      <c r="B463" s="530" t="s">
        <v>1260</v>
      </c>
      <c r="C463" s="224"/>
      <c r="D463" s="225"/>
      <c r="E463" s="199">
        <v>150</v>
      </c>
      <c r="F463" s="226"/>
      <c r="G463" s="227"/>
      <c r="H463" s="228">
        <f>SUM(C463:G463)</f>
        <v>150</v>
      </c>
      <c r="I463" s="218"/>
      <c r="J463" s="200"/>
      <c r="K463" s="229"/>
      <c r="L463" s="196">
        <f>SUM(I463:K463)</f>
        <v>0</v>
      </c>
      <c r="M463" s="195">
        <f>SUM(H463+L463)</f>
        <v>150</v>
      </c>
      <c r="N463" s="195"/>
      <c r="O463" s="195">
        <f>SUM(M463+N463)</f>
        <v>150</v>
      </c>
    </row>
    <row r="464" spans="1:15" s="168" customFormat="1" x14ac:dyDescent="0.25">
      <c r="A464" s="177"/>
      <c r="B464" s="530" t="s">
        <v>1204</v>
      </c>
      <c r="C464" s="224">
        <v>3042</v>
      </c>
      <c r="D464" s="225">
        <v>987</v>
      </c>
      <c r="E464" s="199"/>
      <c r="F464" s="226"/>
      <c r="G464" s="227"/>
      <c r="H464" s="228">
        <f>SUM(C464:G464)</f>
        <v>4029</v>
      </c>
      <c r="I464" s="218"/>
      <c r="J464" s="200"/>
      <c r="K464" s="229"/>
      <c r="L464" s="196">
        <f>SUM(I464:K464)</f>
        <v>0</v>
      </c>
      <c r="M464" s="195">
        <f>SUM(H464+L464)</f>
        <v>4029</v>
      </c>
      <c r="N464" s="195"/>
      <c r="O464" s="195">
        <f>SUM(M464+N464)</f>
        <v>4029</v>
      </c>
    </row>
    <row r="465" spans="1:16" s="168" customFormat="1" ht="32.25" thickBot="1" x14ac:dyDescent="0.3">
      <c r="A465" s="177"/>
      <c r="B465" s="530" t="s">
        <v>1222</v>
      </c>
      <c r="C465" s="224"/>
      <c r="D465" s="225"/>
      <c r="E465" s="199">
        <v>650</v>
      </c>
      <c r="F465" s="226"/>
      <c r="G465" s="227"/>
      <c r="H465" s="228">
        <f>SUM(C465:G465)</f>
        <v>650</v>
      </c>
      <c r="I465" s="218"/>
      <c r="J465" s="200"/>
      <c r="K465" s="229"/>
      <c r="L465" s="196">
        <f>SUM(I465:K465)</f>
        <v>0</v>
      </c>
      <c r="M465" s="195">
        <f>SUM(H465+L465)</f>
        <v>650</v>
      </c>
      <c r="N465" s="195"/>
      <c r="O465" s="195">
        <f>SUM(M465+N465)</f>
        <v>650</v>
      </c>
    </row>
    <row r="466" spans="1:16" ht="17.25" thickTop="1" thickBot="1" x14ac:dyDescent="0.3">
      <c r="A466" s="157"/>
      <c r="B466" s="156" t="s">
        <v>381</v>
      </c>
      <c r="C466" s="155">
        <f t="shared" ref="C466:O466" si="183">+C448+C452+C453+C454+C462+C463+C464+C455+C456+C457+C465+C458+C459+C460</f>
        <v>268279</v>
      </c>
      <c r="D466" s="155">
        <f t="shared" si="183"/>
        <v>50690</v>
      </c>
      <c r="E466" s="155">
        <f t="shared" si="183"/>
        <v>97840</v>
      </c>
      <c r="F466" s="155">
        <f t="shared" si="183"/>
        <v>0</v>
      </c>
      <c r="G466" s="155">
        <f t="shared" si="183"/>
        <v>0</v>
      </c>
      <c r="H466" s="155">
        <f t="shared" si="183"/>
        <v>416809</v>
      </c>
      <c r="I466" s="155">
        <f t="shared" si="183"/>
        <v>13433</v>
      </c>
      <c r="J466" s="155">
        <f t="shared" si="183"/>
        <v>0</v>
      </c>
      <c r="K466" s="155">
        <f t="shared" si="183"/>
        <v>0</v>
      </c>
      <c r="L466" s="155">
        <f t="shared" si="183"/>
        <v>13433</v>
      </c>
      <c r="M466" s="155">
        <f t="shared" si="183"/>
        <v>430242</v>
      </c>
      <c r="N466" s="155">
        <f t="shared" si="183"/>
        <v>0</v>
      </c>
      <c r="O466" s="155">
        <f t="shared" si="183"/>
        <v>430242</v>
      </c>
      <c r="P466" s="150"/>
    </row>
    <row r="467" spans="1:16" ht="17.25" thickTop="1" thickBot="1" x14ac:dyDescent="0.3">
      <c r="A467" s="157"/>
      <c r="B467" s="156" t="s">
        <v>380</v>
      </c>
      <c r="C467" s="155">
        <f t="shared" ref="C467:O467" si="184">+C449+C452+C453+C454+C455+C456+C457+C458+C459+C460</f>
        <v>265237</v>
      </c>
      <c r="D467" s="155">
        <f t="shared" si="184"/>
        <v>49703</v>
      </c>
      <c r="E467" s="155">
        <f t="shared" si="184"/>
        <v>96990</v>
      </c>
      <c r="F467" s="155">
        <f t="shared" si="184"/>
        <v>0</v>
      </c>
      <c r="G467" s="155">
        <f t="shared" si="184"/>
        <v>0</v>
      </c>
      <c r="H467" s="155">
        <f t="shared" si="184"/>
        <v>411930</v>
      </c>
      <c r="I467" s="155">
        <f t="shared" si="184"/>
        <v>13433</v>
      </c>
      <c r="J467" s="155">
        <f t="shared" si="184"/>
        <v>0</v>
      </c>
      <c r="K467" s="155">
        <f t="shared" si="184"/>
        <v>0</v>
      </c>
      <c r="L467" s="155">
        <f t="shared" si="184"/>
        <v>13433</v>
      </c>
      <c r="M467" s="155">
        <f t="shared" si="184"/>
        <v>425363</v>
      </c>
      <c r="N467" s="155">
        <f t="shared" si="184"/>
        <v>0</v>
      </c>
      <c r="O467" s="155">
        <f t="shared" si="184"/>
        <v>425363</v>
      </c>
    </row>
    <row r="468" spans="1:16" ht="17.25" thickTop="1" thickBot="1" x14ac:dyDescent="0.3">
      <c r="A468" s="157"/>
      <c r="B468" s="156" t="s">
        <v>379</v>
      </c>
      <c r="C468" s="155">
        <f t="shared" ref="C468:O468" si="185">+C450+C462+C463+C464+C465</f>
        <v>3042</v>
      </c>
      <c r="D468" s="155">
        <f t="shared" si="185"/>
        <v>987</v>
      </c>
      <c r="E468" s="155">
        <f t="shared" si="185"/>
        <v>850</v>
      </c>
      <c r="F468" s="155">
        <f t="shared" si="185"/>
        <v>0</v>
      </c>
      <c r="G468" s="155">
        <f t="shared" si="185"/>
        <v>0</v>
      </c>
      <c r="H468" s="155">
        <f t="shared" si="185"/>
        <v>4879</v>
      </c>
      <c r="I468" s="155">
        <f t="shared" si="185"/>
        <v>0</v>
      </c>
      <c r="J468" s="155">
        <f t="shared" si="185"/>
        <v>0</v>
      </c>
      <c r="K468" s="155">
        <f t="shared" si="185"/>
        <v>0</v>
      </c>
      <c r="L468" s="155">
        <f t="shared" si="185"/>
        <v>0</v>
      </c>
      <c r="M468" s="155">
        <f t="shared" si="185"/>
        <v>4879</v>
      </c>
      <c r="N468" s="155">
        <f t="shared" si="185"/>
        <v>0</v>
      </c>
      <c r="O468" s="155">
        <f t="shared" si="185"/>
        <v>4879</v>
      </c>
    </row>
    <row r="469" spans="1:16" ht="16.5" thickTop="1" x14ac:dyDescent="0.25">
      <c r="A469" s="164" t="s">
        <v>17</v>
      </c>
      <c r="B469" s="533" t="s">
        <v>391</v>
      </c>
      <c r="C469" s="534"/>
      <c r="D469" s="535"/>
      <c r="E469" s="525"/>
      <c r="F469" s="537"/>
      <c r="G469" s="535"/>
      <c r="H469" s="527"/>
      <c r="I469" s="536"/>
      <c r="J469" s="537"/>
      <c r="K469" s="537"/>
      <c r="L469" s="527"/>
      <c r="M469" s="538"/>
      <c r="N469" s="538"/>
      <c r="O469" s="538"/>
    </row>
    <row r="470" spans="1:16" x14ac:dyDescent="0.25">
      <c r="A470" s="164"/>
      <c r="B470" s="530" t="s">
        <v>349</v>
      </c>
      <c r="C470" s="534">
        <f>SUM(C471:C472)</f>
        <v>393701</v>
      </c>
      <c r="D470" s="534">
        <f>SUM(D471:D472)</f>
        <v>76030</v>
      </c>
      <c r="E470" s="534">
        <f>SUM(E471:E472)</f>
        <v>360051</v>
      </c>
      <c r="F470" s="537"/>
      <c r="G470" s="535"/>
      <c r="H470" s="527">
        <f t="shared" ref="H470:H479" si="186">SUM(C470:G470)</f>
        <v>829782</v>
      </c>
      <c r="I470" s="528"/>
      <c r="J470" s="526"/>
      <c r="K470" s="526"/>
      <c r="L470" s="527">
        <f t="shared" ref="L470:L479" si="187">SUM(I470:K470)</f>
        <v>0</v>
      </c>
      <c r="M470" s="529">
        <f t="shared" ref="M470:M479" si="188">SUM(H470+L470)</f>
        <v>829782</v>
      </c>
      <c r="N470" s="529"/>
      <c r="O470" s="529">
        <f t="shared" ref="O470:O479" si="189">SUM(M470+N470)</f>
        <v>829782</v>
      </c>
      <c r="P470" s="150"/>
    </row>
    <row r="471" spans="1:16" s="168" customFormat="1" x14ac:dyDescent="0.25">
      <c r="A471" s="177"/>
      <c r="B471" s="165" t="s">
        <v>383</v>
      </c>
      <c r="C471" s="176">
        <v>393701</v>
      </c>
      <c r="D471" s="173">
        <v>76030</v>
      </c>
      <c r="E471" s="175">
        <v>360051</v>
      </c>
      <c r="F471" s="174"/>
      <c r="G471" s="173"/>
      <c r="H471" s="170">
        <f t="shared" si="186"/>
        <v>829782</v>
      </c>
      <c r="I471" s="172"/>
      <c r="J471" s="171"/>
      <c r="K471" s="171"/>
      <c r="L471" s="170">
        <f t="shared" si="187"/>
        <v>0</v>
      </c>
      <c r="M471" s="169">
        <f t="shared" si="188"/>
        <v>829782</v>
      </c>
      <c r="N471" s="169"/>
      <c r="O471" s="169">
        <f t="shared" si="189"/>
        <v>829782</v>
      </c>
    </row>
    <row r="472" spans="1:16" s="168" customFormat="1" x14ac:dyDescent="0.25">
      <c r="A472" s="180"/>
      <c r="B472" s="165" t="s">
        <v>382</v>
      </c>
      <c r="C472" s="183"/>
      <c r="D472" s="181"/>
      <c r="E472" s="178"/>
      <c r="F472" s="182"/>
      <c r="G472" s="181"/>
      <c r="H472" s="529">
        <f t="shared" si="186"/>
        <v>0</v>
      </c>
      <c r="I472" s="531"/>
      <c r="J472" s="532"/>
      <c r="K472" s="532"/>
      <c r="L472" s="529">
        <f t="shared" si="187"/>
        <v>0</v>
      </c>
      <c r="M472" s="529">
        <f t="shared" si="188"/>
        <v>0</v>
      </c>
      <c r="N472" s="529"/>
      <c r="O472" s="529">
        <f t="shared" si="189"/>
        <v>0</v>
      </c>
    </row>
    <row r="473" spans="1:16" s="168" customFormat="1" x14ac:dyDescent="0.25">
      <c r="A473" s="186"/>
      <c r="B473" s="166" t="s">
        <v>132</v>
      </c>
      <c r="C473" s="172"/>
      <c r="D473" s="175"/>
      <c r="E473" s="175"/>
      <c r="F473" s="175"/>
      <c r="G473" s="172"/>
      <c r="H473" s="529">
        <f t="shared" si="186"/>
        <v>0</v>
      </c>
      <c r="I473" s="528"/>
      <c r="J473" s="525"/>
      <c r="K473" s="528"/>
      <c r="L473" s="529">
        <f t="shared" si="187"/>
        <v>0</v>
      </c>
      <c r="M473" s="529">
        <f t="shared" si="188"/>
        <v>0</v>
      </c>
      <c r="N473" s="529"/>
      <c r="O473" s="529">
        <f t="shared" si="189"/>
        <v>0</v>
      </c>
    </row>
    <row r="474" spans="1:16" ht="33" customHeight="1" x14ac:dyDescent="0.25">
      <c r="A474" s="565"/>
      <c r="B474" s="530" t="s">
        <v>1196</v>
      </c>
      <c r="C474" s="218">
        <v>32011</v>
      </c>
      <c r="D474" s="199">
        <v>6219</v>
      </c>
      <c r="E474" s="199">
        <v>108939</v>
      </c>
      <c r="F474" s="199"/>
      <c r="G474" s="218"/>
      <c r="H474" s="195">
        <f t="shared" si="186"/>
        <v>147169</v>
      </c>
      <c r="I474" s="218">
        <v>11248</v>
      </c>
      <c r="J474" s="199">
        <v>1851</v>
      </c>
      <c r="K474" s="218"/>
      <c r="L474" s="195">
        <f t="shared" si="187"/>
        <v>13099</v>
      </c>
      <c r="M474" s="195">
        <f t="shared" si="188"/>
        <v>160268</v>
      </c>
      <c r="N474" s="195"/>
      <c r="O474" s="195">
        <f t="shared" si="189"/>
        <v>160268</v>
      </c>
    </row>
    <row r="475" spans="1:16" ht="31.5" x14ac:dyDescent="0.25">
      <c r="A475" s="565"/>
      <c r="B475" s="530" t="s">
        <v>1252</v>
      </c>
      <c r="C475" s="218">
        <v>46</v>
      </c>
      <c r="D475" s="199">
        <v>8</v>
      </c>
      <c r="E475" s="199"/>
      <c r="F475" s="199"/>
      <c r="G475" s="218"/>
      <c r="H475" s="195">
        <f t="shared" si="186"/>
        <v>54</v>
      </c>
      <c r="I475" s="218"/>
      <c r="J475" s="199"/>
      <c r="K475" s="218"/>
      <c r="L475" s="195">
        <f t="shared" si="187"/>
        <v>0</v>
      </c>
      <c r="M475" s="195">
        <f t="shared" si="188"/>
        <v>54</v>
      </c>
      <c r="N475" s="195"/>
      <c r="O475" s="195">
        <f t="shared" si="189"/>
        <v>54</v>
      </c>
    </row>
    <row r="476" spans="1:16" ht="31.5" x14ac:dyDescent="0.25">
      <c r="A476" s="565"/>
      <c r="B476" s="530" t="s">
        <v>1216</v>
      </c>
      <c r="C476" s="218">
        <v>7356</v>
      </c>
      <c r="D476" s="199">
        <v>1287</v>
      </c>
      <c r="E476" s="199"/>
      <c r="F476" s="199"/>
      <c r="G476" s="218"/>
      <c r="H476" s="195">
        <f t="shared" si="186"/>
        <v>8643</v>
      </c>
      <c r="I476" s="218"/>
      <c r="J476" s="199"/>
      <c r="K476" s="218"/>
      <c r="L476" s="195">
        <f t="shared" si="187"/>
        <v>0</v>
      </c>
      <c r="M476" s="195">
        <f t="shared" si="188"/>
        <v>8643</v>
      </c>
      <c r="N476" s="195"/>
      <c r="O476" s="195">
        <f t="shared" si="189"/>
        <v>8643</v>
      </c>
    </row>
    <row r="477" spans="1:16" ht="31.5" x14ac:dyDescent="0.25">
      <c r="A477" s="565"/>
      <c r="B477" s="530" t="s">
        <v>1198</v>
      </c>
      <c r="C477" s="218"/>
      <c r="D477" s="199">
        <v>-3383</v>
      </c>
      <c r="E477" s="199"/>
      <c r="F477" s="199"/>
      <c r="G477" s="218"/>
      <c r="H477" s="195">
        <f t="shared" si="186"/>
        <v>-3383</v>
      </c>
      <c r="I477" s="218"/>
      <c r="J477" s="199"/>
      <c r="K477" s="218"/>
      <c r="L477" s="195">
        <f t="shared" si="187"/>
        <v>0</v>
      </c>
      <c r="M477" s="195">
        <f t="shared" si="188"/>
        <v>-3383</v>
      </c>
      <c r="N477" s="195"/>
      <c r="O477" s="195">
        <f t="shared" si="189"/>
        <v>-3383</v>
      </c>
    </row>
    <row r="478" spans="1:16" ht="31.5" x14ac:dyDescent="0.25">
      <c r="A478" s="565"/>
      <c r="B478" s="530" t="s">
        <v>584</v>
      </c>
      <c r="C478" s="218"/>
      <c r="D478" s="199"/>
      <c r="E478" s="199">
        <v>-3552</v>
      </c>
      <c r="F478" s="199"/>
      <c r="G478" s="218"/>
      <c r="H478" s="195">
        <f t="shared" si="186"/>
        <v>-3552</v>
      </c>
      <c r="I478" s="218">
        <v>3552</v>
      </c>
      <c r="J478" s="199"/>
      <c r="K478" s="218"/>
      <c r="L478" s="195">
        <f t="shared" si="187"/>
        <v>3552</v>
      </c>
      <c r="M478" s="195">
        <f t="shared" si="188"/>
        <v>0</v>
      </c>
      <c r="N478" s="195"/>
      <c r="O478" s="195">
        <f t="shared" si="189"/>
        <v>0</v>
      </c>
    </row>
    <row r="479" spans="1:16" ht="48.75" customHeight="1" x14ac:dyDescent="0.25">
      <c r="A479" s="565"/>
      <c r="B479" s="523" t="s">
        <v>1319</v>
      </c>
      <c r="C479" s="218">
        <v>-1108</v>
      </c>
      <c r="D479" s="199">
        <v>-176</v>
      </c>
      <c r="E479" s="199">
        <v>-51526</v>
      </c>
      <c r="F479" s="199"/>
      <c r="G479" s="218"/>
      <c r="H479" s="196">
        <f t="shared" si="186"/>
        <v>-52810</v>
      </c>
      <c r="I479" s="218"/>
      <c r="J479" s="199"/>
      <c r="K479" s="218"/>
      <c r="L479" s="196">
        <f t="shared" si="187"/>
        <v>0</v>
      </c>
      <c r="M479" s="196">
        <f t="shared" si="188"/>
        <v>-52810</v>
      </c>
      <c r="N479" s="196"/>
      <c r="O479" s="196">
        <f t="shared" si="189"/>
        <v>-52810</v>
      </c>
    </row>
    <row r="480" spans="1:16" s="168" customFormat="1" x14ac:dyDescent="0.25">
      <c r="A480" s="186"/>
      <c r="B480" s="166" t="s">
        <v>133</v>
      </c>
      <c r="C480" s="172"/>
      <c r="D480" s="175"/>
      <c r="E480" s="175"/>
      <c r="F480" s="175"/>
      <c r="G480" s="172"/>
      <c r="H480" s="527"/>
      <c r="I480" s="528"/>
      <c r="J480" s="525"/>
      <c r="K480" s="528"/>
      <c r="L480" s="527"/>
      <c r="M480" s="527"/>
      <c r="N480" s="527"/>
      <c r="O480" s="527"/>
    </row>
    <row r="481" spans="1:16" x14ac:dyDescent="0.25">
      <c r="A481" s="565"/>
      <c r="B481" s="530" t="s">
        <v>1204</v>
      </c>
      <c r="C481" s="218">
        <v>4206</v>
      </c>
      <c r="D481" s="199">
        <v>1367</v>
      </c>
      <c r="E481" s="199"/>
      <c r="F481" s="199"/>
      <c r="G481" s="218"/>
      <c r="H481" s="195">
        <f>SUM(C481:G481)</f>
        <v>5573</v>
      </c>
      <c r="I481" s="218"/>
      <c r="J481" s="199"/>
      <c r="K481" s="218"/>
      <c r="L481" s="195">
        <f>SUM(I481:K481)</f>
        <v>0</v>
      </c>
      <c r="M481" s="195">
        <f>SUM(H481+L481)</f>
        <v>5573</v>
      </c>
      <c r="N481" s="195"/>
      <c r="O481" s="195">
        <f>SUM(M481+N481)</f>
        <v>5573</v>
      </c>
    </row>
    <row r="482" spans="1:16" ht="32.25" thickBot="1" x14ac:dyDescent="0.3">
      <c r="A482" s="565"/>
      <c r="B482" s="530" t="s">
        <v>1222</v>
      </c>
      <c r="C482" s="218"/>
      <c r="D482" s="199"/>
      <c r="E482" s="199">
        <v>15</v>
      </c>
      <c r="F482" s="199"/>
      <c r="G482" s="218"/>
      <c r="H482" s="195">
        <f>SUM(C482:G482)</f>
        <v>15</v>
      </c>
      <c r="I482" s="218"/>
      <c r="J482" s="199"/>
      <c r="K482" s="218"/>
      <c r="L482" s="195">
        <f>SUM(I482:K482)</f>
        <v>0</v>
      </c>
      <c r="M482" s="195">
        <f>SUM(H482+L482)</f>
        <v>15</v>
      </c>
      <c r="N482" s="195"/>
      <c r="O482" s="195">
        <f>SUM(M482+N482)</f>
        <v>15</v>
      </c>
    </row>
    <row r="483" spans="1:16" ht="17.25" thickTop="1" thickBot="1" x14ac:dyDescent="0.3">
      <c r="A483" s="157"/>
      <c r="B483" s="156" t="s">
        <v>381</v>
      </c>
      <c r="C483" s="155">
        <f>+C470+C474+C475+C476+C481+C482+C477+C478+C479</f>
        <v>436212</v>
      </c>
      <c r="D483" s="155">
        <f t="shared" ref="D483:O483" si="190">+D470+D474+D475+D476+D481+D482+D477+D478+D479</f>
        <v>81352</v>
      </c>
      <c r="E483" s="155">
        <f t="shared" si="190"/>
        <v>413927</v>
      </c>
      <c r="F483" s="155">
        <f t="shared" si="190"/>
        <v>0</v>
      </c>
      <c r="G483" s="155">
        <f t="shared" si="190"/>
        <v>0</v>
      </c>
      <c r="H483" s="155">
        <f t="shared" si="190"/>
        <v>931491</v>
      </c>
      <c r="I483" s="155">
        <f t="shared" si="190"/>
        <v>14800</v>
      </c>
      <c r="J483" s="155">
        <f t="shared" si="190"/>
        <v>1851</v>
      </c>
      <c r="K483" s="155">
        <f t="shared" si="190"/>
        <v>0</v>
      </c>
      <c r="L483" s="155">
        <f t="shared" si="190"/>
        <v>16651</v>
      </c>
      <c r="M483" s="155">
        <f t="shared" si="190"/>
        <v>948142</v>
      </c>
      <c r="N483" s="155">
        <f t="shared" si="190"/>
        <v>0</v>
      </c>
      <c r="O483" s="155">
        <f t="shared" si="190"/>
        <v>948142</v>
      </c>
      <c r="P483" s="150"/>
    </row>
    <row r="484" spans="1:16" ht="17.25" thickTop="1" thickBot="1" x14ac:dyDescent="0.3">
      <c r="A484" s="157"/>
      <c r="B484" s="156" t="s">
        <v>380</v>
      </c>
      <c r="C484" s="155">
        <f>+C471+C474+C475+C476+C477+C478+C479</f>
        <v>432006</v>
      </c>
      <c r="D484" s="155">
        <f t="shared" ref="D484:O484" si="191">+D471+D474+D475+D476+D477+D478+D479</f>
        <v>79985</v>
      </c>
      <c r="E484" s="155">
        <f t="shared" si="191"/>
        <v>413912</v>
      </c>
      <c r="F484" s="155">
        <f t="shared" si="191"/>
        <v>0</v>
      </c>
      <c r="G484" s="155">
        <f t="shared" si="191"/>
        <v>0</v>
      </c>
      <c r="H484" s="155">
        <f t="shared" si="191"/>
        <v>925903</v>
      </c>
      <c r="I484" s="155">
        <f t="shared" si="191"/>
        <v>14800</v>
      </c>
      <c r="J484" s="155">
        <f t="shared" si="191"/>
        <v>1851</v>
      </c>
      <c r="K484" s="155">
        <f t="shared" si="191"/>
        <v>0</v>
      </c>
      <c r="L484" s="155">
        <f t="shared" si="191"/>
        <v>16651</v>
      </c>
      <c r="M484" s="155">
        <f t="shared" si="191"/>
        <v>942554</v>
      </c>
      <c r="N484" s="155">
        <f t="shared" si="191"/>
        <v>0</v>
      </c>
      <c r="O484" s="155">
        <f t="shared" si="191"/>
        <v>942554</v>
      </c>
    </row>
    <row r="485" spans="1:16" ht="17.25" thickTop="1" thickBot="1" x14ac:dyDescent="0.3">
      <c r="A485" s="157"/>
      <c r="B485" s="156" t="s">
        <v>379</v>
      </c>
      <c r="C485" s="155">
        <f t="shared" ref="C485:O485" si="192">+C472+C481+C482</f>
        <v>4206</v>
      </c>
      <c r="D485" s="155">
        <f t="shared" si="192"/>
        <v>1367</v>
      </c>
      <c r="E485" s="155">
        <f t="shared" si="192"/>
        <v>15</v>
      </c>
      <c r="F485" s="155">
        <f t="shared" si="192"/>
        <v>0</v>
      </c>
      <c r="G485" s="155">
        <f t="shared" si="192"/>
        <v>0</v>
      </c>
      <c r="H485" s="155">
        <f t="shared" si="192"/>
        <v>5588</v>
      </c>
      <c r="I485" s="155">
        <f t="shared" si="192"/>
        <v>0</v>
      </c>
      <c r="J485" s="155">
        <f t="shared" si="192"/>
        <v>0</v>
      </c>
      <c r="K485" s="155">
        <f t="shared" si="192"/>
        <v>0</v>
      </c>
      <c r="L485" s="155">
        <f t="shared" si="192"/>
        <v>0</v>
      </c>
      <c r="M485" s="155">
        <f t="shared" si="192"/>
        <v>5588</v>
      </c>
      <c r="N485" s="155">
        <f t="shared" si="192"/>
        <v>0</v>
      </c>
      <c r="O485" s="155">
        <f t="shared" si="192"/>
        <v>5588</v>
      </c>
    </row>
    <row r="486" spans="1:16" ht="30.75" customHeight="1" thickTop="1" x14ac:dyDescent="0.25">
      <c r="A486" s="164" t="s">
        <v>18</v>
      </c>
      <c r="B486" s="533" t="s">
        <v>588</v>
      </c>
      <c r="C486" s="534"/>
      <c r="D486" s="535"/>
      <c r="E486" s="525"/>
      <c r="F486" s="537"/>
      <c r="G486" s="535"/>
      <c r="H486" s="527"/>
      <c r="I486" s="536"/>
      <c r="J486" s="537"/>
      <c r="K486" s="537"/>
      <c r="L486" s="527"/>
      <c r="M486" s="538"/>
      <c r="N486" s="538"/>
      <c r="O486" s="538"/>
    </row>
    <row r="487" spans="1:16" x14ac:dyDescent="0.25">
      <c r="A487" s="167"/>
      <c r="B487" s="523" t="s">
        <v>349</v>
      </c>
      <c r="C487" s="524">
        <f>SUM(C488)</f>
        <v>30469</v>
      </c>
      <c r="D487" s="524">
        <f>SUM(D488)</f>
        <v>5232</v>
      </c>
      <c r="E487" s="524">
        <f>SUM(E488)</f>
        <v>18344</v>
      </c>
      <c r="F487" s="526"/>
      <c r="G487" s="525"/>
      <c r="H487" s="527">
        <f>SUM(C487:G487)</f>
        <v>54045</v>
      </c>
      <c r="I487" s="528"/>
      <c r="J487" s="526"/>
      <c r="K487" s="526"/>
      <c r="L487" s="527">
        <f>SUM(I487:K487)</f>
        <v>0</v>
      </c>
      <c r="M487" s="529">
        <f>SUM(H487+L487)</f>
        <v>54045</v>
      </c>
      <c r="N487" s="529"/>
      <c r="O487" s="529">
        <f>SUM(M487+N487)</f>
        <v>54045</v>
      </c>
    </row>
    <row r="488" spans="1:16" s="168" customFormat="1" x14ac:dyDescent="0.25">
      <c r="A488" s="186"/>
      <c r="B488" s="165" t="s">
        <v>388</v>
      </c>
      <c r="C488" s="185">
        <v>30469</v>
      </c>
      <c r="D488" s="175">
        <v>5232</v>
      </c>
      <c r="E488" s="175">
        <v>18344</v>
      </c>
      <c r="F488" s="171"/>
      <c r="G488" s="184"/>
      <c r="H488" s="170">
        <f>SUM(C488:G488)</f>
        <v>54045</v>
      </c>
      <c r="I488" s="172"/>
      <c r="J488" s="171"/>
      <c r="K488" s="184"/>
      <c r="L488" s="196">
        <f>SUM(I488:K488)</f>
        <v>0</v>
      </c>
      <c r="M488" s="169">
        <f>SUM(H488+L488)</f>
        <v>54045</v>
      </c>
      <c r="N488" s="169"/>
      <c r="O488" s="169">
        <f>SUM(M488+N488)</f>
        <v>54045</v>
      </c>
    </row>
    <row r="489" spans="1:16" s="168" customFormat="1" x14ac:dyDescent="0.25">
      <c r="A489" s="186"/>
      <c r="B489" s="165" t="s">
        <v>133</v>
      </c>
      <c r="C489" s="185"/>
      <c r="D489" s="175"/>
      <c r="E489" s="175"/>
      <c r="F489" s="171"/>
      <c r="G489" s="184"/>
      <c r="H489" s="170"/>
      <c r="I489" s="172"/>
      <c r="J489" s="171"/>
      <c r="K489" s="184"/>
      <c r="L489" s="196"/>
      <c r="M489" s="169"/>
      <c r="N489" s="169"/>
      <c r="O489" s="169"/>
    </row>
    <row r="490" spans="1:16" s="168" customFormat="1" ht="33.75" customHeight="1" x14ac:dyDescent="0.25">
      <c r="A490" s="186"/>
      <c r="B490" s="530" t="s">
        <v>1196</v>
      </c>
      <c r="C490" s="201">
        <v>2260</v>
      </c>
      <c r="D490" s="199">
        <v>571</v>
      </c>
      <c r="E490" s="199"/>
      <c r="F490" s="200"/>
      <c r="G490" s="229"/>
      <c r="H490" s="196">
        <f t="shared" ref="H490:H495" si="193">SUM(C490:G490)</f>
        <v>2831</v>
      </c>
      <c r="I490" s="218"/>
      <c r="J490" s="200"/>
      <c r="K490" s="229"/>
      <c r="L490" s="196">
        <f t="shared" ref="L490:L495" si="194">SUM(I490:K490)</f>
        <v>0</v>
      </c>
      <c r="M490" s="195">
        <f t="shared" ref="M490:M495" si="195">SUM(H490+L490)</f>
        <v>2831</v>
      </c>
      <c r="N490" s="195"/>
      <c r="O490" s="195">
        <f t="shared" ref="O490:O495" si="196">SUM(M490+N490)</f>
        <v>2831</v>
      </c>
    </row>
    <row r="491" spans="1:16" s="168" customFormat="1" ht="31.5" x14ac:dyDescent="0.25">
      <c r="A491" s="186"/>
      <c r="B491" s="530" t="s">
        <v>1216</v>
      </c>
      <c r="C491" s="201">
        <v>434</v>
      </c>
      <c r="D491" s="199">
        <v>76</v>
      </c>
      <c r="E491" s="199"/>
      <c r="F491" s="200"/>
      <c r="G491" s="229"/>
      <c r="H491" s="196">
        <f t="shared" si="193"/>
        <v>510</v>
      </c>
      <c r="I491" s="218"/>
      <c r="J491" s="200"/>
      <c r="K491" s="229"/>
      <c r="L491" s="196">
        <f t="shared" si="194"/>
        <v>0</v>
      </c>
      <c r="M491" s="195">
        <f t="shared" si="195"/>
        <v>510</v>
      </c>
      <c r="N491" s="195"/>
      <c r="O491" s="195">
        <f t="shared" si="196"/>
        <v>510</v>
      </c>
    </row>
    <row r="492" spans="1:16" s="168" customFormat="1" x14ac:dyDescent="0.25">
      <c r="A492" s="186"/>
      <c r="B492" s="530" t="s">
        <v>1204</v>
      </c>
      <c r="C492" s="201">
        <v>168</v>
      </c>
      <c r="D492" s="199">
        <v>55</v>
      </c>
      <c r="E492" s="199"/>
      <c r="F492" s="200"/>
      <c r="G492" s="229"/>
      <c r="H492" s="196">
        <f t="shared" si="193"/>
        <v>223</v>
      </c>
      <c r="I492" s="218"/>
      <c r="J492" s="200"/>
      <c r="K492" s="229"/>
      <c r="L492" s="196">
        <f t="shared" si="194"/>
        <v>0</v>
      </c>
      <c r="M492" s="195">
        <f t="shared" si="195"/>
        <v>223</v>
      </c>
      <c r="N492" s="195"/>
      <c r="O492" s="195">
        <f t="shared" si="196"/>
        <v>223</v>
      </c>
    </row>
    <row r="493" spans="1:16" s="168" customFormat="1" ht="31.5" x14ac:dyDescent="0.25">
      <c r="A493" s="186"/>
      <c r="B493" s="530" t="s">
        <v>1198</v>
      </c>
      <c r="C493" s="201"/>
      <c r="D493" s="199">
        <v>-289</v>
      </c>
      <c r="E493" s="199"/>
      <c r="F493" s="200"/>
      <c r="G493" s="229"/>
      <c r="H493" s="196">
        <f t="shared" si="193"/>
        <v>-289</v>
      </c>
      <c r="I493" s="218"/>
      <c r="J493" s="200"/>
      <c r="K493" s="229"/>
      <c r="L493" s="196">
        <f t="shared" si="194"/>
        <v>0</v>
      </c>
      <c r="M493" s="195">
        <f t="shared" si="195"/>
        <v>-289</v>
      </c>
      <c r="N493" s="195"/>
      <c r="O493" s="195">
        <f t="shared" si="196"/>
        <v>-289</v>
      </c>
    </row>
    <row r="494" spans="1:16" s="168" customFormat="1" x14ac:dyDescent="0.25">
      <c r="A494" s="186"/>
      <c r="B494" s="530" t="s">
        <v>1199</v>
      </c>
      <c r="C494" s="201">
        <v>-270</v>
      </c>
      <c r="D494" s="199">
        <v>-47</v>
      </c>
      <c r="E494" s="199"/>
      <c r="F494" s="200"/>
      <c r="G494" s="229"/>
      <c r="H494" s="196">
        <f t="shared" si="193"/>
        <v>-317</v>
      </c>
      <c r="I494" s="218"/>
      <c r="J494" s="200"/>
      <c r="K494" s="229"/>
      <c r="L494" s="196">
        <f t="shared" si="194"/>
        <v>0</v>
      </c>
      <c r="M494" s="195">
        <f t="shared" si="195"/>
        <v>-317</v>
      </c>
      <c r="N494" s="195"/>
      <c r="O494" s="195">
        <f t="shared" si="196"/>
        <v>-317</v>
      </c>
    </row>
    <row r="495" spans="1:16" s="168" customFormat="1" ht="16.5" thickBot="1" x14ac:dyDescent="0.3">
      <c r="A495" s="186"/>
      <c r="B495" s="530" t="s">
        <v>1201</v>
      </c>
      <c r="C495" s="201">
        <v>-4909</v>
      </c>
      <c r="D495" s="199">
        <v>-859</v>
      </c>
      <c r="E495" s="199"/>
      <c r="F495" s="200"/>
      <c r="G495" s="229"/>
      <c r="H495" s="196">
        <f t="shared" si="193"/>
        <v>-5768</v>
      </c>
      <c r="I495" s="218"/>
      <c r="J495" s="200"/>
      <c r="K495" s="229"/>
      <c r="L495" s="196">
        <f t="shared" si="194"/>
        <v>0</v>
      </c>
      <c r="M495" s="195">
        <f t="shared" si="195"/>
        <v>-5768</v>
      </c>
      <c r="N495" s="195"/>
      <c r="O495" s="195">
        <f t="shared" si="196"/>
        <v>-5768</v>
      </c>
    </row>
    <row r="496" spans="1:16" ht="17.25" thickTop="1" thickBot="1" x14ac:dyDescent="0.3">
      <c r="A496" s="157"/>
      <c r="B496" s="156" t="s">
        <v>381</v>
      </c>
      <c r="C496" s="155">
        <f t="shared" ref="C496:O496" si="197">+C487+C490+C491+C492+C493+C494+C495</f>
        <v>28152</v>
      </c>
      <c r="D496" s="155">
        <f t="shared" si="197"/>
        <v>4739</v>
      </c>
      <c r="E496" s="155">
        <f t="shared" si="197"/>
        <v>18344</v>
      </c>
      <c r="F496" s="155">
        <f t="shared" si="197"/>
        <v>0</v>
      </c>
      <c r="G496" s="155">
        <f t="shared" si="197"/>
        <v>0</v>
      </c>
      <c r="H496" s="155">
        <f t="shared" si="197"/>
        <v>51235</v>
      </c>
      <c r="I496" s="155">
        <f t="shared" si="197"/>
        <v>0</v>
      </c>
      <c r="J496" s="155">
        <f t="shared" si="197"/>
        <v>0</v>
      </c>
      <c r="K496" s="155">
        <f t="shared" si="197"/>
        <v>0</v>
      </c>
      <c r="L496" s="155">
        <f t="shared" si="197"/>
        <v>0</v>
      </c>
      <c r="M496" s="155">
        <f t="shared" si="197"/>
        <v>51235</v>
      </c>
      <c r="N496" s="155">
        <f t="shared" si="197"/>
        <v>0</v>
      </c>
      <c r="O496" s="155">
        <f t="shared" si="197"/>
        <v>51235</v>
      </c>
    </row>
    <row r="497" spans="1:15" ht="17.25" thickTop="1" thickBot="1" x14ac:dyDescent="0.3">
      <c r="A497" s="157"/>
      <c r="B497" s="156" t="s">
        <v>387</v>
      </c>
      <c r="C497" s="155">
        <f t="shared" ref="C497:O497" si="198">+C488+C490+C491+C492+C493+C494+C495</f>
        <v>28152</v>
      </c>
      <c r="D497" s="155">
        <f t="shared" si="198"/>
        <v>4739</v>
      </c>
      <c r="E497" s="155">
        <f t="shared" si="198"/>
        <v>18344</v>
      </c>
      <c r="F497" s="155">
        <f t="shared" si="198"/>
        <v>0</v>
      </c>
      <c r="G497" s="155">
        <f t="shared" si="198"/>
        <v>0</v>
      </c>
      <c r="H497" s="155">
        <f t="shared" si="198"/>
        <v>51235</v>
      </c>
      <c r="I497" s="155">
        <f t="shared" si="198"/>
        <v>0</v>
      </c>
      <c r="J497" s="155">
        <f t="shared" si="198"/>
        <v>0</v>
      </c>
      <c r="K497" s="155">
        <f t="shared" si="198"/>
        <v>0</v>
      </c>
      <c r="L497" s="155">
        <f t="shared" si="198"/>
        <v>0</v>
      </c>
      <c r="M497" s="155">
        <f t="shared" si="198"/>
        <v>51235</v>
      </c>
      <c r="N497" s="155">
        <f t="shared" si="198"/>
        <v>0</v>
      </c>
      <c r="O497" s="155">
        <f t="shared" si="198"/>
        <v>51235</v>
      </c>
    </row>
    <row r="498" spans="1:15" ht="16.5" thickTop="1" x14ac:dyDescent="0.25">
      <c r="A498" s="164" t="s">
        <v>19</v>
      </c>
      <c r="B498" s="533" t="s">
        <v>390</v>
      </c>
      <c r="C498" s="534"/>
      <c r="D498" s="535"/>
      <c r="E498" s="525"/>
      <c r="F498" s="537"/>
      <c r="G498" s="535"/>
      <c r="H498" s="527"/>
      <c r="I498" s="536"/>
      <c r="J498" s="537"/>
      <c r="K498" s="537"/>
      <c r="L498" s="527"/>
      <c r="M498" s="538"/>
      <c r="N498" s="538"/>
      <c r="O498" s="538"/>
    </row>
    <row r="499" spans="1:15" x14ac:dyDescent="0.25">
      <c r="A499" s="167"/>
      <c r="B499" s="523" t="s">
        <v>349</v>
      </c>
      <c r="C499" s="524">
        <f>SUM(C500)</f>
        <v>173459</v>
      </c>
      <c r="D499" s="524">
        <f>SUM(D500)</f>
        <v>32787</v>
      </c>
      <c r="E499" s="524">
        <f>SUM(E500)</f>
        <v>129827</v>
      </c>
      <c r="F499" s="526"/>
      <c r="G499" s="525"/>
      <c r="H499" s="527">
        <f>SUM(C499:G499)</f>
        <v>336073</v>
      </c>
      <c r="I499" s="528"/>
      <c r="J499" s="526"/>
      <c r="K499" s="526">
        <f>SUM(K500)</f>
        <v>20000</v>
      </c>
      <c r="L499" s="527">
        <f>SUM(I499:K499)</f>
        <v>20000</v>
      </c>
      <c r="M499" s="529">
        <f>SUM(H499+L499)</f>
        <v>356073</v>
      </c>
      <c r="N499" s="529"/>
      <c r="O499" s="529">
        <f>SUM(M499+N499)</f>
        <v>356073</v>
      </c>
    </row>
    <row r="500" spans="1:15" s="168" customFormat="1" x14ac:dyDescent="0.25">
      <c r="A500" s="186"/>
      <c r="B500" s="165" t="s">
        <v>388</v>
      </c>
      <c r="C500" s="185">
        <v>173459</v>
      </c>
      <c r="D500" s="175">
        <v>32787</v>
      </c>
      <c r="E500" s="175">
        <v>129827</v>
      </c>
      <c r="F500" s="171"/>
      <c r="G500" s="184"/>
      <c r="H500" s="170">
        <f>SUM(C500:G500)</f>
        <v>336073</v>
      </c>
      <c r="I500" s="172"/>
      <c r="J500" s="171"/>
      <c r="K500" s="184">
        <v>20000</v>
      </c>
      <c r="L500" s="170">
        <f>SUM(I500:K500)</f>
        <v>20000</v>
      </c>
      <c r="M500" s="169">
        <f>SUM(H500+L500)</f>
        <v>356073</v>
      </c>
      <c r="N500" s="169"/>
      <c r="O500" s="169">
        <f>SUM(M500+N500)</f>
        <v>356073</v>
      </c>
    </row>
    <row r="501" spans="1:15" s="168" customFormat="1" x14ac:dyDescent="0.25">
      <c r="A501" s="186"/>
      <c r="B501" s="165" t="s">
        <v>133</v>
      </c>
      <c r="C501" s="185"/>
      <c r="D501" s="175"/>
      <c r="E501" s="175"/>
      <c r="F501" s="171"/>
      <c r="G501" s="184"/>
      <c r="H501" s="170"/>
      <c r="I501" s="172"/>
      <c r="J501" s="171"/>
      <c r="K501" s="184"/>
      <c r="L501" s="170"/>
      <c r="M501" s="169"/>
      <c r="N501" s="169"/>
      <c r="O501" s="169"/>
    </row>
    <row r="502" spans="1:15" s="168" customFormat="1" ht="35.25" customHeight="1" x14ac:dyDescent="0.25">
      <c r="A502" s="186"/>
      <c r="B502" s="530" t="s">
        <v>1196</v>
      </c>
      <c r="C502" s="201">
        <v>13380</v>
      </c>
      <c r="D502" s="199">
        <v>2993</v>
      </c>
      <c r="E502" s="199">
        <v>10600</v>
      </c>
      <c r="F502" s="200"/>
      <c r="G502" s="229"/>
      <c r="H502" s="196">
        <f t="shared" ref="H502:H510" si="199">SUM(C502:G502)</f>
        <v>26973</v>
      </c>
      <c r="I502" s="218"/>
      <c r="J502" s="200"/>
      <c r="K502" s="229">
        <v>2770</v>
      </c>
      <c r="L502" s="196">
        <f t="shared" ref="L502:L510" si="200">SUM(I502:K502)</f>
        <v>2770</v>
      </c>
      <c r="M502" s="195">
        <f t="shared" ref="M502:M510" si="201">SUM(H502+L502)</f>
        <v>29743</v>
      </c>
      <c r="N502" s="195"/>
      <c r="O502" s="195">
        <f t="shared" ref="O502:O510" si="202">SUM(M502+N502)</f>
        <v>29743</v>
      </c>
    </row>
    <row r="503" spans="1:15" s="168" customFormat="1" ht="31.5" x14ac:dyDescent="0.25">
      <c r="A503" s="186"/>
      <c r="B503" s="530" t="s">
        <v>1216</v>
      </c>
      <c r="C503" s="201">
        <v>3111</v>
      </c>
      <c r="D503" s="199">
        <v>545</v>
      </c>
      <c r="E503" s="199"/>
      <c r="F503" s="200"/>
      <c r="G503" s="229"/>
      <c r="H503" s="196">
        <f t="shared" si="199"/>
        <v>3656</v>
      </c>
      <c r="I503" s="218"/>
      <c r="J503" s="200"/>
      <c r="K503" s="229"/>
      <c r="L503" s="196">
        <f t="shared" si="200"/>
        <v>0</v>
      </c>
      <c r="M503" s="195">
        <f t="shared" si="201"/>
        <v>3656</v>
      </c>
      <c r="N503" s="195"/>
      <c r="O503" s="195">
        <f t="shared" si="202"/>
        <v>3656</v>
      </c>
    </row>
    <row r="504" spans="1:15" s="168" customFormat="1" x14ac:dyDescent="0.25">
      <c r="A504" s="186"/>
      <c r="B504" s="530" t="s">
        <v>1204</v>
      </c>
      <c r="C504" s="201">
        <v>1408</v>
      </c>
      <c r="D504" s="199">
        <v>458</v>
      </c>
      <c r="E504" s="199"/>
      <c r="F504" s="200"/>
      <c r="G504" s="229"/>
      <c r="H504" s="196">
        <f t="shared" si="199"/>
        <v>1866</v>
      </c>
      <c r="I504" s="218"/>
      <c r="J504" s="200"/>
      <c r="K504" s="229"/>
      <c r="L504" s="196">
        <f t="shared" si="200"/>
        <v>0</v>
      </c>
      <c r="M504" s="195">
        <f t="shared" si="201"/>
        <v>1866</v>
      </c>
      <c r="N504" s="195"/>
      <c r="O504" s="195">
        <f t="shared" si="202"/>
        <v>1866</v>
      </c>
    </row>
    <row r="505" spans="1:15" s="168" customFormat="1" ht="31.5" x14ac:dyDescent="0.25">
      <c r="A505" s="186"/>
      <c r="B505" s="530" t="s">
        <v>1198</v>
      </c>
      <c r="C505" s="201"/>
      <c r="D505" s="199">
        <v>-1196</v>
      </c>
      <c r="E505" s="199"/>
      <c r="F505" s="200"/>
      <c r="G505" s="229"/>
      <c r="H505" s="196">
        <f t="shared" si="199"/>
        <v>-1196</v>
      </c>
      <c r="I505" s="218"/>
      <c r="J505" s="200"/>
      <c r="K505" s="229"/>
      <c r="L505" s="196">
        <f t="shared" si="200"/>
        <v>0</v>
      </c>
      <c r="M505" s="195">
        <f t="shared" si="201"/>
        <v>-1196</v>
      </c>
      <c r="N505" s="195"/>
      <c r="O505" s="195">
        <f t="shared" si="202"/>
        <v>-1196</v>
      </c>
    </row>
    <row r="506" spans="1:15" s="168" customFormat="1" x14ac:dyDescent="0.25">
      <c r="A506" s="186"/>
      <c r="B506" s="530" t="s">
        <v>1199</v>
      </c>
      <c r="C506" s="201"/>
      <c r="D506" s="199"/>
      <c r="E506" s="199"/>
      <c r="F506" s="200"/>
      <c r="G506" s="229"/>
      <c r="H506" s="196">
        <f t="shared" si="199"/>
        <v>0</v>
      </c>
      <c r="I506" s="218"/>
      <c r="J506" s="200"/>
      <c r="K506" s="229"/>
      <c r="L506" s="196">
        <f t="shared" si="200"/>
        <v>0</v>
      </c>
      <c r="M506" s="195">
        <f t="shared" si="201"/>
        <v>0</v>
      </c>
      <c r="N506" s="195"/>
      <c r="O506" s="195">
        <f t="shared" si="202"/>
        <v>0</v>
      </c>
    </row>
    <row r="507" spans="1:15" s="168" customFormat="1" ht="31.5" x14ac:dyDescent="0.25">
      <c r="A507" s="186"/>
      <c r="B507" s="523" t="s">
        <v>584</v>
      </c>
      <c r="C507" s="201"/>
      <c r="D507" s="199"/>
      <c r="E507" s="199">
        <v>-3813</v>
      </c>
      <c r="F507" s="200"/>
      <c r="G507" s="229"/>
      <c r="H507" s="196">
        <f t="shared" si="199"/>
        <v>-3813</v>
      </c>
      <c r="I507" s="218">
        <v>3813</v>
      </c>
      <c r="J507" s="200"/>
      <c r="K507" s="229"/>
      <c r="L507" s="196">
        <f t="shared" si="200"/>
        <v>3813</v>
      </c>
      <c r="M507" s="196">
        <f t="shared" si="201"/>
        <v>0</v>
      </c>
      <c r="N507" s="196"/>
      <c r="O507" s="196">
        <f t="shared" si="202"/>
        <v>0</v>
      </c>
    </row>
    <row r="508" spans="1:15" s="168" customFormat="1" ht="31.5" x14ac:dyDescent="0.25">
      <c r="A508" s="186"/>
      <c r="B508" s="523" t="s">
        <v>1224</v>
      </c>
      <c r="C508" s="201"/>
      <c r="D508" s="199"/>
      <c r="E508" s="199">
        <v>20000</v>
      </c>
      <c r="F508" s="200"/>
      <c r="G508" s="229"/>
      <c r="H508" s="196">
        <f t="shared" si="199"/>
        <v>20000</v>
      </c>
      <c r="I508" s="218"/>
      <c r="J508" s="200"/>
      <c r="K508" s="229">
        <v>-20000</v>
      </c>
      <c r="L508" s="196">
        <f t="shared" si="200"/>
        <v>-20000</v>
      </c>
      <c r="M508" s="196">
        <f t="shared" si="201"/>
        <v>0</v>
      </c>
      <c r="N508" s="196"/>
      <c r="O508" s="196">
        <f t="shared" si="202"/>
        <v>0</v>
      </c>
    </row>
    <row r="509" spans="1:15" s="168" customFormat="1" ht="31.5" x14ac:dyDescent="0.25">
      <c r="A509" s="186"/>
      <c r="B509" s="530" t="s">
        <v>1222</v>
      </c>
      <c r="C509" s="201"/>
      <c r="D509" s="199"/>
      <c r="E509" s="199">
        <v>500</v>
      </c>
      <c r="F509" s="200"/>
      <c r="G509" s="229"/>
      <c r="H509" s="196">
        <f t="shared" si="199"/>
        <v>500</v>
      </c>
      <c r="I509" s="218"/>
      <c r="J509" s="200"/>
      <c r="K509" s="229"/>
      <c r="L509" s="196">
        <f t="shared" si="200"/>
        <v>0</v>
      </c>
      <c r="M509" s="195">
        <f t="shared" si="201"/>
        <v>500</v>
      </c>
      <c r="N509" s="195"/>
      <c r="O509" s="195">
        <f t="shared" si="202"/>
        <v>500</v>
      </c>
    </row>
    <row r="510" spans="1:15" s="168" customFormat="1" ht="51.75" customHeight="1" thickBot="1" x14ac:dyDescent="0.3">
      <c r="A510" s="186"/>
      <c r="B510" s="530" t="s">
        <v>1223</v>
      </c>
      <c r="C510" s="201">
        <v>-7876</v>
      </c>
      <c r="D510" s="199">
        <v>-1378</v>
      </c>
      <c r="E510" s="199">
        <v>-45168</v>
      </c>
      <c r="F510" s="200"/>
      <c r="G510" s="229"/>
      <c r="H510" s="196">
        <f t="shared" si="199"/>
        <v>-54422</v>
      </c>
      <c r="I510" s="218"/>
      <c r="J510" s="200"/>
      <c r="K510" s="229"/>
      <c r="L510" s="196">
        <f t="shared" si="200"/>
        <v>0</v>
      </c>
      <c r="M510" s="195">
        <f t="shared" si="201"/>
        <v>-54422</v>
      </c>
      <c r="N510" s="195"/>
      <c r="O510" s="195">
        <f t="shared" si="202"/>
        <v>-54422</v>
      </c>
    </row>
    <row r="511" spans="1:15" ht="17.25" thickTop="1" thickBot="1" x14ac:dyDescent="0.3">
      <c r="A511" s="157"/>
      <c r="B511" s="156" t="s">
        <v>381</v>
      </c>
      <c r="C511" s="155">
        <f t="shared" ref="C511:O511" si="203">+C499+C502+C503+C504+C505+C506+C507+C508+C509+C510</f>
        <v>183482</v>
      </c>
      <c r="D511" s="155">
        <f t="shared" si="203"/>
        <v>34209</v>
      </c>
      <c r="E511" s="155">
        <f t="shared" si="203"/>
        <v>111946</v>
      </c>
      <c r="F511" s="155">
        <f t="shared" si="203"/>
        <v>0</v>
      </c>
      <c r="G511" s="155">
        <f t="shared" si="203"/>
        <v>0</v>
      </c>
      <c r="H511" s="155">
        <f t="shared" si="203"/>
        <v>329637</v>
      </c>
      <c r="I511" s="155">
        <f t="shared" si="203"/>
        <v>3813</v>
      </c>
      <c r="J511" s="155">
        <f t="shared" si="203"/>
        <v>0</v>
      </c>
      <c r="K511" s="155">
        <f t="shared" si="203"/>
        <v>2770</v>
      </c>
      <c r="L511" s="155">
        <f t="shared" si="203"/>
        <v>6583</v>
      </c>
      <c r="M511" s="155">
        <f t="shared" si="203"/>
        <v>336220</v>
      </c>
      <c r="N511" s="155">
        <f t="shared" si="203"/>
        <v>0</v>
      </c>
      <c r="O511" s="155">
        <f t="shared" si="203"/>
        <v>336220</v>
      </c>
    </row>
    <row r="512" spans="1:15" ht="17.25" thickTop="1" thickBot="1" x14ac:dyDescent="0.3">
      <c r="A512" s="157"/>
      <c r="B512" s="156" t="s">
        <v>387</v>
      </c>
      <c r="C512" s="155">
        <f t="shared" ref="C512:O512" si="204">+C500+C502+C503+C504+C505+C506+C507+C508+C509+C510</f>
        <v>183482</v>
      </c>
      <c r="D512" s="155">
        <f t="shared" si="204"/>
        <v>34209</v>
      </c>
      <c r="E512" s="155">
        <f t="shared" si="204"/>
        <v>111946</v>
      </c>
      <c r="F512" s="155">
        <f t="shared" si="204"/>
        <v>0</v>
      </c>
      <c r="G512" s="155">
        <f t="shared" si="204"/>
        <v>0</v>
      </c>
      <c r="H512" s="155">
        <f t="shared" si="204"/>
        <v>329637</v>
      </c>
      <c r="I512" s="155">
        <f t="shared" si="204"/>
        <v>3813</v>
      </c>
      <c r="J512" s="155">
        <f t="shared" si="204"/>
        <v>0</v>
      </c>
      <c r="K512" s="155">
        <f t="shared" si="204"/>
        <v>2770</v>
      </c>
      <c r="L512" s="155">
        <f t="shared" si="204"/>
        <v>6583</v>
      </c>
      <c r="M512" s="155">
        <f t="shared" si="204"/>
        <v>336220</v>
      </c>
      <c r="N512" s="155">
        <f t="shared" si="204"/>
        <v>0</v>
      </c>
      <c r="O512" s="155">
        <f t="shared" si="204"/>
        <v>336220</v>
      </c>
    </row>
    <row r="513" spans="1:15" ht="16.5" thickTop="1" x14ac:dyDescent="0.25">
      <c r="A513" s="164" t="s">
        <v>20</v>
      </c>
      <c r="B513" s="533" t="s">
        <v>389</v>
      </c>
      <c r="C513" s="534"/>
      <c r="D513" s="535"/>
      <c r="E513" s="525"/>
      <c r="F513" s="537"/>
      <c r="G513" s="535"/>
      <c r="H513" s="527"/>
      <c r="I513" s="536"/>
      <c r="J513" s="537"/>
      <c r="K513" s="537"/>
      <c r="L513" s="527"/>
      <c r="M513" s="538"/>
      <c r="N513" s="538"/>
      <c r="O513" s="538"/>
    </row>
    <row r="514" spans="1:15" x14ac:dyDescent="0.25">
      <c r="A514" s="164"/>
      <c r="B514" s="530" t="s">
        <v>349</v>
      </c>
      <c r="C514" s="534">
        <f>SUM(C515)</f>
        <v>458941</v>
      </c>
      <c r="D514" s="534">
        <f>SUM(D515)</f>
        <v>85257</v>
      </c>
      <c r="E514" s="534">
        <f>SUM(E515)</f>
        <v>770076</v>
      </c>
      <c r="F514" s="537"/>
      <c r="G514" s="535"/>
      <c r="H514" s="527">
        <f>SUM(C514:G514)</f>
        <v>1314274</v>
      </c>
      <c r="I514" s="528"/>
      <c r="J514" s="526"/>
      <c r="K514" s="526"/>
      <c r="L514" s="527">
        <f>SUM(I514:K514)</f>
        <v>0</v>
      </c>
      <c r="M514" s="529">
        <f>SUM(H514+L514)</f>
        <v>1314274</v>
      </c>
      <c r="N514" s="529"/>
      <c r="O514" s="529">
        <f>SUM(M514+N514)</f>
        <v>1314274</v>
      </c>
    </row>
    <row r="515" spans="1:15" s="168" customFormat="1" x14ac:dyDescent="0.25">
      <c r="A515" s="180"/>
      <c r="B515" s="165" t="s">
        <v>388</v>
      </c>
      <c r="C515" s="183">
        <v>458941</v>
      </c>
      <c r="D515" s="181">
        <v>85257</v>
      </c>
      <c r="E515" s="178">
        <v>770076</v>
      </c>
      <c r="F515" s="182"/>
      <c r="G515" s="181"/>
      <c r="H515" s="170">
        <f>SUM(C515:G515)</f>
        <v>1314274</v>
      </c>
      <c r="I515" s="172"/>
      <c r="J515" s="171"/>
      <c r="K515" s="171"/>
      <c r="L515" s="170">
        <f>SUM(I515:K515)</f>
        <v>0</v>
      </c>
      <c r="M515" s="169">
        <f>SUM(H515+L515)</f>
        <v>1314274</v>
      </c>
      <c r="N515" s="169"/>
      <c r="O515" s="169">
        <f>SUM(M515+N515)</f>
        <v>1314274</v>
      </c>
    </row>
    <row r="516" spans="1:15" s="168" customFormat="1" x14ac:dyDescent="0.25">
      <c r="A516" s="186"/>
      <c r="B516" s="165" t="s">
        <v>133</v>
      </c>
      <c r="C516" s="185"/>
      <c r="D516" s="175"/>
      <c r="E516" s="175"/>
      <c r="F516" s="171"/>
      <c r="G516" s="184"/>
      <c r="H516" s="170"/>
      <c r="I516" s="172"/>
      <c r="J516" s="171"/>
      <c r="K516" s="184"/>
      <c r="L516" s="170"/>
      <c r="M516" s="169"/>
      <c r="N516" s="169"/>
      <c r="O516" s="169"/>
    </row>
    <row r="517" spans="1:15" s="168" customFormat="1" ht="30.75" customHeight="1" x14ac:dyDescent="0.25">
      <c r="A517" s="186"/>
      <c r="B517" s="530" t="s">
        <v>1196</v>
      </c>
      <c r="C517" s="201">
        <v>30906</v>
      </c>
      <c r="D517" s="199">
        <v>6119</v>
      </c>
      <c r="E517" s="199">
        <v>16296</v>
      </c>
      <c r="F517" s="200"/>
      <c r="G517" s="229"/>
      <c r="H517" s="196">
        <f t="shared" ref="H517:H525" si="205">SUM(C517:G517)</f>
        <v>53321</v>
      </c>
      <c r="I517" s="218"/>
      <c r="J517" s="200"/>
      <c r="K517" s="229"/>
      <c r="L517" s="196">
        <f t="shared" ref="L517:L525" si="206">SUM(I517:K517)</f>
        <v>0</v>
      </c>
      <c r="M517" s="195">
        <f t="shared" ref="M517:M525" si="207">SUM(H517+L517)</f>
        <v>53321</v>
      </c>
      <c r="N517" s="195"/>
      <c r="O517" s="195">
        <f t="shared" ref="O517:O525" si="208">SUM(M517+N517)</f>
        <v>53321</v>
      </c>
    </row>
    <row r="518" spans="1:15" s="168" customFormat="1" ht="31.5" x14ac:dyDescent="0.25">
      <c r="A518" s="186"/>
      <c r="B518" s="530" t="s">
        <v>1252</v>
      </c>
      <c r="C518" s="201">
        <v>111</v>
      </c>
      <c r="D518" s="199">
        <v>19</v>
      </c>
      <c r="E518" s="199"/>
      <c r="F518" s="200"/>
      <c r="G518" s="229"/>
      <c r="H518" s="196">
        <f t="shared" si="205"/>
        <v>130</v>
      </c>
      <c r="I518" s="218"/>
      <c r="J518" s="200"/>
      <c r="K518" s="229"/>
      <c r="L518" s="196">
        <f t="shared" si="206"/>
        <v>0</v>
      </c>
      <c r="M518" s="195">
        <f t="shared" si="207"/>
        <v>130</v>
      </c>
      <c r="N518" s="195"/>
      <c r="O518" s="195">
        <f t="shared" si="208"/>
        <v>130</v>
      </c>
    </row>
    <row r="519" spans="1:15" s="168" customFormat="1" ht="31.5" x14ac:dyDescent="0.25">
      <c r="A519" s="186"/>
      <c r="B519" s="530" t="s">
        <v>1216</v>
      </c>
      <c r="C519" s="201">
        <v>6667</v>
      </c>
      <c r="D519" s="199">
        <v>1167</v>
      </c>
      <c r="E519" s="199"/>
      <c r="F519" s="200"/>
      <c r="G519" s="229"/>
      <c r="H519" s="196">
        <f t="shared" si="205"/>
        <v>7834</v>
      </c>
      <c r="I519" s="218"/>
      <c r="J519" s="200"/>
      <c r="K519" s="229"/>
      <c r="L519" s="196">
        <f t="shared" si="206"/>
        <v>0</v>
      </c>
      <c r="M519" s="195">
        <f t="shared" si="207"/>
        <v>7834</v>
      </c>
      <c r="N519" s="195"/>
      <c r="O519" s="195">
        <f t="shared" si="208"/>
        <v>7834</v>
      </c>
    </row>
    <row r="520" spans="1:15" s="168" customFormat="1" x14ac:dyDescent="0.25">
      <c r="A520" s="186"/>
      <c r="B520" s="530" t="s">
        <v>1261</v>
      </c>
      <c r="C520" s="201">
        <v>5365</v>
      </c>
      <c r="D520" s="199">
        <v>1743</v>
      </c>
      <c r="E520" s="199"/>
      <c r="F520" s="200"/>
      <c r="G520" s="229"/>
      <c r="H520" s="196">
        <f t="shared" si="205"/>
        <v>7108</v>
      </c>
      <c r="I520" s="218"/>
      <c r="J520" s="200"/>
      <c r="K520" s="229"/>
      <c r="L520" s="196">
        <f t="shared" si="206"/>
        <v>0</v>
      </c>
      <c r="M520" s="195">
        <f t="shared" si="207"/>
        <v>7108</v>
      </c>
      <c r="N520" s="195"/>
      <c r="O520" s="195">
        <f t="shared" si="208"/>
        <v>7108</v>
      </c>
    </row>
    <row r="521" spans="1:15" s="168" customFormat="1" ht="31.5" x14ac:dyDescent="0.25">
      <c r="A521" s="186"/>
      <c r="B521" s="530" t="s">
        <v>1198</v>
      </c>
      <c r="C521" s="201"/>
      <c r="D521" s="199">
        <v>-3437</v>
      </c>
      <c r="E521" s="199"/>
      <c r="F521" s="200"/>
      <c r="G521" s="229"/>
      <c r="H521" s="196">
        <f t="shared" si="205"/>
        <v>-3437</v>
      </c>
      <c r="I521" s="218"/>
      <c r="J521" s="200"/>
      <c r="K521" s="229"/>
      <c r="L521" s="196">
        <f t="shared" si="206"/>
        <v>0</v>
      </c>
      <c r="M521" s="195">
        <f t="shared" si="207"/>
        <v>-3437</v>
      </c>
      <c r="N521" s="195"/>
      <c r="O521" s="195">
        <f t="shared" si="208"/>
        <v>-3437</v>
      </c>
    </row>
    <row r="522" spans="1:15" s="168" customFormat="1" ht="31.5" x14ac:dyDescent="0.25">
      <c r="A522" s="186"/>
      <c r="B522" s="530" t="s">
        <v>584</v>
      </c>
      <c r="C522" s="201"/>
      <c r="D522" s="199"/>
      <c r="E522" s="199">
        <v>-32250</v>
      </c>
      <c r="F522" s="200"/>
      <c r="G522" s="229"/>
      <c r="H522" s="196">
        <f t="shared" si="205"/>
        <v>-32250</v>
      </c>
      <c r="I522" s="218">
        <v>31573</v>
      </c>
      <c r="J522" s="200">
        <v>677</v>
      </c>
      <c r="K522" s="229"/>
      <c r="L522" s="196">
        <f t="shared" si="206"/>
        <v>32250</v>
      </c>
      <c r="M522" s="195">
        <f t="shared" si="207"/>
        <v>0</v>
      </c>
      <c r="N522" s="195"/>
      <c r="O522" s="195">
        <f t="shared" si="208"/>
        <v>0</v>
      </c>
    </row>
    <row r="523" spans="1:15" s="168" customFormat="1" ht="50.25" customHeight="1" x14ac:dyDescent="0.25">
      <c r="A523" s="186"/>
      <c r="B523" s="530" t="s">
        <v>1223</v>
      </c>
      <c r="C523" s="201"/>
      <c r="D523" s="199"/>
      <c r="E523" s="199">
        <v>-87461</v>
      </c>
      <c r="F523" s="200"/>
      <c r="G523" s="229"/>
      <c r="H523" s="196">
        <f t="shared" si="205"/>
        <v>-87461</v>
      </c>
      <c r="I523" s="218"/>
      <c r="J523" s="200"/>
      <c r="K523" s="229"/>
      <c r="L523" s="196">
        <f t="shared" si="206"/>
        <v>0</v>
      </c>
      <c r="M523" s="195">
        <f t="shared" si="207"/>
        <v>-87461</v>
      </c>
      <c r="N523" s="195"/>
      <c r="O523" s="195">
        <f t="shared" si="208"/>
        <v>-87461</v>
      </c>
    </row>
    <row r="524" spans="1:15" s="168" customFormat="1" ht="54" customHeight="1" x14ac:dyDescent="0.25">
      <c r="A524" s="186"/>
      <c r="B524" s="530" t="s">
        <v>1262</v>
      </c>
      <c r="C524" s="201">
        <v>51064</v>
      </c>
      <c r="D524" s="199">
        <v>8936</v>
      </c>
      <c r="E524" s="199">
        <v>1042</v>
      </c>
      <c r="F524" s="200"/>
      <c r="G524" s="229"/>
      <c r="H524" s="196">
        <f t="shared" si="205"/>
        <v>61042</v>
      </c>
      <c r="I524" s="218"/>
      <c r="J524" s="200"/>
      <c r="K524" s="229"/>
      <c r="L524" s="196">
        <f t="shared" si="206"/>
        <v>0</v>
      </c>
      <c r="M524" s="195">
        <f t="shared" si="207"/>
        <v>61042</v>
      </c>
      <c r="N524" s="195"/>
      <c r="O524" s="195">
        <f t="shared" si="208"/>
        <v>61042</v>
      </c>
    </row>
    <row r="525" spans="1:15" s="168" customFormat="1" ht="32.25" thickBot="1" x14ac:dyDescent="0.3">
      <c r="A525" s="186"/>
      <c r="B525" s="530" t="s">
        <v>1222</v>
      </c>
      <c r="C525" s="201"/>
      <c r="D525" s="199"/>
      <c r="E525" s="199">
        <v>500</v>
      </c>
      <c r="F525" s="200"/>
      <c r="G525" s="229"/>
      <c r="H525" s="196">
        <f t="shared" si="205"/>
        <v>500</v>
      </c>
      <c r="I525" s="218"/>
      <c r="J525" s="200"/>
      <c r="K525" s="229"/>
      <c r="L525" s="196">
        <f t="shared" si="206"/>
        <v>0</v>
      </c>
      <c r="M525" s="195">
        <f t="shared" si="207"/>
        <v>500</v>
      </c>
      <c r="N525" s="195"/>
      <c r="O525" s="195">
        <f t="shared" si="208"/>
        <v>500</v>
      </c>
    </row>
    <row r="526" spans="1:15" ht="17.25" thickTop="1" thickBot="1" x14ac:dyDescent="0.3">
      <c r="A526" s="157"/>
      <c r="B526" s="156" t="s">
        <v>381</v>
      </c>
      <c r="C526" s="155">
        <f>+C514+C517+C518+C519+C520+C521+C522+C524+C525+C523</f>
        <v>553054</v>
      </c>
      <c r="D526" s="155">
        <f t="shared" ref="D526:O526" si="209">+D514+D517+D518+D519+D520+D521+D522+D524+D525+D523</f>
        <v>99804</v>
      </c>
      <c r="E526" s="155">
        <f t="shared" si="209"/>
        <v>668203</v>
      </c>
      <c r="F526" s="155">
        <f t="shared" si="209"/>
        <v>0</v>
      </c>
      <c r="G526" s="155">
        <f t="shared" si="209"/>
        <v>0</v>
      </c>
      <c r="H526" s="155">
        <f t="shared" si="209"/>
        <v>1321061</v>
      </c>
      <c r="I526" s="155">
        <f t="shared" si="209"/>
        <v>31573</v>
      </c>
      <c r="J526" s="155">
        <f t="shared" si="209"/>
        <v>677</v>
      </c>
      <c r="K526" s="155">
        <f t="shared" si="209"/>
        <v>0</v>
      </c>
      <c r="L526" s="155">
        <f t="shared" si="209"/>
        <v>32250</v>
      </c>
      <c r="M526" s="155">
        <f t="shared" si="209"/>
        <v>1353311</v>
      </c>
      <c r="N526" s="155">
        <f t="shared" si="209"/>
        <v>0</v>
      </c>
      <c r="O526" s="155">
        <f t="shared" si="209"/>
        <v>1353311</v>
      </c>
    </row>
    <row r="527" spans="1:15" ht="17.25" thickTop="1" thickBot="1" x14ac:dyDescent="0.3">
      <c r="A527" s="157"/>
      <c r="B527" s="156" t="s">
        <v>387</v>
      </c>
      <c r="C527" s="155">
        <f>+C515+C517+C518+C519+C520+C521+C522+C524+C525+C523</f>
        <v>553054</v>
      </c>
      <c r="D527" s="155">
        <f t="shared" ref="D527:O527" si="210">+D515+D517+D518+D519+D520+D521+D522+D524+D525+D523</f>
        <v>99804</v>
      </c>
      <c r="E527" s="155">
        <f t="shared" si="210"/>
        <v>668203</v>
      </c>
      <c r="F527" s="155">
        <f t="shared" si="210"/>
        <v>0</v>
      </c>
      <c r="G527" s="155">
        <f t="shared" si="210"/>
        <v>0</v>
      </c>
      <c r="H527" s="155">
        <f t="shared" si="210"/>
        <v>1321061</v>
      </c>
      <c r="I527" s="155">
        <f t="shared" si="210"/>
        <v>31573</v>
      </c>
      <c r="J527" s="155">
        <f t="shared" si="210"/>
        <v>677</v>
      </c>
      <c r="K527" s="155">
        <f t="shared" si="210"/>
        <v>0</v>
      </c>
      <c r="L527" s="155">
        <f t="shared" si="210"/>
        <v>32250</v>
      </c>
      <c r="M527" s="155">
        <f t="shared" si="210"/>
        <v>1353311</v>
      </c>
      <c r="N527" s="155">
        <f t="shared" si="210"/>
        <v>0</v>
      </c>
      <c r="O527" s="155">
        <f t="shared" si="210"/>
        <v>1353311</v>
      </c>
    </row>
    <row r="528" spans="1:15" ht="16.5" thickTop="1" x14ac:dyDescent="0.25">
      <c r="A528" s="164" t="s">
        <v>21</v>
      </c>
      <c r="B528" s="533" t="s">
        <v>583</v>
      </c>
      <c r="C528" s="534"/>
      <c r="D528" s="535"/>
      <c r="E528" s="525"/>
      <c r="F528" s="537"/>
      <c r="G528" s="535"/>
      <c r="H528" s="527"/>
      <c r="I528" s="536"/>
      <c r="J528" s="537"/>
      <c r="K528" s="537"/>
      <c r="L528" s="527"/>
      <c r="M528" s="538"/>
      <c r="N528" s="538"/>
      <c r="O528" s="538"/>
    </row>
    <row r="529" spans="1:15" s="168" customFormat="1" x14ac:dyDescent="0.25">
      <c r="A529" s="186"/>
      <c r="B529" s="153" t="s">
        <v>349</v>
      </c>
      <c r="C529" s="201">
        <f>SUM(C530)</f>
        <v>102487</v>
      </c>
      <c r="D529" s="201">
        <f>SUM(D530)</f>
        <v>17612</v>
      </c>
      <c r="E529" s="201">
        <f>SUM(E530)</f>
        <v>136524</v>
      </c>
      <c r="F529" s="200"/>
      <c r="G529" s="229"/>
      <c r="H529" s="196">
        <f>SUM(C529:G529)</f>
        <v>256623</v>
      </c>
      <c r="I529" s="218"/>
      <c r="J529" s="200"/>
      <c r="K529" s="229"/>
      <c r="L529" s="196">
        <f>SUM(I529:K529)</f>
        <v>0</v>
      </c>
      <c r="M529" s="195">
        <f>SUM(H529+L529)</f>
        <v>256623</v>
      </c>
      <c r="N529" s="195"/>
      <c r="O529" s="195">
        <f>SUM(M529+N529)</f>
        <v>256623</v>
      </c>
    </row>
    <row r="530" spans="1:15" s="168" customFormat="1" x14ac:dyDescent="0.25">
      <c r="A530" s="180"/>
      <c r="B530" s="165" t="s">
        <v>683</v>
      </c>
      <c r="C530" s="183">
        <v>102487</v>
      </c>
      <c r="D530" s="181">
        <v>17612</v>
      </c>
      <c r="E530" s="178">
        <v>136524</v>
      </c>
      <c r="F530" s="182"/>
      <c r="G530" s="181"/>
      <c r="H530" s="170">
        <f>SUM(C530:G530)</f>
        <v>256623</v>
      </c>
      <c r="I530" s="172"/>
      <c r="J530" s="171"/>
      <c r="K530" s="171"/>
      <c r="L530" s="196">
        <f>SUM(I530:K530)</f>
        <v>0</v>
      </c>
      <c r="M530" s="169">
        <f>SUM(H530+L530)</f>
        <v>256623</v>
      </c>
      <c r="N530" s="169"/>
      <c r="O530" s="169">
        <f>SUM(M530+N530)</f>
        <v>256623</v>
      </c>
    </row>
    <row r="531" spans="1:15" s="168" customFormat="1" x14ac:dyDescent="0.25">
      <c r="A531" s="186"/>
      <c r="B531" s="166" t="s">
        <v>133</v>
      </c>
      <c r="C531" s="185"/>
      <c r="D531" s="175"/>
      <c r="E531" s="175"/>
      <c r="F531" s="171"/>
      <c r="G531" s="184"/>
      <c r="H531" s="170"/>
      <c r="I531" s="172"/>
      <c r="J531" s="171"/>
      <c r="K531" s="184"/>
      <c r="L531" s="196"/>
      <c r="M531" s="170"/>
      <c r="N531" s="170"/>
      <c r="O531" s="170"/>
    </row>
    <row r="532" spans="1:15" s="168" customFormat="1" ht="34.5" customHeight="1" x14ac:dyDescent="0.25">
      <c r="A532" s="186"/>
      <c r="B532" s="523" t="s">
        <v>1196</v>
      </c>
      <c r="C532" s="201">
        <v>7041</v>
      </c>
      <c r="D532" s="199">
        <v>1303</v>
      </c>
      <c r="E532" s="199">
        <v>7103</v>
      </c>
      <c r="F532" s="200"/>
      <c r="G532" s="229"/>
      <c r="H532" s="196">
        <f t="shared" ref="H532:H537" si="211">SUM(C532:G532)</f>
        <v>15447</v>
      </c>
      <c r="I532" s="218"/>
      <c r="J532" s="200"/>
      <c r="K532" s="229"/>
      <c r="L532" s="196">
        <f t="shared" ref="L532:L537" si="212">SUM(I532:K532)</f>
        <v>0</v>
      </c>
      <c r="M532" s="196">
        <f t="shared" ref="M532:M537" si="213">SUM(H532+L532)</f>
        <v>15447</v>
      </c>
      <c r="N532" s="196"/>
      <c r="O532" s="196">
        <f t="shared" ref="O532:O537" si="214">SUM(M532+N532)</f>
        <v>15447</v>
      </c>
    </row>
    <row r="533" spans="1:15" s="168" customFormat="1" ht="31.5" x14ac:dyDescent="0.25">
      <c r="A533" s="186"/>
      <c r="B533" s="530" t="s">
        <v>1216</v>
      </c>
      <c r="C533" s="201">
        <v>1024</v>
      </c>
      <c r="D533" s="199">
        <v>179</v>
      </c>
      <c r="E533" s="199"/>
      <c r="F533" s="200"/>
      <c r="G533" s="229"/>
      <c r="H533" s="196">
        <f t="shared" si="211"/>
        <v>1203</v>
      </c>
      <c r="I533" s="218"/>
      <c r="J533" s="200"/>
      <c r="K533" s="229"/>
      <c r="L533" s="196">
        <f t="shared" si="212"/>
        <v>0</v>
      </c>
      <c r="M533" s="195">
        <f t="shared" si="213"/>
        <v>1203</v>
      </c>
      <c r="N533" s="195"/>
      <c r="O533" s="195">
        <f t="shared" si="214"/>
        <v>1203</v>
      </c>
    </row>
    <row r="534" spans="1:15" s="168" customFormat="1" x14ac:dyDescent="0.25">
      <c r="A534" s="186"/>
      <c r="B534" s="530" t="s">
        <v>1204</v>
      </c>
      <c r="C534" s="201">
        <v>716</v>
      </c>
      <c r="D534" s="199">
        <v>234</v>
      </c>
      <c r="E534" s="199"/>
      <c r="F534" s="200"/>
      <c r="G534" s="229"/>
      <c r="H534" s="196">
        <f t="shared" si="211"/>
        <v>950</v>
      </c>
      <c r="I534" s="218"/>
      <c r="J534" s="200"/>
      <c r="K534" s="229"/>
      <c r="L534" s="196">
        <f t="shared" si="212"/>
        <v>0</v>
      </c>
      <c r="M534" s="195">
        <f t="shared" si="213"/>
        <v>950</v>
      </c>
      <c r="N534" s="195"/>
      <c r="O534" s="195">
        <f t="shared" si="214"/>
        <v>950</v>
      </c>
    </row>
    <row r="535" spans="1:15" s="168" customFormat="1" ht="31.5" x14ac:dyDescent="0.25">
      <c r="A535" s="186"/>
      <c r="B535" s="530" t="s">
        <v>1198</v>
      </c>
      <c r="C535" s="201"/>
      <c r="D535" s="199">
        <v>-809</v>
      </c>
      <c r="E535" s="199"/>
      <c r="F535" s="200"/>
      <c r="G535" s="229"/>
      <c r="H535" s="196">
        <f t="shared" si="211"/>
        <v>-809</v>
      </c>
      <c r="I535" s="218"/>
      <c r="J535" s="200"/>
      <c r="K535" s="229"/>
      <c r="L535" s="196">
        <f t="shared" si="212"/>
        <v>0</v>
      </c>
      <c r="M535" s="195">
        <f t="shared" si="213"/>
        <v>-809</v>
      </c>
      <c r="N535" s="195"/>
      <c r="O535" s="195">
        <f t="shared" si="214"/>
        <v>-809</v>
      </c>
    </row>
    <row r="536" spans="1:15" s="168" customFormat="1" ht="31.5" x14ac:dyDescent="0.25">
      <c r="A536" s="186"/>
      <c r="B536" s="530" t="s">
        <v>584</v>
      </c>
      <c r="C536" s="201"/>
      <c r="D536" s="199"/>
      <c r="E536" s="199">
        <v>-1400</v>
      </c>
      <c r="F536" s="200"/>
      <c r="G536" s="229"/>
      <c r="H536" s="196">
        <f t="shared" si="211"/>
        <v>-1400</v>
      </c>
      <c r="I536" s="218">
        <v>1400</v>
      </c>
      <c r="J536" s="200"/>
      <c r="K536" s="229"/>
      <c r="L536" s="196">
        <f t="shared" si="212"/>
        <v>1400</v>
      </c>
      <c r="M536" s="195">
        <f t="shared" si="213"/>
        <v>0</v>
      </c>
      <c r="N536" s="195"/>
      <c r="O536" s="195">
        <f t="shared" si="214"/>
        <v>0</v>
      </c>
    </row>
    <row r="537" spans="1:15" s="168" customFormat="1" ht="54" customHeight="1" thickBot="1" x14ac:dyDescent="0.3">
      <c r="A537" s="186"/>
      <c r="B537" s="530" t="s">
        <v>1223</v>
      </c>
      <c r="C537" s="201">
        <v>-917</v>
      </c>
      <c r="D537" s="199">
        <v>-687</v>
      </c>
      <c r="E537" s="199">
        <v>-21310</v>
      </c>
      <c r="F537" s="200"/>
      <c r="G537" s="229"/>
      <c r="H537" s="196">
        <f t="shared" si="211"/>
        <v>-22914</v>
      </c>
      <c r="I537" s="218"/>
      <c r="J537" s="200"/>
      <c r="K537" s="229"/>
      <c r="L537" s="196">
        <f t="shared" si="212"/>
        <v>0</v>
      </c>
      <c r="M537" s="195">
        <f t="shared" si="213"/>
        <v>-22914</v>
      </c>
      <c r="N537" s="195"/>
      <c r="O537" s="195">
        <f t="shared" si="214"/>
        <v>-22914</v>
      </c>
    </row>
    <row r="538" spans="1:15" ht="17.25" thickTop="1" thickBot="1" x14ac:dyDescent="0.3">
      <c r="A538" s="157"/>
      <c r="B538" s="156" t="s">
        <v>381</v>
      </c>
      <c r="C538" s="155">
        <f>+C529+C532+C533+C534+C535+C536+C537</f>
        <v>110351</v>
      </c>
      <c r="D538" s="155">
        <f t="shared" ref="D538:O538" si="215">+D529+D532+D533+D534+D535+D536+D537</f>
        <v>17832</v>
      </c>
      <c r="E538" s="155">
        <f t="shared" si="215"/>
        <v>120917</v>
      </c>
      <c r="F538" s="155">
        <f t="shared" si="215"/>
        <v>0</v>
      </c>
      <c r="G538" s="155">
        <f t="shared" si="215"/>
        <v>0</v>
      </c>
      <c r="H538" s="155">
        <f t="shared" si="215"/>
        <v>249100</v>
      </c>
      <c r="I538" s="155">
        <f t="shared" si="215"/>
        <v>1400</v>
      </c>
      <c r="J538" s="155">
        <f t="shared" si="215"/>
        <v>0</v>
      </c>
      <c r="K538" s="155">
        <f t="shared" si="215"/>
        <v>0</v>
      </c>
      <c r="L538" s="155">
        <f t="shared" si="215"/>
        <v>1400</v>
      </c>
      <c r="M538" s="155">
        <f t="shared" si="215"/>
        <v>250500</v>
      </c>
      <c r="N538" s="155">
        <f t="shared" si="215"/>
        <v>0</v>
      </c>
      <c r="O538" s="155">
        <f t="shared" si="215"/>
        <v>250500</v>
      </c>
    </row>
    <row r="539" spans="1:15" ht="17.25" thickTop="1" thickBot="1" x14ac:dyDescent="0.3">
      <c r="A539" s="157"/>
      <c r="B539" s="156" t="s">
        <v>387</v>
      </c>
      <c r="C539" s="155">
        <f>+C530+C532+C533+C534+C535+C536+C537</f>
        <v>110351</v>
      </c>
      <c r="D539" s="155">
        <f t="shared" ref="D539:O539" si="216">+D530+D532+D533+D534+D535+D536+D537</f>
        <v>17832</v>
      </c>
      <c r="E539" s="155">
        <f t="shared" si="216"/>
        <v>120917</v>
      </c>
      <c r="F539" s="155">
        <f t="shared" si="216"/>
        <v>0</v>
      </c>
      <c r="G539" s="155">
        <f t="shared" si="216"/>
        <v>0</v>
      </c>
      <c r="H539" s="155">
        <f t="shared" si="216"/>
        <v>249100</v>
      </c>
      <c r="I539" s="155">
        <f t="shared" si="216"/>
        <v>1400</v>
      </c>
      <c r="J539" s="155">
        <f t="shared" si="216"/>
        <v>0</v>
      </c>
      <c r="K539" s="155">
        <f t="shared" si="216"/>
        <v>0</v>
      </c>
      <c r="L539" s="155">
        <f t="shared" si="216"/>
        <v>1400</v>
      </c>
      <c r="M539" s="155">
        <f t="shared" si="216"/>
        <v>250500</v>
      </c>
      <c r="N539" s="155">
        <f t="shared" si="216"/>
        <v>0</v>
      </c>
      <c r="O539" s="155">
        <f t="shared" si="216"/>
        <v>250500</v>
      </c>
    </row>
    <row r="540" spans="1:15" ht="32.25" thickTop="1" x14ac:dyDescent="0.25">
      <c r="A540" s="164" t="s">
        <v>581</v>
      </c>
      <c r="B540" s="533" t="s">
        <v>825</v>
      </c>
      <c r="C540" s="566"/>
      <c r="D540" s="525"/>
      <c r="E540" s="525"/>
      <c r="F540" s="526"/>
      <c r="G540" s="535"/>
      <c r="H540" s="527"/>
      <c r="I540" s="536"/>
      <c r="J540" s="537"/>
      <c r="K540" s="537"/>
      <c r="L540" s="527"/>
      <c r="M540" s="538"/>
      <c r="N540" s="538"/>
      <c r="O540" s="538"/>
    </row>
    <row r="541" spans="1:15" x14ac:dyDescent="0.25">
      <c r="A541" s="164"/>
      <c r="B541" s="530" t="s">
        <v>349</v>
      </c>
      <c r="C541" s="566">
        <f>SUM(C542:C543)</f>
        <v>88488</v>
      </c>
      <c r="D541" s="566">
        <f>SUM(D542:D543)</f>
        <v>15642</v>
      </c>
      <c r="E541" s="566">
        <f>SUM(E542:E543)</f>
        <v>80977</v>
      </c>
      <c r="F541" s="526"/>
      <c r="G541" s="535"/>
      <c r="H541" s="527">
        <f>SUM(C541:G541)</f>
        <v>185107</v>
      </c>
      <c r="I541" s="528"/>
      <c r="J541" s="526"/>
      <c r="K541" s="526"/>
      <c r="L541" s="527">
        <f>SUM(I541:K541)</f>
        <v>0</v>
      </c>
      <c r="M541" s="529">
        <f>SUM(H541+L541)</f>
        <v>185107</v>
      </c>
      <c r="N541" s="529"/>
      <c r="O541" s="529">
        <f>SUM(M541+N541)</f>
        <v>185107</v>
      </c>
    </row>
    <row r="542" spans="1:15" s="168" customFormat="1" x14ac:dyDescent="0.25">
      <c r="A542" s="177"/>
      <c r="B542" s="165" t="s">
        <v>383</v>
      </c>
      <c r="C542" s="567">
        <v>88488</v>
      </c>
      <c r="D542" s="175">
        <v>15642</v>
      </c>
      <c r="E542" s="175">
        <v>80977</v>
      </c>
      <c r="F542" s="171"/>
      <c r="G542" s="173"/>
      <c r="H542" s="170">
        <f>SUM(C542:G542)</f>
        <v>185107</v>
      </c>
      <c r="I542" s="172"/>
      <c r="J542" s="171"/>
      <c r="K542" s="171"/>
      <c r="L542" s="170">
        <f>SUM(I542:K542)</f>
        <v>0</v>
      </c>
      <c r="M542" s="169">
        <f>SUM(H542+L542)</f>
        <v>185107</v>
      </c>
      <c r="N542" s="169"/>
      <c r="O542" s="169">
        <f>SUM(M542+N542)</f>
        <v>185107</v>
      </c>
    </row>
    <row r="543" spans="1:15" s="168" customFormat="1" x14ac:dyDescent="0.25">
      <c r="A543" s="177"/>
      <c r="B543" s="165" t="s">
        <v>382</v>
      </c>
      <c r="C543" s="567"/>
      <c r="D543" s="175"/>
      <c r="E543" s="175"/>
      <c r="F543" s="171"/>
      <c r="G543" s="173"/>
      <c r="H543" s="170">
        <f>SUM(C543:G543)</f>
        <v>0</v>
      </c>
      <c r="I543" s="172"/>
      <c r="J543" s="171"/>
      <c r="K543" s="171"/>
      <c r="L543" s="170">
        <f>SUM(I543:K543)</f>
        <v>0</v>
      </c>
      <c r="M543" s="169">
        <f>SUM(H543+L543)</f>
        <v>0</v>
      </c>
      <c r="N543" s="169"/>
      <c r="O543" s="169">
        <f>SUM(M543+N543)</f>
        <v>0</v>
      </c>
    </row>
    <row r="544" spans="1:15" s="168" customFormat="1" x14ac:dyDescent="0.25">
      <c r="A544" s="177"/>
      <c r="B544" s="165" t="s">
        <v>132</v>
      </c>
      <c r="C544" s="567"/>
      <c r="D544" s="175"/>
      <c r="E544" s="175"/>
      <c r="F544" s="171"/>
      <c r="G544" s="173"/>
      <c r="H544" s="170"/>
      <c r="I544" s="172"/>
      <c r="J544" s="171"/>
      <c r="K544" s="171"/>
      <c r="L544" s="170"/>
      <c r="M544" s="169"/>
      <c r="N544" s="169"/>
      <c r="O544" s="169"/>
    </row>
    <row r="545" spans="1:16" s="168" customFormat="1" ht="33" customHeight="1" x14ac:dyDescent="0.25">
      <c r="A545" s="177"/>
      <c r="B545" s="530" t="s">
        <v>1196</v>
      </c>
      <c r="C545" s="568">
        <v>7590</v>
      </c>
      <c r="D545" s="199">
        <v>1872</v>
      </c>
      <c r="E545" s="199">
        <v>8465</v>
      </c>
      <c r="F545" s="200"/>
      <c r="G545" s="225"/>
      <c r="H545" s="196">
        <f>SUM(C545:G545)</f>
        <v>17927</v>
      </c>
      <c r="I545" s="218"/>
      <c r="J545" s="200"/>
      <c r="K545" s="200"/>
      <c r="L545" s="196">
        <f>SUM(I545:K545)</f>
        <v>0</v>
      </c>
      <c r="M545" s="195">
        <f>SUM(H545+L545)</f>
        <v>17927</v>
      </c>
      <c r="N545" s="195"/>
      <c r="O545" s="195">
        <f>SUM(M545+N545)</f>
        <v>17927</v>
      </c>
    </row>
    <row r="546" spans="1:16" s="168" customFormat="1" ht="31.5" x14ac:dyDescent="0.25">
      <c r="A546" s="177"/>
      <c r="B546" s="530" t="s">
        <v>1216</v>
      </c>
      <c r="C546" s="568">
        <v>2046</v>
      </c>
      <c r="D546" s="199">
        <v>358</v>
      </c>
      <c r="E546" s="199"/>
      <c r="F546" s="200"/>
      <c r="G546" s="225"/>
      <c r="H546" s="196">
        <f>SUM(C546:G546)</f>
        <v>2404</v>
      </c>
      <c r="I546" s="218"/>
      <c r="J546" s="200"/>
      <c r="K546" s="200"/>
      <c r="L546" s="196">
        <f>SUM(I546:K546)</f>
        <v>0</v>
      </c>
      <c r="M546" s="195">
        <f>SUM(H546+L546)</f>
        <v>2404</v>
      </c>
      <c r="N546" s="195"/>
      <c r="O546" s="195">
        <f>SUM(M546+N546)</f>
        <v>2404</v>
      </c>
    </row>
    <row r="547" spans="1:16" s="168" customFormat="1" ht="31.5" x14ac:dyDescent="0.25">
      <c r="A547" s="177"/>
      <c r="B547" s="530" t="s">
        <v>1198</v>
      </c>
      <c r="C547" s="568"/>
      <c r="D547" s="199">
        <v>-797</v>
      </c>
      <c r="E547" s="199"/>
      <c r="F547" s="200"/>
      <c r="G547" s="225"/>
      <c r="H547" s="196">
        <f>SUM(C547:G547)</f>
        <v>-797</v>
      </c>
      <c r="I547" s="218"/>
      <c r="J547" s="200"/>
      <c r="K547" s="200"/>
      <c r="L547" s="196">
        <f>SUM(I547:K547)</f>
        <v>0</v>
      </c>
      <c r="M547" s="195">
        <f>SUM(H547+L547)</f>
        <v>-797</v>
      </c>
      <c r="N547" s="195"/>
      <c r="O547" s="195">
        <f>SUM(M547+N547)</f>
        <v>-797</v>
      </c>
    </row>
    <row r="548" spans="1:16" s="168" customFormat="1" ht="45.75" customHeight="1" x14ac:dyDescent="0.25">
      <c r="A548" s="177"/>
      <c r="B548" s="530" t="s">
        <v>1319</v>
      </c>
      <c r="C548" s="568">
        <v>-1102</v>
      </c>
      <c r="D548" s="199">
        <v>-242</v>
      </c>
      <c r="E548" s="199">
        <v>-15709</v>
      </c>
      <c r="F548" s="200"/>
      <c r="G548" s="225"/>
      <c r="H548" s="196">
        <f>SUM(C548:G548)</f>
        <v>-17053</v>
      </c>
      <c r="I548" s="218"/>
      <c r="J548" s="200"/>
      <c r="K548" s="200"/>
      <c r="L548" s="196">
        <f>SUM(I548:K548)</f>
        <v>0</v>
      </c>
      <c r="M548" s="195">
        <f>SUM(H548+L548)</f>
        <v>-17053</v>
      </c>
      <c r="N548" s="195"/>
      <c r="O548" s="195">
        <f>SUM(M548+N548)</f>
        <v>-17053</v>
      </c>
    </row>
    <row r="549" spans="1:16" s="168" customFormat="1" x14ac:dyDescent="0.25">
      <c r="A549" s="177"/>
      <c r="B549" s="165" t="s">
        <v>133</v>
      </c>
      <c r="C549" s="568"/>
      <c r="D549" s="199"/>
      <c r="E549" s="199"/>
      <c r="F549" s="200"/>
      <c r="G549" s="225"/>
      <c r="H549" s="196"/>
      <c r="I549" s="218"/>
      <c r="J549" s="200"/>
      <c r="K549" s="200"/>
      <c r="L549" s="196"/>
      <c r="M549" s="195"/>
      <c r="N549" s="195"/>
      <c r="O549" s="195"/>
    </row>
    <row r="550" spans="1:16" s="168" customFormat="1" ht="63" x14ac:dyDescent="0.25">
      <c r="A550" s="177"/>
      <c r="B550" s="530" t="s">
        <v>1227</v>
      </c>
      <c r="C550" s="568"/>
      <c r="D550" s="199"/>
      <c r="E550" s="199">
        <v>50</v>
      </c>
      <c r="F550" s="200"/>
      <c r="G550" s="225"/>
      <c r="H550" s="196">
        <f>SUM(C550:G550)</f>
        <v>50</v>
      </c>
      <c r="I550" s="218"/>
      <c r="J550" s="200"/>
      <c r="K550" s="200"/>
      <c r="L550" s="196">
        <f>SUM(I550:K550)</f>
        <v>0</v>
      </c>
      <c r="M550" s="195">
        <f>SUM(H550+L550)</f>
        <v>50</v>
      </c>
      <c r="N550" s="195"/>
      <c r="O550" s="195">
        <f>SUM(M550+N550)</f>
        <v>50</v>
      </c>
    </row>
    <row r="551" spans="1:16" s="168" customFormat="1" ht="63" x14ac:dyDescent="0.25">
      <c r="A551" s="177"/>
      <c r="B551" s="530" t="s">
        <v>1228</v>
      </c>
      <c r="C551" s="568"/>
      <c r="D551" s="199"/>
      <c r="E551" s="199">
        <v>100</v>
      </c>
      <c r="F551" s="200"/>
      <c r="G551" s="225"/>
      <c r="H551" s="196">
        <f>SUM(C551:G551)</f>
        <v>100</v>
      </c>
      <c r="I551" s="218"/>
      <c r="J551" s="200"/>
      <c r="K551" s="200"/>
      <c r="L551" s="196">
        <f>SUM(I551:K551)</f>
        <v>0</v>
      </c>
      <c r="M551" s="195">
        <f>SUM(H551+L551)</f>
        <v>100</v>
      </c>
      <c r="N551" s="195"/>
      <c r="O551" s="195">
        <f>SUM(M551+N551)</f>
        <v>100</v>
      </c>
    </row>
    <row r="552" spans="1:16" s="168" customFormat="1" x14ac:dyDescent="0.25">
      <c r="A552" s="186"/>
      <c r="B552" s="523" t="s">
        <v>1204</v>
      </c>
      <c r="C552" s="957">
        <v>1245</v>
      </c>
      <c r="D552" s="199">
        <v>405</v>
      </c>
      <c r="E552" s="199"/>
      <c r="F552" s="200"/>
      <c r="G552" s="199"/>
      <c r="H552" s="196">
        <f>SUM(C552:G552)</f>
        <v>1650</v>
      </c>
      <c r="I552" s="218"/>
      <c r="J552" s="200"/>
      <c r="K552" s="200"/>
      <c r="L552" s="196">
        <f>SUM(I552:K552)</f>
        <v>0</v>
      </c>
      <c r="M552" s="196">
        <f>SUM(H552+L552)</f>
        <v>1650</v>
      </c>
      <c r="N552" s="196"/>
      <c r="O552" s="196">
        <f>SUM(M552+N552)</f>
        <v>1650</v>
      </c>
    </row>
    <row r="553" spans="1:16" s="168" customFormat="1" ht="31.5" x14ac:dyDescent="0.25">
      <c r="A553" s="186"/>
      <c r="B553" s="523" t="s">
        <v>584</v>
      </c>
      <c r="C553" s="957"/>
      <c r="D553" s="199"/>
      <c r="E553" s="199">
        <v>-63</v>
      </c>
      <c r="F553" s="200"/>
      <c r="G553" s="199"/>
      <c r="H553" s="196">
        <f>SUM(C553:G553)</f>
        <v>-63</v>
      </c>
      <c r="I553" s="218">
        <v>63</v>
      </c>
      <c r="J553" s="200"/>
      <c r="K553" s="200"/>
      <c r="L553" s="196">
        <f>SUM(I553:K553)</f>
        <v>63</v>
      </c>
      <c r="M553" s="196">
        <f>SUM(H553+L553)</f>
        <v>0</v>
      </c>
      <c r="N553" s="196"/>
      <c r="O553" s="196">
        <f>SUM(M553+N553)</f>
        <v>0</v>
      </c>
    </row>
    <row r="554" spans="1:16" s="168" customFormat="1" ht="32.25" thickBot="1" x14ac:dyDescent="0.3">
      <c r="A554" s="177"/>
      <c r="B554" s="530" t="s">
        <v>1222</v>
      </c>
      <c r="C554" s="568"/>
      <c r="D554" s="199"/>
      <c r="E554" s="199">
        <v>300</v>
      </c>
      <c r="F554" s="200"/>
      <c r="G554" s="225"/>
      <c r="H554" s="196">
        <f>SUM(C554:G554)</f>
        <v>300</v>
      </c>
      <c r="I554" s="218"/>
      <c r="J554" s="200"/>
      <c r="K554" s="200"/>
      <c r="L554" s="196">
        <f>SUM(I554:K554)</f>
        <v>0</v>
      </c>
      <c r="M554" s="195">
        <f>SUM(H554+L554)</f>
        <v>300</v>
      </c>
      <c r="N554" s="195"/>
      <c r="O554" s="195">
        <f>SUM(M554+N554)</f>
        <v>300</v>
      </c>
    </row>
    <row r="555" spans="1:16" ht="17.25" thickTop="1" thickBot="1" x14ac:dyDescent="0.3">
      <c r="A555" s="157"/>
      <c r="B555" s="156" t="s">
        <v>381</v>
      </c>
      <c r="C555" s="155">
        <f>+C541+C545+C546+C550+C554+C553+C552+C551+C547+C548</f>
        <v>98267</v>
      </c>
      <c r="D555" s="155">
        <f t="shared" ref="D555:O555" si="217">+D541+D545+D546+D550+D554+D553+D552+D551+D547+D548</f>
        <v>17238</v>
      </c>
      <c r="E555" s="155">
        <f t="shared" si="217"/>
        <v>74120</v>
      </c>
      <c r="F555" s="155">
        <f t="shared" si="217"/>
        <v>0</v>
      </c>
      <c r="G555" s="155">
        <f t="shared" si="217"/>
        <v>0</v>
      </c>
      <c r="H555" s="155">
        <f t="shared" si="217"/>
        <v>189625</v>
      </c>
      <c r="I555" s="155">
        <f t="shared" si="217"/>
        <v>63</v>
      </c>
      <c r="J555" s="155">
        <f t="shared" si="217"/>
        <v>0</v>
      </c>
      <c r="K555" s="155">
        <f t="shared" si="217"/>
        <v>0</v>
      </c>
      <c r="L555" s="155">
        <f t="shared" si="217"/>
        <v>63</v>
      </c>
      <c r="M555" s="155">
        <f t="shared" si="217"/>
        <v>189688</v>
      </c>
      <c r="N555" s="155">
        <f t="shared" si="217"/>
        <v>0</v>
      </c>
      <c r="O555" s="155">
        <f t="shared" si="217"/>
        <v>189688</v>
      </c>
      <c r="P555" s="150"/>
    </row>
    <row r="556" spans="1:16" ht="17.25" thickTop="1" thickBot="1" x14ac:dyDescent="0.3">
      <c r="A556" s="157"/>
      <c r="B556" s="156" t="s">
        <v>380</v>
      </c>
      <c r="C556" s="155">
        <f>+C542+C545+C546+C547+C548</f>
        <v>97022</v>
      </c>
      <c r="D556" s="155">
        <f t="shared" ref="D556:O556" si="218">+D542+D545+D546+D547+D548</f>
        <v>16833</v>
      </c>
      <c r="E556" s="155">
        <f t="shared" si="218"/>
        <v>73733</v>
      </c>
      <c r="F556" s="155">
        <f t="shared" si="218"/>
        <v>0</v>
      </c>
      <c r="G556" s="155">
        <f t="shared" si="218"/>
        <v>0</v>
      </c>
      <c r="H556" s="155">
        <f t="shared" si="218"/>
        <v>187588</v>
      </c>
      <c r="I556" s="155">
        <f t="shared" si="218"/>
        <v>0</v>
      </c>
      <c r="J556" s="155">
        <f t="shared" si="218"/>
        <v>0</v>
      </c>
      <c r="K556" s="155">
        <f t="shared" si="218"/>
        <v>0</v>
      </c>
      <c r="L556" s="155">
        <f t="shared" si="218"/>
        <v>0</v>
      </c>
      <c r="M556" s="155">
        <f t="shared" si="218"/>
        <v>187588</v>
      </c>
      <c r="N556" s="155">
        <f t="shared" si="218"/>
        <v>0</v>
      </c>
      <c r="O556" s="155">
        <f t="shared" si="218"/>
        <v>187588</v>
      </c>
    </row>
    <row r="557" spans="1:16" ht="17.25" thickTop="1" thickBot="1" x14ac:dyDescent="0.3">
      <c r="A557" s="157"/>
      <c r="B557" s="156" t="s">
        <v>379</v>
      </c>
      <c r="C557" s="155">
        <f t="shared" ref="C557:O557" si="219">+C543+C550+C551+C552+C553+C554</f>
        <v>1245</v>
      </c>
      <c r="D557" s="155">
        <f t="shared" si="219"/>
        <v>405</v>
      </c>
      <c r="E557" s="155">
        <f t="shared" si="219"/>
        <v>387</v>
      </c>
      <c r="F557" s="155">
        <f t="shared" si="219"/>
        <v>0</v>
      </c>
      <c r="G557" s="155">
        <f t="shared" si="219"/>
        <v>0</v>
      </c>
      <c r="H557" s="155">
        <f t="shared" si="219"/>
        <v>2037</v>
      </c>
      <c r="I557" s="155">
        <f t="shared" si="219"/>
        <v>63</v>
      </c>
      <c r="J557" s="155">
        <f t="shared" si="219"/>
        <v>0</v>
      </c>
      <c r="K557" s="155">
        <f t="shared" si="219"/>
        <v>0</v>
      </c>
      <c r="L557" s="155">
        <f t="shared" si="219"/>
        <v>63</v>
      </c>
      <c r="M557" s="155">
        <f t="shared" si="219"/>
        <v>2100</v>
      </c>
      <c r="N557" s="155">
        <f t="shared" si="219"/>
        <v>0</v>
      </c>
      <c r="O557" s="155">
        <f t="shared" si="219"/>
        <v>2100</v>
      </c>
    </row>
    <row r="558" spans="1:16" ht="17.25" thickTop="1" thickBot="1" x14ac:dyDescent="0.3">
      <c r="A558" s="157"/>
      <c r="B558" s="156" t="s">
        <v>386</v>
      </c>
      <c r="C558" s="158">
        <f t="shared" ref="C558:O558" si="220">SUM(C445+C466+C483+C511+C526+C538+C555+C496)</f>
        <v>1722977</v>
      </c>
      <c r="D558" s="158">
        <f t="shared" si="220"/>
        <v>313498</v>
      </c>
      <c r="E558" s="158">
        <f t="shared" si="220"/>
        <v>1542108</v>
      </c>
      <c r="F558" s="158">
        <f t="shared" si="220"/>
        <v>0</v>
      </c>
      <c r="G558" s="158">
        <f t="shared" si="220"/>
        <v>0</v>
      </c>
      <c r="H558" s="158">
        <f t="shared" si="220"/>
        <v>3578583</v>
      </c>
      <c r="I558" s="158">
        <f t="shared" si="220"/>
        <v>65121</v>
      </c>
      <c r="J558" s="158">
        <f t="shared" si="220"/>
        <v>2528</v>
      </c>
      <c r="K558" s="158">
        <f t="shared" si="220"/>
        <v>2770</v>
      </c>
      <c r="L558" s="158">
        <f t="shared" si="220"/>
        <v>70419</v>
      </c>
      <c r="M558" s="158">
        <f t="shared" si="220"/>
        <v>3649002</v>
      </c>
      <c r="N558" s="158">
        <f t="shared" si="220"/>
        <v>0</v>
      </c>
      <c r="O558" s="158">
        <f t="shared" si="220"/>
        <v>3649002</v>
      </c>
    </row>
    <row r="559" spans="1:16" ht="17.25" thickTop="1" thickBot="1" x14ac:dyDescent="0.3">
      <c r="A559" s="157"/>
      <c r="B559" s="156" t="s">
        <v>385</v>
      </c>
      <c r="C559" s="158">
        <f t="shared" ref="C559:O559" si="221">SUM(C359+C416+C430+C558)</f>
        <v>6372043</v>
      </c>
      <c r="D559" s="158">
        <f t="shared" si="221"/>
        <v>1155120</v>
      </c>
      <c r="E559" s="158">
        <f t="shared" si="221"/>
        <v>4704004</v>
      </c>
      <c r="F559" s="158">
        <f t="shared" si="221"/>
        <v>0</v>
      </c>
      <c r="G559" s="158">
        <f t="shared" si="221"/>
        <v>0</v>
      </c>
      <c r="H559" s="158">
        <f t="shared" si="221"/>
        <v>12231167</v>
      </c>
      <c r="I559" s="158">
        <f t="shared" si="221"/>
        <v>80957</v>
      </c>
      <c r="J559" s="158">
        <f t="shared" si="221"/>
        <v>2528</v>
      </c>
      <c r="K559" s="158">
        <f t="shared" si="221"/>
        <v>2770</v>
      </c>
      <c r="L559" s="158">
        <f t="shared" si="221"/>
        <v>86255</v>
      </c>
      <c r="M559" s="158">
        <f t="shared" si="221"/>
        <v>12317422</v>
      </c>
      <c r="N559" s="158">
        <f t="shared" si="221"/>
        <v>0</v>
      </c>
      <c r="O559" s="158">
        <f t="shared" si="221"/>
        <v>12317422</v>
      </c>
    </row>
    <row r="560" spans="1:16" ht="16.5" thickTop="1" x14ac:dyDescent="0.25">
      <c r="A560" s="164" t="s">
        <v>582</v>
      </c>
      <c r="B560" s="533" t="s">
        <v>384</v>
      </c>
      <c r="C560" s="566"/>
      <c r="D560" s="525"/>
      <c r="E560" s="525"/>
      <c r="F560" s="526"/>
      <c r="G560" s="535"/>
      <c r="H560" s="527"/>
      <c r="I560" s="536"/>
      <c r="J560" s="537"/>
      <c r="K560" s="537"/>
      <c r="L560" s="527"/>
      <c r="M560" s="538"/>
      <c r="N560" s="538"/>
      <c r="O560" s="538"/>
    </row>
    <row r="561" spans="1:15" x14ac:dyDescent="0.25">
      <c r="A561" s="164"/>
      <c r="B561" s="530" t="s">
        <v>24</v>
      </c>
      <c r="C561" s="534">
        <f>SUM(C562:C564)</f>
        <v>2260973</v>
      </c>
      <c r="D561" s="534">
        <f>SUM(D562:D564)</f>
        <v>408197</v>
      </c>
      <c r="E561" s="534">
        <f>SUM(E562:E564)</f>
        <v>830664</v>
      </c>
      <c r="F561" s="537"/>
      <c r="G561" s="535"/>
      <c r="H561" s="527">
        <f>SUM(C561:G561)</f>
        <v>3499834</v>
      </c>
      <c r="I561" s="528">
        <f>SUM(I562:I564)</f>
        <v>114518</v>
      </c>
      <c r="J561" s="526"/>
      <c r="K561" s="526"/>
      <c r="L561" s="527">
        <f>SUM(I561:K561)</f>
        <v>114518</v>
      </c>
      <c r="M561" s="529">
        <f>SUM(H561+L561)</f>
        <v>3614352</v>
      </c>
      <c r="N561" s="529"/>
      <c r="O561" s="529">
        <f>SUM(M561+N561)</f>
        <v>3614352</v>
      </c>
    </row>
    <row r="562" spans="1:15" s="168" customFormat="1" x14ac:dyDescent="0.25">
      <c r="A562" s="177"/>
      <c r="B562" s="165" t="s">
        <v>383</v>
      </c>
      <c r="C562" s="176">
        <v>1075599</v>
      </c>
      <c r="D562" s="173">
        <v>200110</v>
      </c>
      <c r="E562" s="175">
        <v>683452</v>
      </c>
      <c r="F562" s="174"/>
      <c r="G562" s="173"/>
      <c r="H562" s="170">
        <f>SUM(C562:G562)</f>
        <v>1959161</v>
      </c>
      <c r="I562" s="172">
        <v>66649</v>
      </c>
      <c r="J562" s="171"/>
      <c r="K562" s="171"/>
      <c r="L562" s="170">
        <f>SUM(I562:K562)</f>
        <v>66649</v>
      </c>
      <c r="M562" s="169">
        <f>SUM(H562+L562)</f>
        <v>2025810</v>
      </c>
      <c r="N562" s="169"/>
      <c r="O562" s="169">
        <f>SUM(M562+N562)</f>
        <v>2025810</v>
      </c>
    </row>
    <row r="563" spans="1:15" s="168" customFormat="1" x14ac:dyDescent="0.25">
      <c r="A563" s="177"/>
      <c r="B563" s="165" t="s">
        <v>382</v>
      </c>
      <c r="C563" s="176">
        <v>453814</v>
      </c>
      <c r="D563" s="173">
        <v>67716</v>
      </c>
      <c r="E563" s="175">
        <v>25028</v>
      </c>
      <c r="F563" s="174"/>
      <c r="G563" s="173"/>
      <c r="H563" s="170">
        <f>SUM(C563:G563)</f>
        <v>546558</v>
      </c>
      <c r="I563" s="172"/>
      <c r="J563" s="171"/>
      <c r="K563" s="171"/>
      <c r="L563" s="170">
        <f>SUM(I563:K563)</f>
        <v>0</v>
      </c>
      <c r="M563" s="169">
        <f>SUM(H563+L563)</f>
        <v>546558</v>
      </c>
      <c r="N563" s="169"/>
      <c r="O563" s="169">
        <f>SUM(M563+N563)</f>
        <v>546558</v>
      </c>
    </row>
    <row r="564" spans="1:15" s="168" customFormat="1" x14ac:dyDescent="0.25">
      <c r="A564" s="177"/>
      <c r="B564" s="165" t="s">
        <v>449</v>
      </c>
      <c r="C564" s="176">
        <v>731560</v>
      </c>
      <c r="D564" s="173">
        <v>140371</v>
      </c>
      <c r="E564" s="175">
        <v>122184</v>
      </c>
      <c r="F564" s="174"/>
      <c r="G564" s="173"/>
      <c r="H564" s="170">
        <f>SUM(C564:G564)</f>
        <v>994115</v>
      </c>
      <c r="I564" s="172">
        <v>47869</v>
      </c>
      <c r="J564" s="171"/>
      <c r="K564" s="171"/>
      <c r="L564" s="170">
        <f>SUM(I564:K564)</f>
        <v>47869</v>
      </c>
      <c r="M564" s="169">
        <f>SUM(H564+L564)</f>
        <v>1041984</v>
      </c>
      <c r="N564" s="169"/>
      <c r="O564" s="169">
        <f>SUM(M564+N564)</f>
        <v>1041984</v>
      </c>
    </row>
    <row r="565" spans="1:15" s="168" customFormat="1" x14ac:dyDescent="0.25">
      <c r="A565" s="177"/>
      <c r="B565" s="165" t="s">
        <v>132</v>
      </c>
      <c r="C565" s="176"/>
      <c r="D565" s="173"/>
      <c r="E565" s="175"/>
      <c r="F565" s="174"/>
      <c r="G565" s="173"/>
      <c r="H565" s="170"/>
      <c r="I565" s="172"/>
      <c r="J565" s="171"/>
      <c r="K565" s="171"/>
      <c r="L565" s="170"/>
      <c r="M565" s="169"/>
      <c r="N565" s="169"/>
      <c r="O565" s="169"/>
    </row>
    <row r="566" spans="1:15" s="168" customFormat="1" ht="30.75" customHeight="1" x14ac:dyDescent="0.25">
      <c r="A566" s="177"/>
      <c r="B566" s="530" t="s">
        <v>1196</v>
      </c>
      <c r="C566" s="224">
        <v>-131</v>
      </c>
      <c r="D566" s="225">
        <v>4668</v>
      </c>
      <c r="E566" s="199">
        <v>-7126</v>
      </c>
      <c r="F566" s="226"/>
      <c r="G566" s="225"/>
      <c r="H566" s="196">
        <f t="shared" ref="H566:H574" si="222">SUM(C566:G566)</f>
        <v>-2589</v>
      </c>
      <c r="I566" s="218">
        <v>799</v>
      </c>
      <c r="J566" s="200">
        <v>6455</v>
      </c>
      <c r="K566" s="200"/>
      <c r="L566" s="196">
        <f t="shared" ref="L566:L574" si="223">SUM(I566:K566)</f>
        <v>7254</v>
      </c>
      <c r="M566" s="195">
        <f t="shared" ref="M566:M574" si="224">SUM(H566+L566)</f>
        <v>4665</v>
      </c>
      <c r="N566" s="195"/>
      <c r="O566" s="195">
        <f t="shared" ref="O566:O574" si="225">SUM(M566+N566)</f>
        <v>4665</v>
      </c>
    </row>
    <row r="567" spans="1:15" s="168" customFormat="1" ht="31.5" x14ac:dyDescent="0.25">
      <c r="A567" s="177"/>
      <c r="B567" s="530" t="s">
        <v>1252</v>
      </c>
      <c r="C567" s="224">
        <v>543</v>
      </c>
      <c r="D567" s="225">
        <v>95</v>
      </c>
      <c r="E567" s="199"/>
      <c r="F567" s="226"/>
      <c r="G567" s="225"/>
      <c r="H567" s="196">
        <f t="shared" si="222"/>
        <v>638</v>
      </c>
      <c r="I567" s="218"/>
      <c r="J567" s="200"/>
      <c r="K567" s="200"/>
      <c r="L567" s="196">
        <f t="shared" si="223"/>
        <v>0</v>
      </c>
      <c r="M567" s="195">
        <f t="shared" si="224"/>
        <v>638</v>
      </c>
      <c r="N567" s="195"/>
      <c r="O567" s="195">
        <f t="shared" si="225"/>
        <v>638</v>
      </c>
    </row>
    <row r="568" spans="1:15" s="168" customFormat="1" x14ac:dyDescent="0.25">
      <c r="A568" s="177"/>
      <c r="B568" s="530" t="s">
        <v>1229</v>
      </c>
      <c r="C568" s="224">
        <v>-68231</v>
      </c>
      <c r="D568" s="225">
        <v>-11940</v>
      </c>
      <c r="E568" s="199"/>
      <c r="F568" s="226"/>
      <c r="G568" s="225"/>
      <c r="H568" s="196">
        <f t="shared" si="222"/>
        <v>-80171</v>
      </c>
      <c r="I568" s="218"/>
      <c r="J568" s="200"/>
      <c r="K568" s="200"/>
      <c r="L568" s="196">
        <f t="shared" si="223"/>
        <v>0</v>
      </c>
      <c r="M568" s="195">
        <f t="shared" si="224"/>
        <v>-80171</v>
      </c>
      <c r="N568" s="195"/>
      <c r="O568" s="195">
        <f t="shared" si="225"/>
        <v>-80171</v>
      </c>
    </row>
    <row r="569" spans="1:15" s="168" customFormat="1" x14ac:dyDescent="0.25">
      <c r="A569" s="177"/>
      <c r="B569" s="530" t="s">
        <v>1263</v>
      </c>
      <c r="C569" s="224">
        <v>-15164</v>
      </c>
      <c r="D569" s="225">
        <v>-411</v>
      </c>
      <c r="E569" s="199">
        <v>-17861</v>
      </c>
      <c r="F569" s="226"/>
      <c r="G569" s="225"/>
      <c r="H569" s="196">
        <f t="shared" si="222"/>
        <v>-33436</v>
      </c>
      <c r="I569" s="218">
        <v>29679</v>
      </c>
      <c r="J569" s="200">
        <v>3757</v>
      </c>
      <c r="K569" s="200"/>
      <c r="L569" s="196">
        <f t="shared" si="223"/>
        <v>33436</v>
      </c>
      <c r="M569" s="195">
        <f t="shared" si="224"/>
        <v>0</v>
      </c>
      <c r="N569" s="195"/>
      <c r="O569" s="195">
        <f t="shared" si="225"/>
        <v>0</v>
      </c>
    </row>
    <row r="570" spans="1:15" s="168" customFormat="1" ht="126" customHeight="1" x14ac:dyDescent="0.25">
      <c r="A570" s="177"/>
      <c r="B570" s="530" t="s">
        <v>1264</v>
      </c>
      <c r="C570" s="224"/>
      <c r="D570" s="225"/>
      <c r="E570" s="199">
        <v>-500000</v>
      </c>
      <c r="F570" s="226"/>
      <c r="G570" s="225"/>
      <c r="H570" s="196">
        <f t="shared" si="222"/>
        <v>-500000</v>
      </c>
      <c r="I570" s="218"/>
      <c r="J570" s="200"/>
      <c r="K570" s="200"/>
      <c r="L570" s="196">
        <f t="shared" si="223"/>
        <v>0</v>
      </c>
      <c r="M570" s="195">
        <f t="shared" si="224"/>
        <v>-500000</v>
      </c>
      <c r="N570" s="195"/>
      <c r="O570" s="195">
        <f t="shared" si="225"/>
        <v>-500000</v>
      </c>
    </row>
    <row r="571" spans="1:15" s="168" customFormat="1" x14ac:dyDescent="0.25">
      <c r="A571" s="177"/>
      <c r="B571" s="165" t="s">
        <v>133</v>
      </c>
      <c r="C571" s="224"/>
      <c r="D571" s="225"/>
      <c r="E571" s="199"/>
      <c r="F571" s="226"/>
      <c r="G571" s="225"/>
      <c r="H571" s="196">
        <f t="shared" si="222"/>
        <v>0</v>
      </c>
      <c r="I571" s="218"/>
      <c r="J571" s="200"/>
      <c r="K571" s="200"/>
      <c r="L571" s="196">
        <f t="shared" si="223"/>
        <v>0</v>
      </c>
      <c r="M571" s="195">
        <f t="shared" si="224"/>
        <v>0</v>
      </c>
      <c r="N571" s="195"/>
      <c r="O571" s="195">
        <f t="shared" si="225"/>
        <v>0</v>
      </c>
    </row>
    <row r="572" spans="1:15" s="168" customFormat="1" ht="31.5" x14ac:dyDescent="0.25">
      <c r="A572" s="177"/>
      <c r="B572" s="530" t="s">
        <v>1224</v>
      </c>
      <c r="C572" s="224"/>
      <c r="D572" s="225"/>
      <c r="E572" s="199">
        <v>10668</v>
      </c>
      <c r="F572" s="226"/>
      <c r="G572" s="225"/>
      <c r="H572" s="196">
        <f t="shared" si="222"/>
        <v>10668</v>
      </c>
      <c r="I572" s="218"/>
      <c r="J572" s="200"/>
      <c r="K572" s="200"/>
      <c r="L572" s="196">
        <f t="shared" si="223"/>
        <v>0</v>
      </c>
      <c r="M572" s="195">
        <f t="shared" si="224"/>
        <v>10668</v>
      </c>
      <c r="N572" s="195"/>
      <c r="O572" s="195">
        <f t="shared" si="225"/>
        <v>10668</v>
      </c>
    </row>
    <row r="573" spans="1:15" s="168" customFormat="1" x14ac:dyDescent="0.25">
      <c r="A573" s="177"/>
      <c r="B573" s="530" t="s">
        <v>1229</v>
      </c>
      <c r="C573" s="224">
        <v>-138958</v>
      </c>
      <c r="D573" s="225">
        <v>-23292</v>
      </c>
      <c r="E573" s="199"/>
      <c r="F573" s="226"/>
      <c r="G573" s="225"/>
      <c r="H573" s="196">
        <f t="shared" si="222"/>
        <v>-162250</v>
      </c>
      <c r="I573" s="218"/>
      <c r="J573" s="200"/>
      <c r="K573" s="200"/>
      <c r="L573" s="196">
        <f t="shared" si="223"/>
        <v>0</v>
      </c>
      <c r="M573" s="195">
        <f t="shared" si="224"/>
        <v>-162250</v>
      </c>
      <c r="N573" s="195"/>
      <c r="O573" s="195">
        <f t="shared" si="225"/>
        <v>-162250</v>
      </c>
    </row>
    <row r="574" spans="1:15" s="168" customFormat="1" x14ac:dyDescent="0.25">
      <c r="A574" s="177"/>
      <c r="B574" s="530" t="s">
        <v>1263</v>
      </c>
      <c r="C574" s="224">
        <v>383</v>
      </c>
      <c r="D574" s="225">
        <v>-4500</v>
      </c>
      <c r="E574" s="199">
        <v>4117</v>
      </c>
      <c r="F574" s="226"/>
      <c r="G574" s="225"/>
      <c r="H574" s="196">
        <f t="shared" si="222"/>
        <v>0</v>
      </c>
      <c r="I574" s="218"/>
      <c r="J574" s="200"/>
      <c r="K574" s="200"/>
      <c r="L574" s="196">
        <f t="shared" si="223"/>
        <v>0</v>
      </c>
      <c r="M574" s="195">
        <f t="shared" si="224"/>
        <v>0</v>
      </c>
      <c r="N574" s="195"/>
      <c r="O574" s="195">
        <f t="shared" si="225"/>
        <v>0</v>
      </c>
    </row>
    <row r="575" spans="1:15" s="168" customFormat="1" x14ac:dyDescent="0.25">
      <c r="A575" s="177"/>
      <c r="B575" s="165" t="s">
        <v>335</v>
      </c>
      <c r="C575" s="224"/>
      <c r="D575" s="225"/>
      <c r="E575" s="199"/>
      <c r="F575" s="226"/>
      <c r="G575" s="225"/>
      <c r="H575" s="196"/>
      <c r="I575" s="218"/>
      <c r="J575" s="200"/>
      <c r="K575" s="200"/>
      <c r="L575" s="196"/>
      <c r="M575" s="195"/>
      <c r="N575" s="195"/>
      <c r="O575" s="195"/>
    </row>
    <row r="576" spans="1:15" s="168" customFormat="1" x14ac:dyDescent="0.25">
      <c r="A576" s="177"/>
      <c r="B576" s="530" t="s">
        <v>1229</v>
      </c>
      <c r="C576" s="224">
        <v>-49004</v>
      </c>
      <c r="D576" s="225">
        <v>-8575</v>
      </c>
      <c r="E576" s="199"/>
      <c r="F576" s="226"/>
      <c r="G576" s="225"/>
      <c r="H576" s="196">
        <f>SUM(C576:G576)</f>
        <v>-57579</v>
      </c>
      <c r="I576" s="218"/>
      <c r="J576" s="200"/>
      <c r="K576" s="200"/>
      <c r="L576" s="196">
        <f>SUM(I576:K576)</f>
        <v>0</v>
      </c>
      <c r="M576" s="195">
        <f>SUM(H576+L576)</f>
        <v>-57579</v>
      </c>
      <c r="N576" s="195"/>
      <c r="O576" s="195">
        <f>SUM(M576+N576)</f>
        <v>-57579</v>
      </c>
    </row>
    <row r="577" spans="1:16" s="168" customFormat="1" ht="16.5" thickBot="1" x14ac:dyDescent="0.3">
      <c r="A577" s="177"/>
      <c r="B577" s="530" t="s">
        <v>1263</v>
      </c>
      <c r="C577" s="224">
        <v>-70</v>
      </c>
      <c r="D577" s="225"/>
      <c r="E577" s="199">
        <v>-13173</v>
      </c>
      <c r="F577" s="226"/>
      <c r="G577" s="225"/>
      <c r="H577" s="196">
        <f>SUM(C577:G577)</f>
        <v>-13243</v>
      </c>
      <c r="I577" s="218">
        <v>10544</v>
      </c>
      <c r="J577" s="200">
        <v>2699</v>
      </c>
      <c r="K577" s="200"/>
      <c r="L577" s="196">
        <f>SUM(I577:K577)</f>
        <v>13243</v>
      </c>
      <c r="M577" s="195">
        <f>SUM(H577+L577)</f>
        <v>0</v>
      </c>
      <c r="N577" s="195"/>
      <c r="O577" s="195">
        <f>SUM(M577+N577)</f>
        <v>0</v>
      </c>
    </row>
    <row r="578" spans="1:16" s="162" customFormat="1" ht="17.25" thickTop="1" thickBot="1" x14ac:dyDescent="0.3">
      <c r="A578" s="157"/>
      <c r="B578" s="156" t="s">
        <v>381</v>
      </c>
      <c r="C578" s="155">
        <f>+C561+C566+C567+C568+C572+C576+C569+C573+C574+C577+C570</f>
        <v>1990341</v>
      </c>
      <c r="D578" s="155">
        <f t="shared" ref="D578:O578" si="226">+D561+D566+D567+D568+D572+D576+D569+D573+D574+D577+D570</f>
        <v>364242</v>
      </c>
      <c r="E578" s="155">
        <f t="shared" si="226"/>
        <v>307289</v>
      </c>
      <c r="F578" s="155">
        <f t="shared" si="226"/>
        <v>0</v>
      </c>
      <c r="G578" s="155">
        <f t="shared" si="226"/>
        <v>0</v>
      </c>
      <c r="H578" s="155">
        <f t="shared" si="226"/>
        <v>2661872</v>
      </c>
      <c r="I578" s="155">
        <f t="shared" si="226"/>
        <v>155540</v>
      </c>
      <c r="J578" s="155">
        <f t="shared" si="226"/>
        <v>12911</v>
      </c>
      <c r="K578" s="155">
        <f t="shared" si="226"/>
        <v>0</v>
      </c>
      <c r="L578" s="155">
        <f t="shared" si="226"/>
        <v>168451</v>
      </c>
      <c r="M578" s="155">
        <f t="shared" si="226"/>
        <v>2830323</v>
      </c>
      <c r="N578" s="155">
        <f t="shared" si="226"/>
        <v>0</v>
      </c>
      <c r="O578" s="155">
        <f t="shared" si="226"/>
        <v>2830323</v>
      </c>
      <c r="P578" s="163"/>
    </row>
    <row r="579" spans="1:16" ht="17.25" thickTop="1" thickBot="1" x14ac:dyDescent="0.3">
      <c r="A579" s="157"/>
      <c r="B579" s="156" t="s">
        <v>380</v>
      </c>
      <c r="C579" s="155">
        <f>+C562+C566+C567+C568+C569+C570</f>
        <v>992616</v>
      </c>
      <c r="D579" s="155">
        <f t="shared" ref="D579:O579" si="227">+D562+D566+D567+D568+D569+D570</f>
        <v>192522</v>
      </c>
      <c r="E579" s="155">
        <f t="shared" si="227"/>
        <v>158465</v>
      </c>
      <c r="F579" s="155">
        <f t="shared" si="227"/>
        <v>0</v>
      </c>
      <c r="G579" s="155">
        <f t="shared" si="227"/>
        <v>0</v>
      </c>
      <c r="H579" s="155">
        <f t="shared" si="227"/>
        <v>1343603</v>
      </c>
      <c r="I579" s="155">
        <f t="shared" si="227"/>
        <v>97127</v>
      </c>
      <c r="J579" s="155">
        <f t="shared" si="227"/>
        <v>10212</v>
      </c>
      <c r="K579" s="155">
        <f t="shared" si="227"/>
        <v>0</v>
      </c>
      <c r="L579" s="155">
        <f t="shared" si="227"/>
        <v>107339</v>
      </c>
      <c r="M579" s="155">
        <f t="shared" si="227"/>
        <v>1450942</v>
      </c>
      <c r="N579" s="155">
        <f t="shared" si="227"/>
        <v>0</v>
      </c>
      <c r="O579" s="155">
        <f t="shared" si="227"/>
        <v>1450942</v>
      </c>
    </row>
    <row r="580" spans="1:16" ht="17.25" thickTop="1" thickBot="1" x14ac:dyDescent="0.3">
      <c r="A580" s="157"/>
      <c r="B580" s="156" t="s">
        <v>379</v>
      </c>
      <c r="C580" s="155">
        <f t="shared" ref="C580:O580" si="228">+C563+C572+C573+C574</f>
        <v>315239</v>
      </c>
      <c r="D580" s="155">
        <f t="shared" si="228"/>
        <v>39924</v>
      </c>
      <c r="E580" s="155">
        <f t="shared" si="228"/>
        <v>39813</v>
      </c>
      <c r="F580" s="155">
        <f t="shared" si="228"/>
        <v>0</v>
      </c>
      <c r="G580" s="155">
        <f t="shared" si="228"/>
        <v>0</v>
      </c>
      <c r="H580" s="155">
        <f t="shared" si="228"/>
        <v>394976</v>
      </c>
      <c r="I580" s="155">
        <f t="shared" si="228"/>
        <v>0</v>
      </c>
      <c r="J580" s="155">
        <f t="shared" si="228"/>
        <v>0</v>
      </c>
      <c r="K580" s="155">
        <f t="shared" si="228"/>
        <v>0</v>
      </c>
      <c r="L580" s="155">
        <f t="shared" si="228"/>
        <v>0</v>
      </c>
      <c r="M580" s="155">
        <f t="shared" si="228"/>
        <v>394976</v>
      </c>
      <c r="N580" s="155">
        <f t="shared" si="228"/>
        <v>0</v>
      </c>
      <c r="O580" s="155">
        <f t="shared" si="228"/>
        <v>394976</v>
      </c>
    </row>
    <row r="581" spans="1:16" ht="33" thickTop="1" thickBot="1" x14ac:dyDescent="0.3">
      <c r="A581" s="157"/>
      <c r="B581" s="156" t="s">
        <v>448</v>
      </c>
      <c r="C581" s="155">
        <f t="shared" ref="C581:O581" si="229">+C564+C576+C577</f>
        <v>682486</v>
      </c>
      <c r="D581" s="155">
        <f t="shared" si="229"/>
        <v>131796</v>
      </c>
      <c r="E581" s="155">
        <f t="shared" si="229"/>
        <v>109011</v>
      </c>
      <c r="F581" s="155">
        <f t="shared" si="229"/>
        <v>0</v>
      </c>
      <c r="G581" s="155">
        <f t="shared" si="229"/>
        <v>0</v>
      </c>
      <c r="H581" s="155">
        <f t="shared" si="229"/>
        <v>923293</v>
      </c>
      <c r="I581" s="155">
        <f t="shared" si="229"/>
        <v>58413</v>
      </c>
      <c r="J581" s="155">
        <f t="shared" si="229"/>
        <v>2699</v>
      </c>
      <c r="K581" s="155">
        <f t="shared" si="229"/>
        <v>0</v>
      </c>
      <c r="L581" s="155">
        <f t="shared" si="229"/>
        <v>61112</v>
      </c>
      <c r="M581" s="155">
        <f t="shared" si="229"/>
        <v>984405</v>
      </c>
      <c r="N581" s="155">
        <f t="shared" si="229"/>
        <v>0</v>
      </c>
      <c r="O581" s="155">
        <f t="shared" si="229"/>
        <v>984405</v>
      </c>
    </row>
    <row r="582" spans="1:16" s="162" customFormat="1" ht="17.25" thickTop="1" thickBot="1" x14ac:dyDescent="0.3">
      <c r="A582" s="157"/>
      <c r="B582" s="156" t="s">
        <v>377</v>
      </c>
      <c r="C582" s="158">
        <f t="shared" ref="C582:O582" si="230">SUM(C559+C578)</f>
        <v>8362384</v>
      </c>
      <c r="D582" s="158">
        <f t="shared" si="230"/>
        <v>1519362</v>
      </c>
      <c r="E582" s="158">
        <f t="shared" si="230"/>
        <v>5011293</v>
      </c>
      <c r="F582" s="158">
        <f t="shared" si="230"/>
        <v>0</v>
      </c>
      <c r="G582" s="158">
        <f t="shared" si="230"/>
        <v>0</v>
      </c>
      <c r="H582" s="158">
        <f t="shared" si="230"/>
        <v>14893039</v>
      </c>
      <c r="I582" s="158">
        <f t="shared" si="230"/>
        <v>236497</v>
      </c>
      <c r="J582" s="158">
        <f t="shared" si="230"/>
        <v>15439</v>
      </c>
      <c r="K582" s="158">
        <f t="shared" si="230"/>
        <v>2770</v>
      </c>
      <c r="L582" s="158">
        <f t="shared" si="230"/>
        <v>254706</v>
      </c>
      <c r="M582" s="158">
        <f t="shared" si="230"/>
        <v>15147745</v>
      </c>
      <c r="N582" s="158">
        <f t="shared" si="230"/>
        <v>0</v>
      </c>
      <c r="O582" s="158">
        <f t="shared" si="230"/>
        <v>15147745</v>
      </c>
    </row>
    <row r="583" spans="1:16" s="162" customFormat="1" ht="17.25" thickTop="1" thickBot="1" x14ac:dyDescent="0.3">
      <c r="A583" s="157"/>
      <c r="B583" s="156" t="s">
        <v>349</v>
      </c>
      <c r="C583" s="158">
        <f t="shared" ref="C583:O583" si="231">SUM(C8+C27+C46+C64+C82+C99+C115+C133+C151+C170+C188+C205+C222+C239+C254+C272+C290+C307+C325+C342+C361+C381+C400+C418+C434+C448+C470+C499+C514+C529+C541+C561+C487)</f>
        <v>7870692</v>
      </c>
      <c r="D583" s="158">
        <f t="shared" si="231"/>
        <v>1466820</v>
      </c>
      <c r="E583" s="158">
        <f t="shared" si="231"/>
        <v>6160983</v>
      </c>
      <c r="F583" s="158">
        <f t="shared" si="231"/>
        <v>0</v>
      </c>
      <c r="G583" s="158">
        <f t="shared" si="231"/>
        <v>0</v>
      </c>
      <c r="H583" s="158">
        <f t="shared" si="231"/>
        <v>15498495</v>
      </c>
      <c r="I583" s="158">
        <f t="shared" si="231"/>
        <v>124492</v>
      </c>
      <c r="J583" s="158">
        <f t="shared" si="231"/>
        <v>0</v>
      </c>
      <c r="K583" s="158">
        <f t="shared" si="231"/>
        <v>20000</v>
      </c>
      <c r="L583" s="158">
        <f t="shared" si="231"/>
        <v>144492</v>
      </c>
      <c r="M583" s="158">
        <f t="shared" si="231"/>
        <v>15642987</v>
      </c>
      <c r="N583" s="158">
        <f t="shared" si="231"/>
        <v>0</v>
      </c>
      <c r="O583" s="158">
        <f t="shared" si="231"/>
        <v>15642987</v>
      </c>
    </row>
    <row r="584" spans="1:16" ht="24" customHeight="1" thickTop="1" x14ac:dyDescent="0.25">
      <c r="A584" s="161"/>
      <c r="B584" s="160" t="s">
        <v>132</v>
      </c>
      <c r="C584" s="540"/>
      <c r="D584" s="541"/>
      <c r="E584" s="541"/>
      <c r="F584" s="541"/>
      <c r="G584" s="541"/>
      <c r="H584" s="543"/>
      <c r="I584" s="544"/>
      <c r="J584" s="542"/>
      <c r="K584" s="542"/>
      <c r="L584" s="543"/>
      <c r="M584" s="543"/>
      <c r="N584" s="543"/>
      <c r="O584" s="543"/>
    </row>
    <row r="585" spans="1:16" s="232" customFormat="1" ht="31.5" x14ac:dyDescent="0.25">
      <c r="A585" s="230"/>
      <c r="B585" s="231" t="s">
        <v>1243</v>
      </c>
      <c r="C585" s="569">
        <f t="shared" ref="C585:O585" si="232">C12+C31+C50+C68+C86+C103+C119+C137+C155+C174+C192+C209+C226+C243+C258+C276+C294+C311+C329+C346+C365+C385+C404+C422+C452+C474+C545</f>
        <v>526094</v>
      </c>
      <c r="D585" s="569">
        <f t="shared" si="232"/>
        <v>96469</v>
      </c>
      <c r="E585" s="569">
        <f t="shared" si="232"/>
        <v>397950</v>
      </c>
      <c r="F585" s="569">
        <f t="shared" si="232"/>
        <v>0</v>
      </c>
      <c r="G585" s="569">
        <f t="shared" si="232"/>
        <v>0</v>
      </c>
      <c r="H585" s="570">
        <f t="shared" si="232"/>
        <v>1020513</v>
      </c>
      <c r="I585" s="570">
        <f t="shared" si="232"/>
        <v>11248</v>
      </c>
      <c r="J585" s="570">
        <f t="shared" si="232"/>
        <v>1851</v>
      </c>
      <c r="K585" s="570">
        <f t="shared" si="232"/>
        <v>0</v>
      </c>
      <c r="L585" s="570">
        <f t="shared" si="232"/>
        <v>13099</v>
      </c>
      <c r="M585" s="570">
        <f t="shared" si="232"/>
        <v>1033612</v>
      </c>
      <c r="N585" s="570">
        <f t="shared" si="232"/>
        <v>0</v>
      </c>
      <c r="O585" s="570">
        <f t="shared" si="232"/>
        <v>1033612</v>
      </c>
    </row>
    <row r="586" spans="1:16" s="232" customFormat="1" ht="31.5" x14ac:dyDescent="0.25">
      <c r="A586" s="230"/>
      <c r="B586" s="231" t="s">
        <v>1232</v>
      </c>
      <c r="C586" s="569">
        <f t="shared" ref="C586:O586" si="233">C566</f>
        <v>-131</v>
      </c>
      <c r="D586" s="569">
        <f t="shared" si="233"/>
        <v>4668</v>
      </c>
      <c r="E586" s="569">
        <f t="shared" si="233"/>
        <v>-7126</v>
      </c>
      <c r="F586" s="569">
        <f t="shared" si="233"/>
        <v>0</v>
      </c>
      <c r="G586" s="569">
        <f t="shared" si="233"/>
        <v>0</v>
      </c>
      <c r="H586" s="570">
        <f t="shared" si="233"/>
        <v>-2589</v>
      </c>
      <c r="I586" s="570">
        <f t="shared" si="233"/>
        <v>799</v>
      </c>
      <c r="J586" s="570">
        <f t="shared" si="233"/>
        <v>6455</v>
      </c>
      <c r="K586" s="570">
        <f t="shared" si="233"/>
        <v>0</v>
      </c>
      <c r="L586" s="570">
        <f t="shared" si="233"/>
        <v>7254</v>
      </c>
      <c r="M586" s="570">
        <f t="shared" si="233"/>
        <v>4665</v>
      </c>
      <c r="N586" s="570">
        <f t="shared" si="233"/>
        <v>0</v>
      </c>
      <c r="O586" s="570">
        <f t="shared" si="233"/>
        <v>4665</v>
      </c>
    </row>
    <row r="587" spans="1:16" s="232" customFormat="1" ht="31.5" x14ac:dyDescent="0.25">
      <c r="A587" s="230"/>
      <c r="B587" s="231" t="s">
        <v>1252</v>
      </c>
      <c r="C587" s="569">
        <f t="shared" ref="C587:O587" si="234">C13+C32+C51+C69+C87+C104+C120+C138+C156+C175+C193+C210+C227+C259+C277+C330+C347+C366+C386+C405+C423+C453+C475+C567</f>
        <v>3021</v>
      </c>
      <c r="D587" s="569">
        <f t="shared" si="234"/>
        <v>529</v>
      </c>
      <c r="E587" s="569">
        <f t="shared" si="234"/>
        <v>0</v>
      </c>
      <c r="F587" s="569">
        <f t="shared" si="234"/>
        <v>0</v>
      </c>
      <c r="G587" s="569">
        <f t="shared" si="234"/>
        <v>0</v>
      </c>
      <c r="H587" s="570">
        <f t="shared" si="234"/>
        <v>3550</v>
      </c>
      <c r="I587" s="570">
        <f t="shared" si="234"/>
        <v>0</v>
      </c>
      <c r="J587" s="570">
        <f t="shared" si="234"/>
        <v>0</v>
      </c>
      <c r="K587" s="570">
        <f t="shared" si="234"/>
        <v>0</v>
      </c>
      <c r="L587" s="570">
        <f t="shared" si="234"/>
        <v>0</v>
      </c>
      <c r="M587" s="570">
        <f t="shared" si="234"/>
        <v>3550</v>
      </c>
      <c r="N587" s="570">
        <f t="shared" si="234"/>
        <v>0</v>
      </c>
      <c r="O587" s="570">
        <f t="shared" si="234"/>
        <v>3550</v>
      </c>
    </row>
    <row r="588" spans="1:16" s="232" customFormat="1" ht="31.5" x14ac:dyDescent="0.25">
      <c r="A588" s="230"/>
      <c r="B588" s="231" t="s">
        <v>1253</v>
      </c>
      <c r="C588" s="569">
        <f t="shared" ref="C588:O588" si="235">C33+C52+C70+C88+C105+C121+C139+C367+C387+C406</f>
        <v>68150</v>
      </c>
      <c r="D588" s="569">
        <f t="shared" si="235"/>
        <v>11926</v>
      </c>
      <c r="E588" s="569">
        <f t="shared" si="235"/>
        <v>0</v>
      </c>
      <c r="F588" s="569">
        <f t="shared" si="235"/>
        <v>0</v>
      </c>
      <c r="G588" s="569">
        <f t="shared" si="235"/>
        <v>0</v>
      </c>
      <c r="H588" s="570">
        <f t="shared" si="235"/>
        <v>80076</v>
      </c>
      <c r="I588" s="570">
        <f t="shared" si="235"/>
        <v>0</v>
      </c>
      <c r="J588" s="570">
        <f t="shared" si="235"/>
        <v>0</v>
      </c>
      <c r="K588" s="570">
        <f t="shared" si="235"/>
        <v>0</v>
      </c>
      <c r="L588" s="570">
        <f t="shared" si="235"/>
        <v>0</v>
      </c>
      <c r="M588" s="570">
        <f t="shared" si="235"/>
        <v>80076</v>
      </c>
      <c r="N588" s="570">
        <f t="shared" si="235"/>
        <v>0</v>
      </c>
      <c r="O588" s="570">
        <f t="shared" si="235"/>
        <v>80076</v>
      </c>
    </row>
    <row r="589" spans="1:16" s="232" customFormat="1" ht="31.5" x14ac:dyDescent="0.25">
      <c r="A589" s="230"/>
      <c r="B589" s="231" t="s">
        <v>1257</v>
      </c>
      <c r="C589" s="569">
        <f t="shared" ref="C589:O589" si="236">C368</f>
        <v>3015</v>
      </c>
      <c r="D589" s="569">
        <f t="shared" si="236"/>
        <v>527</v>
      </c>
      <c r="E589" s="569">
        <f t="shared" si="236"/>
        <v>0</v>
      </c>
      <c r="F589" s="569">
        <f t="shared" si="236"/>
        <v>0</v>
      </c>
      <c r="G589" s="569">
        <f t="shared" si="236"/>
        <v>0</v>
      </c>
      <c r="H589" s="570">
        <f t="shared" si="236"/>
        <v>3542</v>
      </c>
      <c r="I589" s="570">
        <f t="shared" si="236"/>
        <v>0</v>
      </c>
      <c r="J589" s="570">
        <f t="shared" si="236"/>
        <v>0</v>
      </c>
      <c r="K589" s="570">
        <f t="shared" si="236"/>
        <v>0</v>
      </c>
      <c r="L589" s="570">
        <f t="shared" si="236"/>
        <v>0</v>
      </c>
      <c r="M589" s="570">
        <f t="shared" si="236"/>
        <v>3542</v>
      </c>
      <c r="N589" s="570">
        <f t="shared" si="236"/>
        <v>0</v>
      </c>
      <c r="O589" s="570">
        <f t="shared" si="236"/>
        <v>3542</v>
      </c>
    </row>
    <row r="590" spans="1:16" s="232" customFormat="1" ht="31.5" x14ac:dyDescent="0.25">
      <c r="A590" s="230"/>
      <c r="B590" s="231" t="s">
        <v>1216</v>
      </c>
      <c r="C590" s="569">
        <f t="shared" ref="C590:O590" si="237">C454+C476+C546</f>
        <v>16250</v>
      </c>
      <c r="D590" s="569">
        <f t="shared" si="237"/>
        <v>2844</v>
      </c>
      <c r="E590" s="569">
        <f t="shared" si="237"/>
        <v>0</v>
      </c>
      <c r="F590" s="569">
        <f t="shared" si="237"/>
        <v>0</v>
      </c>
      <c r="G590" s="569">
        <f t="shared" si="237"/>
        <v>0</v>
      </c>
      <c r="H590" s="570">
        <f t="shared" si="237"/>
        <v>19094</v>
      </c>
      <c r="I590" s="570">
        <f t="shared" si="237"/>
        <v>0</v>
      </c>
      <c r="J590" s="570">
        <f t="shared" si="237"/>
        <v>0</v>
      </c>
      <c r="K590" s="570">
        <f t="shared" si="237"/>
        <v>0</v>
      </c>
      <c r="L590" s="570">
        <f t="shared" si="237"/>
        <v>0</v>
      </c>
      <c r="M590" s="570">
        <f t="shared" si="237"/>
        <v>19094</v>
      </c>
      <c r="N590" s="570">
        <f t="shared" si="237"/>
        <v>0</v>
      </c>
      <c r="O590" s="570">
        <f t="shared" si="237"/>
        <v>19094</v>
      </c>
    </row>
    <row r="591" spans="1:16" s="232" customFormat="1" ht="31.5" x14ac:dyDescent="0.25">
      <c r="A591" s="230"/>
      <c r="B591" s="231" t="s">
        <v>1198</v>
      </c>
      <c r="C591" s="569">
        <f t="shared" ref="C591:O591" si="238">C14+C34+C53+C71+C89+C106+C122+C140+C157+C176+C194+C211+C228+C244+C260+C278+C295+C312+C331+C348+C369+C388+C407+C424+C455+C477+C547</f>
        <v>0</v>
      </c>
      <c r="D591" s="569">
        <f t="shared" si="238"/>
        <v>-45150</v>
      </c>
      <c r="E591" s="569">
        <f t="shared" si="238"/>
        <v>0</v>
      </c>
      <c r="F591" s="569">
        <f t="shared" si="238"/>
        <v>0</v>
      </c>
      <c r="G591" s="569">
        <f t="shared" si="238"/>
        <v>0</v>
      </c>
      <c r="H591" s="570">
        <f t="shared" si="238"/>
        <v>-45150</v>
      </c>
      <c r="I591" s="570">
        <f t="shared" si="238"/>
        <v>0</v>
      </c>
      <c r="J591" s="570">
        <f t="shared" si="238"/>
        <v>0</v>
      </c>
      <c r="K591" s="570">
        <f t="shared" si="238"/>
        <v>0</v>
      </c>
      <c r="L591" s="570">
        <f t="shared" si="238"/>
        <v>0</v>
      </c>
      <c r="M591" s="570">
        <f t="shared" si="238"/>
        <v>-45150</v>
      </c>
      <c r="N591" s="570">
        <f t="shared" si="238"/>
        <v>0</v>
      </c>
      <c r="O591" s="570">
        <f t="shared" si="238"/>
        <v>-45150</v>
      </c>
    </row>
    <row r="592" spans="1:16" s="232" customFormat="1" x14ac:dyDescent="0.25">
      <c r="A592" s="230"/>
      <c r="B592" s="231" t="s">
        <v>1199</v>
      </c>
      <c r="C592" s="569">
        <f t="shared" ref="C592:O592" si="239">C15+C35+C54+C72+C90+C107+C123+C141+C158+C177+C195+C212+C229+C245+C261+C279+C296+C313+C332+C349+C370+C389+C408+C425+C456</f>
        <v>-25791</v>
      </c>
      <c r="D592" s="569">
        <f t="shared" si="239"/>
        <v>-4515</v>
      </c>
      <c r="E592" s="569">
        <f t="shared" si="239"/>
        <v>0</v>
      </c>
      <c r="F592" s="569">
        <f t="shared" si="239"/>
        <v>0</v>
      </c>
      <c r="G592" s="569">
        <f t="shared" si="239"/>
        <v>0</v>
      </c>
      <c r="H592" s="570">
        <f t="shared" si="239"/>
        <v>-30306</v>
      </c>
      <c r="I592" s="570">
        <f t="shared" si="239"/>
        <v>0</v>
      </c>
      <c r="J592" s="570">
        <f t="shared" si="239"/>
        <v>0</v>
      </c>
      <c r="K592" s="570">
        <f t="shared" si="239"/>
        <v>0</v>
      </c>
      <c r="L592" s="570">
        <f t="shared" si="239"/>
        <v>0</v>
      </c>
      <c r="M592" s="570">
        <f t="shared" si="239"/>
        <v>-30306</v>
      </c>
      <c r="N592" s="570">
        <f t="shared" si="239"/>
        <v>0</v>
      </c>
      <c r="O592" s="570">
        <f t="shared" si="239"/>
        <v>-30306</v>
      </c>
    </row>
    <row r="593" spans="1:15" s="232" customFormat="1" ht="47.25" x14ac:dyDescent="0.25">
      <c r="A593" s="230"/>
      <c r="B593" s="231" t="s">
        <v>1265</v>
      </c>
      <c r="C593" s="569">
        <f t="shared" ref="C593:O593" si="240">C55+C124+C159+C196+C213+C230+C246+C262+C280+C297+C314+C333+C350</f>
        <v>0</v>
      </c>
      <c r="D593" s="569">
        <f t="shared" si="240"/>
        <v>0</v>
      </c>
      <c r="E593" s="569">
        <f t="shared" si="240"/>
        <v>1749</v>
      </c>
      <c r="F593" s="569">
        <f t="shared" si="240"/>
        <v>0</v>
      </c>
      <c r="G593" s="569">
        <f t="shared" si="240"/>
        <v>0</v>
      </c>
      <c r="H593" s="570">
        <f t="shared" si="240"/>
        <v>1749</v>
      </c>
      <c r="I593" s="570">
        <f t="shared" si="240"/>
        <v>0</v>
      </c>
      <c r="J593" s="570">
        <f t="shared" si="240"/>
        <v>0</v>
      </c>
      <c r="K593" s="570">
        <f t="shared" si="240"/>
        <v>0</v>
      </c>
      <c r="L593" s="570">
        <f t="shared" si="240"/>
        <v>0</v>
      </c>
      <c r="M593" s="570">
        <f t="shared" si="240"/>
        <v>1749</v>
      </c>
      <c r="N593" s="570">
        <f t="shared" si="240"/>
        <v>0</v>
      </c>
      <c r="O593" s="570">
        <f t="shared" si="240"/>
        <v>1749</v>
      </c>
    </row>
    <row r="594" spans="1:15" s="232" customFormat="1" ht="47.25" x14ac:dyDescent="0.25">
      <c r="A594" s="230"/>
      <c r="B594" s="231" t="s">
        <v>1200</v>
      </c>
      <c r="C594" s="569">
        <f t="shared" ref="C594:O594" si="241">C16+C73+C125+C142+C160+C178+C197+C214+C231+C263+C281+C298+C315+C334+C351</f>
        <v>14256</v>
      </c>
      <c r="D594" s="569">
        <f t="shared" si="241"/>
        <v>2495</v>
      </c>
      <c r="E594" s="569">
        <f t="shared" si="241"/>
        <v>0</v>
      </c>
      <c r="F594" s="569">
        <f t="shared" si="241"/>
        <v>0</v>
      </c>
      <c r="G594" s="569">
        <f t="shared" si="241"/>
        <v>0</v>
      </c>
      <c r="H594" s="570">
        <f t="shared" si="241"/>
        <v>16751</v>
      </c>
      <c r="I594" s="570">
        <f t="shared" si="241"/>
        <v>0</v>
      </c>
      <c r="J594" s="570">
        <f t="shared" si="241"/>
        <v>0</v>
      </c>
      <c r="K594" s="570">
        <f t="shared" si="241"/>
        <v>0</v>
      </c>
      <c r="L594" s="570">
        <f t="shared" si="241"/>
        <v>0</v>
      </c>
      <c r="M594" s="570">
        <f t="shared" si="241"/>
        <v>16751</v>
      </c>
      <c r="N594" s="570">
        <f t="shared" si="241"/>
        <v>0</v>
      </c>
      <c r="O594" s="570">
        <f t="shared" si="241"/>
        <v>16751</v>
      </c>
    </row>
    <row r="595" spans="1:15" s="232" customFormat="1" ht="47.25" x14ac:dyDescent="0.25">
      <c r="A595" s="230"/>
      <c r="B595" s="231" t="s">
        <v>1234</v>
      </c>
      <c r="C595" s="569">
        <f t="shared" ref="C595:O595" si="242">C457</f>
        <v>20</v>
      </c>
      <c r="D595" s="569">
        <f t="shared" si="242"/>
        <v>3</v>
      </c>
      <c r="E595" s="569">
        <f t="shared" si="242"/>
        <v>11895</v>
      </c>
      <c r="F595" s="569">
        <f t="shared" si="242"/>
        <v>0</v>
      </c>
      <c r="G595" s="569">
        <f t="shared" si="242"/>
        <v>0</v>
      </c>
      <c r="H595" s="570">
        <f t="shared" si="242"/>
        <v>11918</v>
      </c>
      <c r="I595" s="570">
        <f t="shared" si="242"/>
        <v>572</v>
      </c>
      <c r="J595" s="570">
        <f t="shared" si="242"/>
        <v>0</v>
      </c>
      <c r="K595" s="570">
        <f t="shared" si="242"/>
        <v>0</v>
      </c>
      <c r="L595" s="570">
        <f t="shared" si="242"/>
        <v>572</v>
      </c>
      <c r="M595" s="570">
        <f t="shared" si="242"/>
        <v>12490</v>
      </c>
      <c r="N595" s="570">
        <f t="shared" si="242"/>
        <v>0</v>
      </c>
      <c r="O595" s="570">
        <f t="shared" si="242"/>
        <v>12490</v>
      </c>
    </row>
    <row r="596" spans="1:15" s="232" customFormat="1" ht="31.5" x14ac:dyDescent="0.25">
      <c r="A596" s="230"/>
      <c r="B596" s="231" t="s">
        <v>584</v>
      </c>
      <c r="C596" s="569">
        <f t="shared" ref="C596:O596" si="243">C17+C36+C161+C179+C426+C458+C478</f>
        <v>0</v>
      </c>
      <c r="D596" s="569">
        <f t="shared" si="243"/>
        <v>0</v>
      </c>
      <c r="E596" s="569">
        <f t="shared" si="243"/>
        <v>-15875</v>
      </c>
      <c r="F596" s="569">
        <f t="shared" si="243"/>
        <v>0</v>
      </c>
      <c r="G596" s="569">
        <f t="shared" si="243"/>
        <v>0</v>
      </c>
      <c r="H596" s="570">
        <f t="shared" si="243"/>
        <v>-15875</v>
      </c>
      <c r="I596" s="570">
        <f t="shared" si="243"/>
        <v>15875</v>
      </c>
      <c r="J596" s="570">
        <f t="shared" si="243"/>
        <v>0</v>
      </c>
      <c r="K596" s="570">
        <f t="shared" si="243"/>
        <v>0</v>
      </c>
      <c r="L596" s="570">
        <f t="shared" si="243"/>
        <v>15875</v>
      </c>
      <c r="M596" s="570">
        <f t="shared" si="243"/>
        <v>0</v>
      </c>
      <c r="N596" s="570">
        <f t="shared" si="243"/>
        <v>0</v>
      </c>
      <c r="O596" s="570">
        <f t="shared" si="243"/>
        <v>0</v>
      </c>
    </row>
    <row r="597" spans="1:15" s="232" customFormat="1" x14ac:dyDescent="0.25">
      <c r="A597" s="230"/>
      <c r="B597" s="231" t="s">
        <v>1201</v>
      </c>
      <c r="C597" s="569">
        <f t="shared" ref="C597:O597" si="244">C18+C37+C56+C74+C91+C108+C126+C143+C162+C180+C198+C215+C232+C247+C264+C282+C299+C316+C335+C352+C371+C390+C409+C427+C459</f>
        <v>-23306</v>
      </c>
      <c r="D597" s="569">
        <f t="shared" si="244"/>
        <v>-3967</v>
      </c>
      <c r="E597" s="569">
        <f t="shared" si="244"/>
        <v>-106827</v>
      </c>
      <c r="F597" s="569">
        <f t="shared" si="244"/>
        <v>0</v>
      </c>
      <c r="G597" s="569">
        <f t="shared" si="244"/>
        <v>0</v>
      </c>
      <c r="H597" s="570">
        <f t="shared" si="244"/>
        <v>-134100</v>
      </c>
      <c r="I597" s="570">
        <f t="shared" si="244"/>
        <v>0</v>
      </c>
      <c r="J597" s="570">
        <f t="shared" si="244"/>
        <v>0</v>
      </c>
      <c r="K597" s="570">
        <f t="shared" si="244"/>
        <v>0</v>
      </c>
      <c r="L597" s="570">
        <f t="shared" si="244"/>
        <v>0</v>
      </c>
      <c r="M597" s="570">
        <f t="shared" si="244"/>
        <v>-134100</v>
      </c>
      <c r="N597" s="570">
        <f t="shared" si="244"/>
        <v>0</v>
      </c>
      <c r="O597" s="570">
        <f t="shared" si="244"/>
        <v>-134100</v>
      </c>
    </row>
    <row r="598" spans="1:15" s="232" customFormat="1" ht="31.5" x14ac:dyDescent="0.25">
      <c r="A598" s="230"/>
      <c r="B598" s="231" t="s">
        <v>1235</v>
      </c>
      <c r="C598" s="569">
        <f t="shared" ref="C598:O599" si="245">C568</f>
        <v>-68231</v>
      </c>
      <c r="D598" s="569">
        <f t="shared" si="245"/>
        <v>-11940</v>
      </c>
      <c r="E598" s="569">
        <f t="shared" si="245"/>
        <v>0</v>
      </c>
      <c r="F598" s="569">
        <f t="shared" si="245"/>
        <v>0</v>
      </c>
      <c r="G598" s="569">
        <f t="shared" si="245"/>
        <v>0</v>
      </c>
      <c r="H598" s="570">
        <f t="shared" si="245"/>
        <v>-80171</v>
      </c>
      <c r="I598" s="570">
        <f t="shared" si="245"/>
        <v>0</v>
      </c>
      <c r="J598" s="570">
        <f t="shared" si="245"/>
        <v>0</v>
      </c>
      <c r="K598" s="570">
        <f t="shared" si="245"/>
        <v>0</v>
      </c>
      <c r="L598" s="570">
        <f t="shared" si="245"/>
        <v>0</v>
      </c>
      <c r="M598" s="570">
        <f t="shared" si="245"/>
        <v>-80171</v>
      </c>
      <c r="N598" s="570">
        <f t="shared" si="245"/>
        <v>0</v>
      </c>
      <c r="O598" s="570">
        <f t="shared" si="245"/>
        <v>-80171</v>
      </c>
    </row>
    <row r="599" spans="1:15" s="232" customFormat="1" ht="31.5" x14ac:dyDescent="0.25">
      <c r="A599" s="230"/>
      <c r="B599" s="231" t="s">
        <v>1266</v>
      </c>
      <c r="C599" s="569">
        <f t="shared" si="245"/>
        <v>-15164</v>
      </c>
      <c r="D599" s="569">
        <f t="shared" si="245"/>
        <v>-411</v>
      </c>
      <c r="E599" s="569">
        <f t="shared" si="245"/>
        <v>-17861</v>
      </c>
      <c r="F599" s="569">
        <f t="shared" si="245"/>
        <v>0</v>
      </c>
      <c r="G599" s="569">
        <f t="shared" si="245"/>
        <v>0</v>
      </c>
      <c r="H599" s="570">
        <f t="shared" si="245"/>
        <v>-33436</v>
      </c>
      <c r="I599" s="570">
        <f t="shared" si="245"/>
        <v>29679</v>
      </c>
      <c r="J599" s="570">
        <f t="shared" si="245"/>
        <v>3757</v>
      </c>
      <c r="K599" s="570">
        <f t="shared" si="245"/>
        <v>0</v>
      </c>
      <c r="L599" s="570">
        <f t="shared" si="245"/>
        <v>33436</v>
      </c>
      <c r="M599" s="570">
        <f t="shared" si="245"/>
        <v>0</v>
      </c>
      <c r="N599" s="570">
        <f t="shared" si="245"/>
        <v>0</v>
      </c>
      <c r="O599" s="570">
        <f t="shared" si="245"/>
        <v>0</v>
      </c>
    </row>
    <row r="600" spans="1:15" s="232" customFormat="1" ht="31.5" x14ac:dyDescent="0.25">
      <c r="A600" s="230"/>
      <c r="B600" s="958" t="s">
        <v>1236</v>
      </c>
      <c r="C600" s="569">
        <f t="shared" ref="C600:O600" si="246">C372</f>
        <v>2415</v>
      </c>
      <c r="D600" s="569">
        <f t="shared" si="246"/>
        <v>374</v>
      </c>
      <c r="E600" s="569">
        <f t="shared" si="246"/>
        <v>0</v>
      </c>
      <c r="F600" s="569">
        <f t="shared" si="246"/>
        <v>0</v>
      </c>
      <c r="G600" s="569">
        <f t="shared" si="246"/>
        <v>0</v>
      </c>
      <c r="H600" s="570">
        <f t="shared" si="246"/>
        <v>2789</v>
      </c>
      <c r="I600" s="570">
        <f t="shared" si="246"/>
        <v>0</v>
      </c>
      <c r="J600" s="570">
        <f t="shared" si="246"/>
        <v>0</v>
      </c>
      <c r="K600" s="570">
        <f t="shared" si="246"/>
        <v>0</v>
      </c>
      <c r="L600" s="570">
        <f t="shared" si="246"/>
        <v>0</v>
      </c>
      <c r="M600" s="570">
        <f t="shared" si="246"/>
        <v>2789</v>
      </c>
      <c r="N600" s="570">
        <f t="shared" si="246"/>
        <v>0</v>
      </c>
      <c r="O600" s="570">
        <f t="shared" si="246"/>
        <v>2789</v>
      </c>
    </row>
    <row r="601" spans="1:15" s="232" customFormat="1" ht="47.25" x14ac:dyDescent="0.25">
      <c r="A601" s="230"/>
      <c r="B601" s="958" t="s">
        <v>1267</v>
      </c>
      <c r="C601" s="569">
        <f t="shared" ref="C601:O601" si="247">C181+C283+C317</f>
        <v>0</v>
      </c>
      <c r="D601" s="569">
        <f t="shared" si="247"/>
        <v>0</v>
      </c>
      <c r="E601" s="569">
        <f t="shared" si="247"/>
        <v>3000</v>
      </c>
      <c r="F601" s="569">
        <f t="shared" si="247"/>
        <v>0</v>
      </c>
      <c r="G601" s="569">
        <f t="shared" si="247"/>
        <v>0</v>
      </c>
      <c r="H601" s="570">
        <f t="shared" si="247"/>
        <v>3000</v>
      </c>
      <c r="I601" s="570">
        <f t="shared" si="247"/>
        <v>0</v>
      </c>
      <c r="J601" s="570">
        <f t="shared" si="247"/>
        <v>0</v>
      </c>
      <c r="K601" s="570">
        <f t="shared" si="247"/>
        <v>0</v>
      </c>
      <c r="L601" s="570">
        <f t="shared" si="247"/>
        <v>0</v>
      </c>
      <c r="M601" s="570">
        <f t="shared" si="247"/>
        <v>3000</v>
      </c>
      <c r="N601" s="570">
        <f t="shared" si="247"/>
        <v>0</v>
      </c>
      <c r="O601" s="570">
        <f t="shared" si="247"/>
        <v>3000</v>
      </c>
    </row>
    <row r="602" spans="1:15" s="232" customFormat="1" ht="63" x14ac:dyDescent="0.25">
      <c r="A602" s="230"/>
      <c r="B602" s="231" t="s">
        <v>1321</v>
      </c>
      <c r="C602" s="569">
        <f t="shared" ref="C602:O602" si="248">C479+C548</f>
        <v>-2210</v>
      </c>
      <c r="D602" s="569">
        <f t="shared" si="248"/>
        <v>-418</v>
      </c>
      <c r="E602" s="569">
        <f t="shared" si="248"/>
        <v>-67235</v>
      </c>
      <c r="F602" s="569">
        <f t="shared" si="248"/>
        <v>0</v>
      </c>
      <c r="G602" s="569">
        <f t="shared" si="248"/>
        <v>0</v>
      </c>
      <c r="H602" s="570">
        <f t="shared" si="248"/>
        <v>-69863</v>
      </c>
      <c r="I602" s="570">
        <f t="shared" si="248"/>
        <v>0</v>
      </c>
      <c r="J602" s="570">
        <f t="shared" si="248"/>
        <v>0</v>
      </c>
      <c r="K602" s="570">
        <f t="shared" si="248"/>
        <v>0</v>
      </c>
      <c r="L602" s="570">
        <f t="shared" si="248"/>
        <v>0</v>
      </c>
      <c r="M602" s="570">
        <f t="shared" si="248"/>
        <v>-69863</v>
      </c>
      <c r="N602" s="570">
        <f t="shared" si="248"/>
        <v>0</v>
      </c>
      <c r="O602" s="570">
        <f t="shared" si="248"/>
        <v>-69863</v>
      </c>
    </row>
    <row r="603" spans="1:15" s="232" customFormat="1" x14ac:dyDescent="0.25">
      <c r="A603" s="230"/>
      <c r="B603" s="231">
        <v>0</v>
      </c>
      <c r="C603" s="569">
        <f t="shared" ref="C603:O603" si="249">C19+C38+C57+C92+C300+C373+C391+C410</f>
        <v>15818</v>
      </c>
      <c r="D603" s="569">
        <f t="shared" si="249"/>
        <v>2769</v>
      </c>
      <c r="E603" s="569">
        <f t="shared" si="249"/>
        <v>0</v>
      </c>
      <c r="F603" s="569">
        <f t="shared" si="249"/>
        <v>0</v>
      </c>
      <c r="G603" s="569">
        <f t="shared" si="249"/>
        <v>0</v>
      </c>
      <c r="H603" s="570">
        <f t="shared" si="249"/>
        <v>18587</v>
      </c>
      <c r="I603" s="570">
        <f t="shared" si="249"/>
        <v>0</v>
      </c>
      <c r="J603" s="570">
        <f t="shared" si="249"/>
        <v>0</v>
      </c>
      <c r="K603" s="570">
        <f t="shared" si="249"/>
        <v>0</v>
      </c>
      <c r="L603" s="570">
        <f t="shared" si="249"/>
        <v>0</v>
      </c>
      <c r="M603" s="570">
        <f t="shared" si="249"/>
        <v>18587</v>
      </c>
      <c r="N603" s="570">
        <f t="shared" si="249"/>
        <v>0</v>
      </c>
      <c r="O603" s="570">
        <f t="shared" si="249"/>
        <v>18587</v>
      </c>
    </row>
    <row r="604" spans="1:15" s="232" customFormat="1" ht="47.25" x14ac:dyDescent="0.25">
      <c r="A604" s="230"/>
      <c r="B604" s="231" t="s">
        <v>1268</v>
      </c>
      <c r="C604" s="569">
        <f t="shared" ref="C604:O604" si="250">C75+C265+C318</f>
        <v>980</v>
      </c>
      <c r="D604" s="569">
        <f t="shared" si="250"/>
        <v>148</v>
      </c>
      <c r="E604" s="569">
        <f t="shared" si="250"/>
        <v>0</v>
      </c>
      <c r="F604" s="569">
        <f t="shared" si="250"/>
        <v>0</v>
      </c>
      <c r="G604" s="569">
        <f t="shared" si="250"/>
        <v>0</v>
      </c>
      <c r="H604" s="570">
        <f t="shared" si="250"/>
        <v>1128</v>
      </c>
      <c r="I604" s="570">
        <f t="shared" si="250"/>
        <v>0</v>
      </c>
      <c r="J604" s="570">
        <f t="shared" si="250"/>
        <v>0</v>
      </c>
      <c r="K604" s="570">
        <f t="shared" si="250"/>
        <v>0</v>
      </c>
      <c r="L604" s="570">
        <f t="shared" si="250"/>
        <v>0</v>
      </c>
      <c r="M604" s="570">
        <f t="shared" si="250"/>
        <v>1128</v>
      </c>
      <c r="N604" s="570">
        <f t="shared" si="250"/>
        <v>0</v>
      </c>
      <c r="O604" s="570">
        <f t="shared" si="250"/>
        <v>1128</v>
      </c>
    </row>
    <row r="605" spans="1:15" s="232" customFormat="1" ht="113.25" customHeight="1" x14ac:dyDescent="0.25">
      <c r="A605" s="230"/>
      <c r="B605" s="231" t="s">
        <v>1269</v>
      </c>
      <c r="C605" s="569">
        <f t="shared" ref="C605:O605" si="251">C20+C392+C374+C570</f>
        <v>0</v>
      </c>
      <c r="D605" s="569">
        <f t="shared" si="251"/>
        <v>0</v>
      </c>
      <c r="E605" s="569">
        <f t="shared" si="251"/>
        <v>-1220000</v>
      </c>
      <c r="F605" s="569">
        <f t="shared" si="251"/>
        <v>0</v>
      </c>
      <c r="G605" s="569">
        <f t="shared" si="251"/>
        <v>0</v>
      </c>
      <c r="H605" s="570">
        <f t="shared" si="251"/>
        <v>-1220000</v>
      </c>
      <c r="I605" s="570">
        <f t="shared" si="251"/>
        <v>0</v>
      </c>
      <c r="J605" s="570">
        <f t="shared" si="251"/>
        <v>0</v>
      </c>
      <c r="K605" s="570">
        <f t="shared" si="251"/>
        <v>0</v>
      </c>
      <c r="L605" s="570">
        <f t="shared" si="251"/>
        <v>0</v>
      </c>
      <c r="M605" s="570">
        <f t="shared" si="251"/>
        <v>-1220000</v>
      </c>
      <c r="N605" s="570">
        <f t="shared" si="251"/>
        <v>0</v>
      </c>
      <c r="O605" s="570">
        <f t="shared" si="251"/>
        <v>-1220000</v>
      </c>
    </row>
    <row r="606" spans="1:15" s="232" customFormat="1" ht="47.25" x14ac:dyDescent="0.25">
      <c r="A606" s="230"/>
      <c r="B606" s="231" t="s">
        <v>1270</v>
      </c>
      <c r="C606" s="569">
        <f t="shared" ref="C606:O606" si="252">C460</f>
        <v>0</v>
      </c>
      <c r="D606" s="569">
        <f t="shared" si="252"/>
        <v>0</v>
      </c>
      <c r="E606" s="569">
        <f t="shared" si="252"/>
        <v>2100</v>
      </c>
      <c r="F606" s="569">
        <f t="shared" si="252"/>
        <v>0</v>
      </c>
      <c r="G606" s="569">
        <f t="shared" si="252"/>
        <v>0</v>
      </c>
      <c r="H606" s="570">
        <f t="shared" si="252"/>
        <v>2100</v>
      </c>
      <c r="I606" s="570">
        <f t="shared" si="252"/>
        <v>0</v>
      </c>
      <c r="J606" s="570">
        <f t="shared" si="252"/>
        <v>0</v>
      </c>
      <c r="K606" s="570">
        <f t="shared" si="252"/>
        <v>0</v>
      </c>
      <c r="L606" s="570">
        <f t="shared" si="252"/>
        <v>0</v>
      </c>
      <c r="M606" s="570">
        <f t="shared" si="252"/>
        <v>2100</v>
      </c>
      <c r="N606" s="570">
        <f t="shared" si="252"/>
        <v>0</v>
      </c>
      <c r="O606" s="570">
        <f t="shared" si="252"/>
        <v>2100</v>
      </c>
    </row>
    <row r="607" spans="1:15" s="232" customFormat="1" ht="47.25" x14ac:dyDescent="0.25">
      <c r="A607" s="230"/>
      <c r="B607" s="231" t="s">
        <v>1242</v>
      </c>
      <c r="C607" s="569">
        <f>C393</f>
        <v>0</v>
      </c>
      <c r="D607" s="569">
        <f t="shared" ref="D607:O607" si="253">D393</f>
        <v>0</v>
      </c>
      <c r="E607" s="569">
        <f t="shared" si="253"/>
        <v>0</v>
      </c>
      <c r="F607" s="569">
        <f t="shared" si="253"/>
        <v>0</v>
      </c>
      <c r="G607" s="569">
        <f t="shared" si="253"/>
        <v>0</v>
      </c>
      <c r="H607" s="570">
        <f t="shared" si="253"/>
        <v>0</v>
      </c>
      <c r="I607" s="570">
        <f t="shared" si="253"/>
        <v>6400</v>
      </c>
      <c r="J607" s="570">
        <f t="shared" si="253"/>
        <v>0</v>
      </c>
      <c r="K607" s="570">
        <f t="shared" si="253"/>
        <v>0</v>
      </c>
      <c r="L607" s="570">
        <f t="shared" si="253"/>
        <v>6400</v>
      </c>
      <c r="M607" s="570">
        <f t="shared" si="253"/>
        <v>6400</v>
      </c>
      <c r="N607" s="570">
        <f t="shared" si="253"/>
        <v>0</v>
      </c>
      <c r="O607" s="570">
        <f t="shared" si="253"/>
        <v>6400</v>
      </c>
    </row>
    <row r="608" spans="1:15" s="232" customFormat="1" x14ac:dyDescent="0.25">
      <c r="A608" s="230"/>
      <c r="B608" s="159" t="s">
        <v>133</v>
      </c>
      <c r="C608" s="569"/>
      <c r="D608" s="569"/>
      <c r="E608" s="569"/>
      <c r="F608" s="569"/>
      <c r="G608" s="571"/>
      <c r="H608" s="570"/>
      <c r="I608" s="569"/>
      <c r="J608" s="569"/>
      <c r="K608" s="572"/>
      <c r="L608" s="570"/>
      <c r="M608" s="570"/>
      <c r="N608" s="570"/>
      <c r="O608" s="570"/>
    </row>
    <row r="609" spans="1:15" s="232" customFormat="1" ht="31.5" x14ac:dyDescent="0.25">
      <c r="A609" s="230"/>
      <c r="B609" s="231" t="s">
        <v>1243</v>
      </c>
      <c r="C609" s="569">
        <f t="shared" ref="C609:O609" si="254">C437+C490+C502+C517+C532</f>
        <v>56978</v>
      </c>
      <c r="D609" s="569">
        <f t="shared" si="254"/>
        <v>11722</v>
      </c>
      <c r="E609" s="569">
        <f t="shared" si="254"/>
        <v>36543</v>
      </c>
      <c r="F609" s="569">
        <f t="shared" si="254"/>
        <v>0</v>
      </c>
      <c r="G609" s="569">
        <f t="shared" si="254"/>
        <v>0</v>
      </c>
      <c r="H609" s="570">
        <f t="shared" si="254"/>
        <v>105243</v>
      </c>
      <c r="I609" s="570">
        <f t="shared" si="254"/>
        <v>0</v>
      </c>
      <c r="J609" s="570">
        <f t="shared" si="254"/>
        <v>0</v>
      </c>
      <c r="K609" s="570">
        <f t="shared" si="254"/>
        <v>2770</v>
      </c>
      <c r="L609" s="570">
        <f t="shared" si="254"/>
        <v>2770</v>
      </c>
      <c r="M609" s="570">
        <f t="shared" si="254"/>
        <v>108013</v>
      </c>
      <c r="N609" s="570">
        <f t="shared" si="254"/>
        <v>0</v>
      </c>
      <c r="O609" s="570">
        <f t="shared" si="254"/>
        <v>108013</v>
      </c>
    </row>
    <row r="610" spans="1:15" s="232" customFormat="1" ht="31.5" x14ac:dyDescent="0.25">
      <c r="A610" s="230"/>
      <c r="B610" s="231" t="s">
        <v>1252</v>
      </c>
      <c r="C610" s="569">
        <f t="shared" ref="C610:O610" si="255">C518</f>
        <v>111</v>
      </c>
      <c r="D610" s="569">
        <f t="shared" si="255"/>
        <v>19</v>
      </c>
      <c r="E610" s="569">
        <f t="shared" si="255"/>
        <v>0</v>
      </c>
      <c r="F610" s="569">
        <f t="shared" si="255"/>
        <v>0</v>
      </c>
      <c r="G610" s="569">
        <f t="shared" si="255"/>
        <v>0</v>
      </c>
      <c r="H610" s="570">
        <f t="shared" si="255"/>
        <v>130</v>
      </c>
      <c r="I610" s="570">
        <f t="shared" si="255"/>
        <v>0</v>
      </c>
      <c r="J610" s="570">
        <f t="shared" si="255"/>
        <v>0</v>
      </c>
      <c r="K610" s="570">
        <f t="shared" si="255"/>
        <v>0</v>
      </c>
      <c r="L610" s="570">
        <f t="shared" si="255"/>
        <v>0</v>
      </c>
      <c r="M610" s="570">
        <f t="shared" si="255"/>
        <v>130</v>
      </c>
      <c r="N610" s="570">
        <f t="shared" si="255"/>
        <v>0</v>
      </c>
      <c r="O610" s="570">
        <f t="shared" si="255"/>
        <v>130</v>
      </c>
    </row>
    <row r="611" spans="1:15" s="232" customFormat="1" ht="31.5" x14ac:dyDescent="0.25">
      <c r="A611" s="230"/>
      <c r="B611" s="231" t="s">
        <v>1216</v>
      </c>
      <c r="C611" s="569">
        <f t="shared" ref="C611:O611" si="256">C438+C491+C503+C519+C533</f>
        <v>12325</v>
      </c>
      <c r="D611" s="569">
        <f t="shared" si="256"/>
        <v>2157</v>
      </c>
      <c r="E611" s="569">
        <f t="shared" si="256"/>
        <v>0</v>
      </c>
      <c r="F611" s="569">
        <f t="shared" si="256"/>
        <v>0</v>
      </c>
      <c r="G611" s="569">
        <f t="shared" si="256"/>
        <v>0</v>
      </c>
      <c r="H611" s="570">
        <f t="shared" si="256"/>
        <v>14482</v>
      </c>
      <c r="I611" s="570">
        <f t="shared" si="256"/>
        <v>0</v>
      </c>
      <c r="J611" s="570">
        <f t="shared" si="256"/>
        <v>0</v>
      </c>
      <c r="K611" s="570">
        <f t="shared" si="256"/>
        <v>0</v>
      </c>
      <c r="L611" s="570">
        <f t="shared" si="256"/>
        <v>0</v>
      </c>
      <c r="M611" s="570">
        <f t="shared" si="256"/>
        <v>14482</v>
      </c>
      <c r="N611" s="570">
        <f t="shared" si="256"/>
        <v>0</v>
      </c>
      <c r="O611" s="570">
        <f t="shared" si="256"/>
        <v>14482</v>
      </c>
    </row>
    <row r="612" spans="1:15" s="232" customFormat="1" x14ac:dyDescent="0.25">
      <c r="A612" s="230"/>
      <c r="B612" s="231" t="s">
        <v>1244</v>
      </c>
      <c r="C612" s="569">
        <f t="shared" ref="C612:O612" si="257">C164+C462+C463+C550</f>
        <v>0</v>
      </c>
      <c r="D612" s="569">
        <f t="shared" si="257"/>
        <v>0</v>
      </c>
      <c r="E612" s="569">
        <f t="shared" si="257"/>
        <v>350</v>
      </c>
      <c r="F612" s="569">
        <f t="shared" si="257"/>
        <v>0</v>
      </c>
      <c r="G612" s="569">
        <f t="shared" si="257"/>
        <v>0</v>
      </c>
      <c r="H612" s="570">
        <f t="shared" si="257"/>
        <v>350</v>
      </c>
      <c r="I612" s="570">
        <f t="shared" si="257"/>
        <v>0</v>
      </c>
      <c r="J612" s="570">
        <f t="shared" si="257"/>
        <v>0</v>
      </c>
      <c r="K612" s="570">
        <f t="shared" si="257"/>
        <v>0</v>
      </c>
      <c r="L612" s="570">
        <f t="shared" si="257"/>
        <v>0</v>
      </c>
      <c r="M612" s="570">
        <f t="shared" si="257"/>
        <v>350</v>
      </c>
      <c r="N612" s="570">
        <f t="shared" si="257"/>
        <v>0</v>
      </c>
      <c r="O612" s="570">
        <f t="shared" si="257"/>
        <v>350</v>
      </c>
    </row>
    <row r="613" spans="1:15" s="232" customFormat="1" x14ac:dyDescent="0.25">
      <c r="A613" s="230"/>
      <c r="B613" s="231" t="s">
        <v>1245</v>
      </c>
      <c r="C613" s="569">
        <f t="shared" ref="C613:O613" si="258">C439+C551</f>
        <v>0</v>
      </c>
      <c r="D613" s="569">
        <f t="shared" si="258"/>
        <v>0</v>
      </c>
      <c r="E613" s="569">
        <f t="shared" si="258"/>
        <v>250</v>
      </c>
      <c r="F613" s="569">
        <f t="shared" si="258"/>
        <v>0</v>
      </c>
      <c r="G613" s="569">
        <f t="shared" si="258"/>
        <v>0</v>
      </c>
      <c r="H613" s="570">
        <f t="shared" si="258"/>
        <v>250</v>
      </c>
      <c r="I613" s="570">
        <f t="shared" si="258"/>
        <v>0</v>
      </c>
      <c r="J613" s="570">
        <f t="shared" si="258"/>
        <v>0</v>
      </c>
      <c r="K613" s="570">
        <f t="shared" si="258"/>
        <v>0</v>
      </c>
      <c r="L613" s="570">
        <f t="shared" si="258"/>
        <v>0</v>
      </c>
      <c r="M613" s="570">
        <f t="shared" si="258"/>
        <v>250</v>
      </c>
      <c r="N613" s="570">
        <f t="shared" si="258"/>
        <v>0</v>
      </c>
      <c r="O613" s="570">
        <f t="shared" si="258"/>
        <v>250</v>
      </c>
    </row>
    <row r="614" spans="1:15" s="232" customFormat="1" x14ac:dyDescent="0.25">
      <c r="A614" s="230"/>
      <c r="B614" s="231" t="s">
        <v>1204</v>
      </c>
      <c r="C614" s="569">
        <f t="shared" ref="C614:O614" si="259">C22+C40+C59+C77+C94+C110+C128+C145+C165+C183+C200+C217+C234+C249+C267+C285+C302+C320+C337+C354+C376+C395+C412+C429+C440+C464+C481+C492+C504+C520+C534+C552</f>
        <v>57999</v>
      </c>
      <c r="D614" s="569">
        <f t="shared" si="259"/>
        <v>18848</v>
      </c>
      <c r="E614" s="569">
        <f t="shared" si="259"/>
        <v>0</v>
      </c>
      <c r="F614" s="569">
        <f t="shared" si="259"/>
        <v>0</v>
      </c>
      <c r="G614" s="569">
        <f t="shared" si="259"/>
        <v>0</v>
      </c>
      <c r="H614" s="570">
        <f t="shared" si="259"/>
        <v>76847</v>
      </c>
      <c r="I614" s="570">
        <f t="shared" si="259"/>
        <v>0</v>
      </c>
      <c r="J614" s="570">
        <f t="shared" si="259"/>
        <v>0</v>
      </c>
      <c r="K614" s="570">
        <f t="shared" si="259"/>
        <v>0</v>
      </c>
      <c r="L614" s="570">
        <f t="shared" si="259"/>
        <v>0</v>
      </c>
      <c r="M614" s="570">
        <f t="shared" si="259"/>
        <v>76847</v>
      </c>
      <c r="N614" s="570">
        <f t="shared" si="259"/>
        <v>0</v>
      </c>
      <c r="O614" s="570">
        <f t="shared" si="259"/>
        <v>76847</v>
      </c>
    </row>
    <row r="615" spans="1:15" s="232" customFormat="1" ht="31.5" x14ac:dyDescent="0.25">
      <c r="A615" s="230"/>
      <c r="B615" s="231" t="s">
        <v>1198</v>
      </c>
      <c r="C615" s="569">
        <f t="shared" ref="C615:O615" si="260">C441+C493+C505+C521+C535</f>
        <v>0</v>
      </c>
      <c r="D615" s="569">
        <f t="shared" si="260"/>
        <v>-6092</v>
      </c>
      <c r="E615" s="569">
        <f t="shared" si="260"/>
        <v>0</v>
      </c>
      <c r="F615" s="569">
        <f t="shared" si="260"/>
        <v>0</v>
      </c>
      <c r="G615" s="569">
        <f t="shared" si="260"/>
        <v>0</v>
      </c>
      <c r="H615" s="570">
        <f t="shared" si="260"/>
        <v>-6092</v>
      </c>
      <c r="I615" s="570">
        <f t="shared" si="260"/>
        <v>0</v>
      </c>
      <c r="J615" s="570">
        <f t="shared" si="260"/>
        <v>0</v>
      </c>
      <c r="K615" s="570">
        <f t="shared" si="260"/>
        <v>0</v>
      </c>
      <c r="L615" s="570">
        <f t="shared" si="260"/>
        <v>0</v>
      </c>
      <c r="M615" s="570">
        <f t="shared" si="260"/>
        <v>-6092</v>
      </c>
      <c r="N615" s="570">
        <f t="shared" si="260"/>
        <v>0</v>
      </c>
      <c r="O615" s="570">
        <f t="shared" si="260"/>
        <v>-6092</v>
      </c>
    </row>
    <row r="616" spans="1:15" s="232" customFormat="1" x14ac:dyDescent="0.25">
      <c r="A616" s="230"/>
      <c r="B616" s="231" t="s">
        <v>1199</v>
      </c>
      <c r="C616" s="569">
        <f t="shared" ref="C616:O616" si="261">C442+C494</f>
        <v>-620</v>
      </c>
      <c r="D616" s="569">
        <f t="shared" si="261"/>
        <v>-108</v>
      </c>
      <c r="E616" s="569">
        <f t="shared" si="261"/>
        <v>0</v>
      </c>
      <c r="F616" s="569">
        <f t="shared" si="261"/>
        <v>0</v>
      </c>
      <c r="G616" s="569">
        <f t="shared" si="261"/>
        <v>0</v>
      </c>
      <c r="H616" s="570">
        <f t="shared" si="261"/>
        <v>-728</v>
      </c>
      <c r="I616" s="570">
        <f t="shared" si="261"/>
        <v>0</v>
      </c>
      <c r="J616" s="570">
        <f t="shared" si="261"/>
        <v>0</v>
      </c>
      <c r="K616" s="570">
        <f t="shared" si="261"/>
        <v>0</v>
      </c>
      <c r="L616" s="570">
        <f t="shared" si="261"/>
        <v>0</v>
      </c>
      <c r="M616" s="570">
        <f t="shared" si="261"/>
        <v>-728</v>
      </c>
      <c r="N616" s="570">
        <f t="shared" si="261"/>
        <v>0</v>
      </c>
      <c r="O616" s="570">
        <f t="shared" si="261"/>
        <v>-728</v>
      </c>
    </row>
    <row r="617" spans="1:15" s="232" customFormat="1" ht="31.5" x14ac:dyDescent="0.25">
      <c r="A617" s="230"/>
      <c r="B617" s="958" t="s">
        <v>584</v>
      </c>
      <c r="C617" s="569">
        <f t="shared" ref="C617:O617" si="262">C443+C507+C522+C536+C553</f>
        <v>0</v>
      </c>
      <c r="D617" s="569">
        <f t="shared" si="262"/>
        <v>0</v>
      </c>
      <c r="E617" s="569">
        <f t="shared" si="262"/>
        <v>-37565</v>
      </c>
      <c r="F617" s="569">
        <f t="shared" si="262"/>
        <v>0</v>
      </c>
      <c r="G617" s="569">
        <f t="shared" si="262"/>
        <v>0</v>
      </c>
      <c r="H617" s="570">
        <f t="shared" si="262"/>
        <v>-37565</v>
      </c>
      <c r="I617" s="570">
        <f t="shared" si="262"/>
        <v>36888</v>
      </c>
      <c r="J617" s="570">
        <f t="shared" si="262"/>
        <v>677</v>
      </c>
      <c r="K617" s="570">
        <f t="shared" si="262"/>
        <v>0</v>
      </c>
      <c r="L617" s="570">
        <f t="shared" si="262"/>
        <v>37565</v>
      </c>
      <c r="M617" s="570">
        <f t="shared" si="262"/>
        <v>0</v>
      </c>
      <c r="N617" s="570">
        <f t="shared" si="262"/>
        <v>0</v>
      </c>
      <c r="O617" s="570">
        <f t="shared" si="262"/>
        <v>0</v>
      </c>
    </row>
    <row r="618" spans="1:15" s="232" customFormat="1" ht="47.25" x14ac:dyDescent="0.25">
      <c r="A618" s="230"/>
      <c r="B618" s="958" t="s">
        <v>1271</v>
      </c>
      <c r="C618" s="569">
        <f t="shared" ref="C618:O618" si="263">C508</f>
        <v>0</v>
      </c>
      <c r="D618" s="569">
        <f t="shared" si="263"/>
        <v>0</v>
      </c>
      <c r="E618" s="569">
        <f t="shared" si="263"/>
        <v>20000</v>
      </c>
      <c r="F618" s="569">
        <f t="shared" si="263"/>
        <v>0</v>
      </c>
      <c r="G618" s="569">
        <f t="shared" si="263"/>
        <v>0</v>
      </c>
      <c r="H618" s="570">
        <f t="shared" si="263"/>
        <v>20000</v>
      </c>
      <c r="I618" s="570">
        <f t="shared" si="263"/>
        <v>0</v>
      </c>
      <c r="J618" s="570">
        <f t="shared" si="263"/>
        <v>0</v>
      </c>
      <c r="K618" s="570">
        <f t="shared" si="263"/>
        <v>-20000</v>
      </c>
      <c r="L618" s="570">
        <f t="shared" si="263"/>
        <v>-20000</v>
      </c>
      <c r="M618" s="570">
        <f t="shared" si="263"/>
        <v>0</v>
      </c>
      <c r="N618" s="570">
        <f t="shared" si="263"/>
        <v>0</v>
      </c>
      <c r="O618" s="570">
        <f t="shared" si="263"/>
        <v>0</v>
      </c>
    </row>
    <row r="619" spans="1:15" s="232" customFormat="1" ht="47.25" x14ac:dyDescent="0.25">
      <c r="A619" s="230"/>
      <c r="B619" s="231" t="s">
        <v>1272</v>
      </c>
      <c r="C619" s="569">
        <f t="shared" ref="C619:O619" si="264">C524</f>
        <v>51064</v>
      </c>
      <c r="D619" s="569">
        <f t="shared" si="264"/>
        <v>8936</v>
      </c>
      <c r="E619" s="569">
        <f t="shared" si="264"/>
        <v>1042</v>
      </c>
      <c r="F619" s="569">
        <f t="shared" si="264"/>
        <v>0</v>
      </c>
      <c r="G619" s="569">
        <f t="shared" si="264"/>
        <v>0</v>
      </c>
      <c r="H619" s="570">
        <f t="shared" si="264"/>
        <v>61042</v>
      </c>
      <c r="I619" s="570">
        <f t="shared" si="264"/>
        <v>0</v>
      </c>
      <c r="J619" s="570">
        <f t="shared" si="264"/>
        <v>0</v>
      </c>
      <c r="K619" s="570">
        <f t="shared" si="264"/>
        <v>0</v>
      </c>
      <c r="L619" s="570">
        <f t="shared" si="264"/>
        <v>0</v>
      </c>
      <c r="M619" s="570">
        <f t="shared" si="264"/>
        <v>61042</v>
      </c>
      <c r="N619" s="570">
        <f t="shared" si="264"/>
        <v>0</v>
      </c>
      <c r="O619" s="570">
        <f t="shared" si="264"/>
        <v>61042</v>
      </c>
    </row>
    <row r="620" spans="1:15" s="232" customFormat="1" ht="31.5" x14ac:dyDescent="0.25">
      <c r="A620" s="230"/>
      <c r="B620" s="231" t="s">
        <v>1250</v>
      </c>
      <c r="C620" s="569">
        <f>C572</f>
        <v>0</v>
      </c>
      <c r="D620" s="569">
        <f t="shared" ref="D620:O620" si="265">D572</f>
        <v>0</v>
      </c>
      <c r="E620" s="569">
        <f t="shared" si="265"/>
        <v>10668</v>
      </c>
      <c r="F620" s="569">
        <f t="shared" si="265"/>
        <v>0</v>
      </c>
      <c r="G620" s="569">
        <f t="shared" si="265"/>
        <v>0</v>
      </c>
      <c r="H620" s="570">
        <f t="shared" si="265"/>
        <v>10668</v>
      </c>
      <c r="I620" s="570">
        <f t="shared" si="265"/>
        <v>0</v>
      </c>
      <c r="J620" s="570">
        <f t="shared" si="265"/>
        <v>0</v>
      </c>
      <c r="K620" s="570">
        <f t="shared" si="265"/>
        <v>0</v>
      </c>
      <c r="L620" s="570">
        <f t="shared" si="265"/>
        <v>0</v>
      </c>
      <c r="M620" s="570">
        <f t="shared" si="265"/>
        <v>10668</v>
      </c>
      <c r="N620" s="570">
        <f t="shared" si="265"/>
        <v>0</v>
      </c>
      <c r="O620" s="570">
        <f t="shared" si="265"/>
        <v>10668</v>
      </c>
    </row>
    <row r="621" spans="1:15" s="232" customFormat="1" ht="31.5" x14ac:dyDescent="0.25">
      <c r="A621" s="230"/>
      <c r="B621" s="231" t="s">
        <v>1222</v>
      </c>
      <c r="C621" s="569">
        <f t="shared" ref="C621:O621" si="266">C465+C482+C509+C525+C554</f>
        <v>0</v>
      </c>
      <c r="D621" s="569">
        <f t="shared" si="266"/>
        <v>0</v>
      </c>
      <c r="E621" s="569">
        <f t="shared" si="266"/>
        <v>1965</v>
      </c>
      <c r="F621" s="569">
        <f t="shared" si="266"/>
        <v>0</v>
      </c>
      <c r="G621" s="569">
        <f t="shared" si="266"/>
        <v>0</v>
      </c>
      <c r="H621" s="570">
        <f t="shared" si="266"/>
        <v>1965</v>
      </c>
      <c r="I621" s="570">
        <f t="shared" si="266"/>
        <v>0</v>
      </c>
      <c r="J621" s="570">
        <f t="shared" si="266"/>
        <v>0</v>
      </c>
      <c r="K621" s="570">
        <f t="shared" si="266"/>
        <v>0</v>
      </c>
      <c r="L621" s="570">
        <f t="shared" si="266"/>
        <v>0</v>
      </c>
      <c r="M621" s="570">
        <f t="shared" si="266"/>
        <v>1965</v>
      </c>
      <c r="N621" s="570">
        <f t="shared" si="266"/>
        <v>0</v>
      </c>
      <c r="O621" s="570">
        <f t="shared" si="266"/>
        <v>1965</v>
      </c>
    </row>
    <row r="622" spans="1:15" s="232" customFormat="1" x14ac:dyDescent="0.25">
      <c r="A622" s="230"/>
      <c r="B622" s="231" t="s">
        <v>1201</v>
      </c>
      <c r="C622" s="569">
        <f t="shared" ref="C622:O622" si="267">C444+C495</f>
        <v>-4909</v>
      </c>
      <c r="D622" s="569">
        <f t="shared" si="267"/>
        <v>-859</v>
      </c>
      <c r="E622" s="569">
        <f t="shared" si="267"/>
        <v>-1718</v>
      </c>
      <c r="F622" s="569">
        <f t="shared" si="267"/>
        <v>0</v>
      </c>
      <c r="G622" s="569">
        <f t="shared" si="267"/>
        <v>0</v>
      </c>
      <c r="H622" s="570">
        <f t="shared" si="267"/>
        <v>-7486</v>
      </c>
      <c r="I622" s="570">
        <f t="shared" si="267"/>
        <v>0</v>
      </c>
      <c r="J622" s="570">
        <f t="shared" si="267"/>
        <v>0</v>
      </c>
      <c r="K622" s="570">
        <f t="shared" si="267"/>
        <v>0</v>
      </c>
      <c r="L622" s="570">
        <f t="shared" si="267"/>
        <v>0</v>
      </c>
      <c r="M622" s="570">
        <f t="shared" si="267"/>
        <v>-7486</v>
      </c>
      <c r="N622" s="570">
        <f t="shared" si="267"/>
        <v>0</v>
      </c>
      <c r="O622" s="570">
        <f t="shared" si="267"/>
        <v>-7486</v>
      </c>
    </row>
    <row r="623" spans="1:15" s="232" customFormat="1" ht="31.5" x14ac:dyDescent="0.25">
      <c r="A623" s="230"/>
      <c r="B623" s="231" t="s">
        <v>1235</v>
      </c>
      <c r="C623" s="569">
        <f>C573</f>
        <v>-138958</v>
      </c>
      <c r="D623" s="569">
        <f t="shared" ref="D623:O624" si="268">D573</f>
        <v>-23292</v>
      </c>
      <c r="E623" s="569">
        <f t="shared" si="268"/>
        <v>0</v>
      </c>
      <c r="F623" s="569">
        <f t="shared" si="268"/>
        <v>0</v>
      </c>
      <c r="G623" s="569">
        <f t="shared" si="268"/>
        <v>0</v>
      </c>
      <c r="H623" s="570">
        <f t="shared" si="268"/>
        <v>-162250</v>
      </c>
      <c r="I623" s="570">
        <f t="shared" si="268"/>
        <v>0</v>
      </c>
      <c r="J623" s="570">
        <f t="shared" si="268"/>
        <v>0</v>
      </c>
      <c r="K623" s="570">
        <f t="shared" si="268"/>
        <v>0</v>
      </c>
      <c r="L623" s="570">
        <f t="shared" si="268"/>
        <v>0</v>
      </c>
      <c r="M623" s="570">
        <f t="shared" si="268"/>
        <v>-162250</v>
      </c>
      <c r="N623" s="570">
        <f t="shared" si="268"/>
        <v>0</v>
      </c>
      <c r="O623" s="570">
        <f t="shared" si="268"/>
        <v>-162250</v>
      </c>
    </row>
    <row r="624" spans="1:15" s="232" customFormat="1" ht="31.5" x14ac:dyDescent="0.25">
      <c r="A624" s="230"/>
      <c r="B624" s="231" t="s">
        <v>1266</v>
      </c>
      <c r="C624" s="569">
        <f>C574</f>
        <v>383</v>
      </c>
      <c r="D624" s="569">
        <f t="shared" si="268"/>
        <v>-4500</v>
      </c>
      <c r="E624" s="569">
        <f t="shared" si="268"/>
        <v>4117</v>
      </c>
      <c r="F624" s="569">
        <f t="shared" si="268"/>
        <v>0</v>
      </c>
      <c r="G624" s="569">
        <f t="shared" si="268"/>
        <v>0</v>
      </c>
      <c r="H624" s="570">
        <f t="shared" si="268"/>
        <v>0</v>
      </c>
      <c r="I624" s="570">
        <f t="shared" si="268"/>
        <v>0</v>
      </c>
      <c r="J624" s="570">
        <f t="shared" si="268"/>
        <v>0</v>
      </c>
      <c r="K624" s="570">
        <f t="shared" si="268"/>
        <v>0</v>
      </c>
      <c r="L624" s="570">
        <f t="shared" si="268"/>
        <v>0</v>
      </c>
      <c r="M624" s="570">
        <f t="shared" si="268"/>
        <v>0</v>
      </c>
      <c r="N624" s="570">
        <f t="shared" si="268"/>
        <v>0</v>
      </c>
      <c r="O624" s="570">
        <f t="shared" si="268"/>
        <v>0</v>
      </c>
    </row>
    <row r="625" spans="1:16" s="232" customFormat="1" ht="47.25" x14ac:dyDescent="0.25">
      <c r="A625" s="230"/>
      <c r="B625" s="231" t="s">
        <v>1273</v>
      </c>
      <c r="C625" s="569">
        <f>C510+C537+C523</f>
        <v>-8793</v>
      </c>
      <c r="D625" s="569">
        <f t="shared" ref="D625:O625" si="269">D510+D537+D523</f>
        <v>-2065</v>
      </c>
      <c r="E625" s="569">
        <f t="shared" si="269"/>
        <v>-153939</v>
      </c>
      <c r="F625" s="569">
        <f t="shared" si="269"/>
        <v>0</v>
      </c>
      <c r="G625" s="569">
        <f t="shared" si="269"/>
        <v>0</v>
      </c>
      <c r="H625" s="570">
        <f t="shared" si="269"/>
        <v>-164797</v>
      </c>
      <c r="I625" s="570">
        <f t="shared" si="269"/>
        <v>0</v>
      </c>
      <c r="J625" s="570">
        <f t="shared" si="269"/>
        <v>0</v>
      </c>
      <c r="K625" s="570">
        <f t="shared" si="269"/>
        <v>0</v>
      </c>
      <c r="L625" s="570">
        <f t="shared" si="269"/>
        <v>0</v>
      </c>
      <c r="M625" s="570">
        <f t="shared" si="269"/>
        <v>-164797</v>
      </c>
      <c r="N625" s="570">
        <f t="shared" si="269"/>
        <v>0</v>
      </c>
      <c r="O625" s="570">
        <f t="shared" si="269"/>
        <v>-164797</v>
      </c>
    </row>
    <row r="626" spans="1:16" s="232" customFormat="1" x14ac:dyDescent="0.25">
      <c r="A626" s="230"/>
      <c r="B626" s="251" t="s">
        <v>335</v>
      </c>
      <c r="C626" s="569"/>
      <c r="D626" s="569"/>
      <c r="E626" s="569"/>
      <c r="F626" s="569"/>
      <c r="G626" s="569"/>
      <c r="H626" s="570"/>
      <c r="I626" s="570"/>
      <c r="J626" s="570"/>
      <c r="K626" s="570"/>
      <c r="L626" s="570"/>
      <c r="M626" s="570"/>
      <c r="N626" s="570"/>
      <c r="O626" s="570"/>
    </row>
    <row r="627" spans="1:16" s="232" customFormat="1" ht="31.5" x14ac:dyDescent="0.25">
      <c r="A627" s="230"/>
      <c r="B627" s="231" t="s">
        <v>1235</v>
      </c>
      <c r="C627" s="569">
        <f>C576</f>
        <v>-49004</v>
      </c>
      <c r="D627" s="569">
        <f t="shared" ref="D627:O628" si="270">D576</f>
        <v>-8575</v>
      </c>
      <c r="E627" s="569">
        <f t="shared" si="270"/>
        <v>0</v>
      </c>
      <c r="F627" s="569">
        <f t="shared" si="270"/>
        <v>0</v>
      </c>
      <c r="G627" s="569">
        <f t="shared" si="270"/>
        <v>0</v>
      </c>
      <c r="H627" s="570">
        <f t="shared" si="270"/>
        <v>-57579</v>
      </c>
      <c r="I627" s="570">
        <f t="shared" si="270"/>
        <v>0</v>
      </c>
      <c r="J627" s="570">
        <f t="shared" si="270"/>
        <v>0</v>
      </c>
      <c r="K627" s="570">
        <f t="shared" si="270"/>
        <v>0</v>
      </c>
      <c r="L627" s="570">
        <f t="shared" si="270"/>
        <v>0</v>
      </c>
      <c r="M627" s="570">
        <f t="shared" si="270"/>
        <v>-57579</v>
      </c>
      <c r="N627" s="570">
        <f t="shared" si="270"/>
        <v>0</v>
      </c>
      <c r="O627" s="570">
        <f t="shared" si="270"/>
        <v>-57579</v>
      </c>
    </row>
    <row r="628" spans="1:16" s="232" customFormat="1" ht="31.5" x14ac:dyDescent="0.25">
      <c r="A628" s="230"/>
      <c r="B628" s="231" t="s">
        <v>1266</v>
      </c>
      <c r="C628" s="569">
        <f>C577</f>
        <v>-70</v>
      </c>
      <c r="D628" s="569">
        <f t="shared" si="270"/>
        <v>0</v>
      </c>
      <c r="E628" s="569">
        <f t="shared" si="270"/>
        <v>-13173</v>
      </c>
      <c r="F628" s="569">
        <f t="shared" si="270"/>
        <v>0</v>
      </c>
      <c r="G628" s="569">
        <f t="shared" si="270"/>
        <v>0</v>
      </c>
      <c r="H628" s="570">
        <f t="shared" si="270"/>
        <v>-13243</v>
      </c>
      <c r="I628" s="570">
        <f t="shared" si="270"/>
        <v>10544</v>
      </c>
      <c r="J628" s="570">
        <f t="shared" si="270"/>
        <v>2699</v>
      </c>
      <c r="K628" s="570">
        <f t="shared" si="270"/>
        <v>0</v>
      </c>
      <c r="L628" s="570">
        <f t="shared" si="270"/>
        <v>13243</v>
      </c>
      <c r="M628" s="570">
        <f t="shared" si="270"/>
        <v>0</v>
      </c>
      <c r="N628" s="570">
        <f t="shared" si="270"/>
        <v>0</v>
      </c>
      <c r="O628" s="570">
        <f t="shared" si="270"/>
        <v>0</v>
      </c>
    </row>
    <row r="629" spans="1:16" s="232" customFormat="1" ht="16.5" thickBot="1" x14ac:dyDescent="0.3">
      <c r="A629" s="230"/>
      <c r="B629" s="231"/>
      <c r="C629" s="569"/>
      <c r="D629" s="569"/>
      <c r="E629" s="569"/>
      <c r="F629" s="569"/>
      <c r="G629" s="569"/>
      <c r="H629" s="570"/>
      <c r="I629" s="570"/>
      <c r="J629" s="570"/>
      <c r="K629" s="570"/>
      <c r="L629" s="570"/>
      <c r="M629" s="570"/>
      <c r="N629" s="570"/>
      <c r="O629" s="570"/>
    </row>
    <row r="630" spans="1:16" ht="17.25" thickTop="1" thickBot="1" x14ac:dyDescent="0.3">
      <c r="A630" s="157"/>
      <c r="B630" s="156" t="s">
        <v>377</v>
      </c>
      <c r="C630" s="158">
        <f t="shared" ref="C630:O630" si="271">SUM(C583:C629)</f>
        <v>8362384</v>
      </c>
      <c r="D630" s="158">
        <f t="shared" si="271"/>
        <v>1519362</v>
      </c>
      <c r="E630" s="158">
        <f t="shared" si="271"/>
        <v>5011293</v>
      </c>
      <c r="F630" s="158">
        <f t="shared" si="271"/>
        <v>0</v>
      </c>
      <c r="G630" s="158">
        <f t="shared" si="271"/>
        <v>0</v>
      </c>
      <c r="H630" s="158">
        <f t="shared" si="271"/>
        <v>14893039</v>
      </c>
      <c r="I630" s="158">
        <f t="shared" si="271"/>
        <v>236497</v>
      </c>
      <c r="J630" s="158">
        <f t="shared" si="271"/>
        <v>15439</v>
      </c>
      <c r="K630" s="158">
        <f t="shared" si="271"/>
        <v>2770</v>
      </c>
      <c r="L630" s="158">
        <f t="shared" si="271"/>
        <v>254706</v>
      </c>
      <c r="M630" s="158">
        <f t="shared" si="271"/>
        <v>15147745</v>
      </c>
      <c r="N630" s="158">
        <f t="shared" si="271"/>
        <v>0</v>
      </c>
      <c r="O630" s="158">
        <f t="shared" si="271"/>
        <v>15147745</v>
      </c>
      <c r="P630" s="150"/>
    </row>
    <row r="631" spans="1:16" ht="17.25" thickTop="1" thickBot="1" x14ac:dyDescent="0.3">
      <c r="A631" s="157"/>
      <c r="B631" s="156" t="s">
        <v>380</v>
      </c>
      <c r="C631" s="155">
        <f t="shared" ref="C631:O631" si="272">SUM(C24+C42+C61+C79+C96+C112+C130+C147+C167+C185+C202+C219+C236+C251+C269+C287+C304+C322+C339+C356+C378+C397+C414+C431+C467+C484+C556+C579)</f>
        <v>6202754</v>
      </c>
      <c r="D631" s="155">
        <f t="shared" si="272"/>
        <v>1132215</v>
      </c>
      <c r="E631" s="155">
        <f t="shared" si="272"/>
        <v>3847637</v>
      </c>
      <c r="F631" s="155">
        <f t="shared" si="272"/>
        <v>0</v>
      </c>
      <c r="G631" s="155">
        <f t="shared" si="272"/>
        <v>0</v>
      </c>
      <c r="H631" s="155">
        <f t="shared" si="272"/>
        <v>11182606</v>
      </c>
      <c r="I631" s="155">
        <f t="shared" si="272"/>
        <v>141196</v>
      </c>
      <c r="J631" s="155">
        <f t="shared" si="272"/>
        <v>12063</v>
      </c>
      <c r="K631" s="155">
        <f t="shared" si="272"/>
        <v>0</v>
      </c>
      <c r="L631" s="155">
        <f t="shared" si="272"/>
        <v>153259</v>
      </c>
      <c r="M631" s="155">
        <f t="shared" si="272"/>
        <v>11335865</v>
      </c>
      <c r="N631" s="155">
        <f t="shared" si="272"/>
        <v>0</v>
      </c>
      <c r="O631" s="155">
        <f t="shared" si="272"/>
        <v>11335865</v>
      </c>
    </row>
    <row r="632" spans="1:16" ht="17.25" thickTop="1" thickBot="1" x14ac:dyDescent="0.3">
      <c r="A632" s="157"/>
      <c r="B632" s="156" t="s">
        <v>379</v>
      </c>
      <c r="C632" s="155">
        <f t="shared" ref="C632:O632" si="273">SUM(C25+C43+C62+C80+C97+C113+C131+C148+C168+C186+C203+C220+C237+C252+C270+C288+C305+C323+C340+C357+C379+C398+C415+C432+C446+C468+C485+C512+C527+C557+C539+C580+C497)</f>
        <v>1477144</v>
      </c>
      <c r="D632" s="155">
        <f t="shared" si="273"/>
        <v>255351</v>
      </c>
      <c r="E632" s="155">
        <f t="shared" si="273"/>
        <v>1054645</v>
      </c>
      <c r="F632" s="155">
        <f t="shared" si="273"/>
        <v>0</v>
      </c>
      <c r="G632" s="155">
        <f t="shared" si="273"/>
        <v>0</v>
      </c>
      <c r="H632" s="155">
        <f t="shared" si="273"/>
        <v>2787140</v>
      </c>
      <c r="I632" s="155">
        <f t="shared" si="273"/>
        <v>36888</v>
      </c>
      <c r="J632" s="155">
        <f t="shared" si="273"/>
        <v>677</v>
      </c>
      <c r="K632" s="155">
        <f t="shared" si="273"/>
        <v>2770</v>
      </c>
      <c r="L632" s="155">
        <f t="shared" si="273"/>
        <v>40335</v>
      </c>
      <c r="M632" s="155">
        <f t="shared" si="273"/>
        <v>2827475</v>
      </c>
      <c r="N632" s="155">
        <f t="shared" si="273"/>
        <v>0</v>
      </c>
      <c r="O632" s="155">
        <f t="shared" si="273"/>
        <v>2827475</v>
      </c>
    </row>
    <row r="633" spans="1:16" ht="33" thickTop="1" thickBot="1" x14ac:dyDescent="0.3">
      <c r="A633" s="157"/>
      <c r="B633" s="156" t="s">
        <v>448</v>
      </c>
      <c r="C633" s="155">
        <f t="shared" ref="C633:O633" si="274">SUM(C581)</f>
        <v>682486</v>
      </c>
      <c r="D633" s="155">
        <f t="shared" si="274"/>
        <v>131796</v>
      </c>
      <c r="E633" s="155">
        <f t="shared" si="274"/>
        <v>109011</v>
      </c>
      <c r="F633" s="155">
        <f t="shared" si="274"/>
        <v>0</v>
      </c>
      <c r="G633" s="155">
        <f t="shared" si="274"/>
        <v>0</v>
      </c>
      <c r="H633" s="155">
        <f t="shared" si="274"/>
        <v>923293</v>
      </c>
      <c r="I633" s="155">
        <f t="shared" si="274"/>
        <v>58413</v>
      </c>
      <c r="J633" s="155">
        <f t="shared" si="274"/>
        <v>2699</v>
      </c>
      <c r="K633" s="155">
        <f t="shared" si="274"/>
        <v>0</v>
      </c>
      <c r="L633" s="155">
        <f t="shared" si="274"/>
        <v>61112</v>
      </c>
      <c r="M633" s="155">
        <f t="shared" si="274"/>
        <v>984405</v>
      </c>
      <c r="N633" s="155">
        <f t="shared" si="274"/>
        <v>0</v>
      </c>
      <c r="O633" s="155">
        <f t="shared" si="274"/>
        <v>984405</v>
      </c>
    </row>
    <row r="634" spans="1:16" ht="16.5" thickTop="1" x14ac:dyDescent="0.25"/>
    <row r="635" spans="1:16" hidden="1" x14ac:dyDescent="0.25">
      <c r="C635" s="150">
        <f t="shared" ref="C635:O635" si="275">SUM(C630-C583)</f>
        <v>491692</v>
      </c>
      <c r="D635" s="150">
        <f t="shared" si="275"/>
        <v>52542</v>
      </c>
      <c r="E635" s="150">
        <f t="shared" si="275"/>
        <v>-1149690</v>
      </c>
      <c r="F635" s="150">
        <f t="shared" si="275"/>
        <v>0</v>
      </c>
      <c r="G635" s="150">
        <f t="shared" si="275"/>
        <v>0</v>
      </c>
      <c r="H635" s="150">
        <f t="shared" si="275"/>
        <v>-605456</v>
      </c>
      <c r="I635" s="150">
        <f t="shared" si="275"/>
        <v>112005</v>
      </c>
      <c r="J635" s="150">
        <f t="shared" si="275"/>
        <v>15439</v>
      </c>
      <c r="K635" s="150">
        <f t="shared" si="275"/>
        <v>-17230</v>
      </c>
      <c r="L635" s="150">
        <f t="shared" si="275"/>
        <v>110214</v>
      </c>
      <c r="M635" s="150">
        <f t="shared" si="275"/>
        <v>-495242</v>
      </c>
      <c r="N635" s="150">
        <f t="shared" si="275"/>
        <v>0</v>
      </c>
      <c r="O635" s="150">
        <f t="shared" si="275"/>
        <v>-495242</v>
      </c>
    </row>
    <row r="636" spans="1:16" hidden="1" x14ac:dyDescent="0.25"/>
    <row r="637" spans="1:16" hidden="1" x14ac:dyDescent="0.25">
      <c r="B637" s="154" t="s">
        <v>684</v>
      </c>
      <c r="C637" s="150">
        <f t="shared" ref="C637:N640" si="276">+C630</f>
        <v>8362384</v>
      </c>
      <c r="D637" s="150">
        <f t="shared" si="276"/>
        <v>1519362</v>
      </c>
      <c r="E637" s="150">
        <f t="shared" si="276"/>
        <v>5011293</v>
      </c>
      <c r="F637" s="150">
        <f t="shared" si="276"/>
        <v>0</v>
      </c>
      <c r="G637" s="150">
        <f t="shared" si="276"/>
        <v>0</v>
      </c>
      <c r="H637" s="150">
        <f t="shared" si="276"/>
        <v>14893039</v>
      </c>
      <c r="I637" s="150">
        <f t="shared" si="276"/>
        <v>236497</v>
      </c>
      <c r="J637" s="150">
        <f t="shared" si="276"/>
        <v>15439</v>
      </c>
      <c r="K637" s="150">
        <f t="shared" si="276"/>
        <v>2770</v>
      </c>
      <c r="L637" s="150">
        <f t="shared" si="276"/>
        <v>254706</v>
      </c>
      <c r="M637" s="150">
        <f t="shared" si="276"/>
        <v>15147745</v>
      </c>
      <c r="N637" s="150">
        <f t="shared" si="276"/>
        <v>0</v>
      </c>
      <c r="O637" s="150">
        <f>+O630</f>
        <v>15147745</v>
      </c>
    </row>
    <row r="638" spans="1:16" hidden="1" x14ac:dyDescent="0.25">
      <c r="B638" s="154" t="s">
        <v>685</v>
      </c>
      <c r="C638" s="150">
        <f t="shared" si="276"/>
        <v>6202754</v>
      </c>
      <c r="D638" s="150">
        <f t="shared" si="276"/>
        <v>1132215</v>
      </c>
      <c r="E638" s="150">
        <f t="shared" si="276"/>
        <v>3847637</v>
      </c>
      <c r="F638" s="150">
        <f t="shared" si="276"/>
        <v>0</v>
      </c>
      <c r="G638" s="150">
        <f t="shared" si="276"/>
        <v>0</v>
      </c>
      <c r="H638" s="150">
        <f t="shared" si="276"/>
        <v>11182606</v>
      </c>
      <c r="I638" s="150">
        <f t="shared" si="276"/>
        <v>141196</v>
      </c>
      <c r="J638" s="150">
        <f t="shared" si="276"/>
        <v>12063</v>
      </c>
      <c r="K638" s="150">
        <f t="shared" si="276"/>
        <v>0</v>
      </c>
      <c r="L638" s="150">
        <f t="shared" si="276"/>
        <v>153259</v>
      </c>
      <c r="M638" s="150">
        <f t="shared" si="276"/>
        <v>11335865</v>
      </c>
      <c r="N638" s="150">
        <f t="shared" si="276"/>
        <v>0</v>
      </c>
      <c r="O638" s="150">
        <f>+O631</f>
        <v>11335865</v>
      </c>
    </row>
    <row r="639" spans="1:16" hidden="1" x14ac:dyDescent="0.25">
      <c r="B639" s="154" t="s">
        <v>379</v>
      </c>
      <c r="C639" s="150">
        <f t="shared" si="276"/>
        <v>1477144</v>
      </c>
      <c r="D639" s="150">
        <f t="shared" si="276"/>
        <v>255351</v>
      </c>
      <c r="E639" s="150">
        <f t="shared" si="276"/>
        <v>1054645</v>
      </c>
      <c r="F639" s="150">
        <f t="shared" si="276"/>
        <v>0</v>
      </c>
      <c r="G639" s="150">
        <f t="shared" si="276"/>
        <v>0</v>
      </c>
      <c r="H639" s="150">
        <f t="shared" si="276"/>
        <v>2787140</v>
      </c>
      <c r="I639" s="150">
        <f t="shared" si="276"/>
        <v>36888</v>
      </c>
      <c r="J639" s="150">
        <f t="shared" si="276"/>
        <v>677</v>
      </c>
      <c r="K639" s="150">
        <f t="shared" si="276"/>
        <v>2770</v>
      </c>
      <c r="L639" s="150">
        <f t="shared" si="276"/>
        <v>40335</v>
      </c>
      <c r="M639" s="150">
        <f t="shared" si="276"/>
        <v>2827475</v>
      </c>
      <c r="N639" s="150">
        <f t="shared" si="276"/>
        <v>0</v>
      </c>
      <c r="O639" s="150">
        <f>+O632</f>
        <v>2827475</v>
      </c>
    </row>
    <row r="640" spans="1:16" hidden="1" x14ac:dyDescent="0.25">
      <c r="B640" s="154" t="s">
        <v>686</v>
      </c>
      <c r="C640" s="150">
        <f t="shared" si="276"/>
        <v>682486</v>
      </c>
      <c r="D640" s="150">
        <f t="shared" si="276"/>
        <v>131796</v>
      </c>
      <c r="E640" s="150">
        <f t="shared" si="276"/>
        <v>109011</v>
      </c>
      <c r="F640" s="150">
        <f t="shared" si="276"/>
        <v>0</v>
      </c>
      <c r="G640" s="150">
        <f t="shared" si="276"/>
        <v>0</v>
      </c>
      <c r="H640" s="150">
        <f t="shared" si="276"/>
        <v>923293</v>
      </c>
      <c r="I640" s="150">
        <f t="shared" si="276"/>
        <v>58413</v>
      </c>
      <c r="J640" s="150">
        <f t="shared" si="276"/>
        <v>2699</v>
      </c>
      <c r="K640" s="150">
        <f t="shared" si="276"/>
        <v>0</v>
      </c>
      <c r="L640" s="150">
        <f t="shared" si="276"/>
        <v>61112</v>
      </c>
      <c r="M640" s="150">
        <f t="shared" si="276"/>
        <v>984405</v>
      </c>
      <c r="N640" s="150">
        <f t="shared" si="276"/>
        <v>0</v>
      </c>
      <c r="O640" s="150">
        <f>+O633</f>
        <v>984405</v>
      </c>
    </row>
    <row r="641" spans="2:15" hidden="1" x14ac:dyDescent="0.25">
      <c r="C641" s="150">
        <f>SUM(C638:C640)-C635</f>
        <v>7870692</v>
      </c>
      <c r="D641" s="150">
        <f t="shared" ref="D641:O641" si="277">SUM(D638:D640)-D635</f>
        <v>1466820</v>
      </c>
      <c r="E641" s="150">
        <f t="shared" si="277"/>
        <v>6160983</v>
      </c>
      <c r="F641" s="150">
        <f t="shared" si="277"/>
        <v>0</v>
      </c>
      <c r="G641" s="150">
        <f>SUM(G638:G640)-G635</f>
        <v>0</v>
      </c>
      <c r="H641" s="150">
        <f t="shared" si="277"/>
        <v>15498495</v>
      </c>
      <c r="I641" s="150">
        <f t="shared" si="277"/>
        <v>124492</v>
      </c>
      <c r="J641" s="150">
        <f t="shared" si="277"/>
        <v>0</v>
      </c>
      <c r="K641" s="150">
        <f t="shared" si="277"/>
        <v>20000</v>
      </c>
      <c r="L641" s="150">
        <f t="shared" si="277"/>
        <v>144492</v>
      </c>
      <c r="M641" s="150">
        <f t="shared" si="277"/>
        <v>15642987</v>
      </c>
      <c r="N641" s="150">
        <f t="shared" si="277"/>
        <v>0</v>
      </c>
      <c r="O641" s="150">
        <f t="shared" si="277"/>
        <v>15642987</v>
      </c>
    </row>
    <row r="642" spans="2:15" hidden="1" x14ac:dyDescent="0.25"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</row>
    <row r="643" spans="2:15" hidden="1" x14ac:dyDescent="0.25">
      <c r="C643" s="150">
        <f>SUM(C644:C646)</f>
        <v>491692</v>
      </c>
      <c r="D643" s="150">
        <f t="shared" ref="D643:O643" si="278">SUM(D644:D646)</f>
        <v>52542</v>
      </c>
      <c r="E643" s="150">
        <f t="shared" si="278"/>
        <v>-1149690</v>
      </c>
      <c r="F643" s="150">
        <f t="shared" si="278"/>
        <v>0</v>
      </c>
      <c r="G643" s="150">
        <f t="shared" si="278"/>
        <v>0</v>
      </c>
      <c r="H643" s="150">
        <f t="shared" si="278"/>
        <v>-605456</v>
      </c>
      <c r="I643" s="150">
        <f t="shared" si="278"/>
        <v>112005</v>
      </c>
      <c r="J643" s="150">
        <f t="shared" si="278"/>
        <v>15439</v>
      </c>
      <c r="K643" s="150">
        <f t="shared" si="278"/>
        <v>-17230</v>
      </c>
      <c r="L643" s="150">
        <f t="shared" si="278"/>
        <v>110214</v>
      </c>
      <c r="M643" s="150">
        <f t="shared" si="278"/>
        <v>-495242</v>
      </c>
      <c r="N643" s="150">
        <f t="shared" si="278"/>
        <v>0</v>
      </c>
      <c r="O643" s="150">
        <f t="shared" si="278"/>
        <v>-495242</v>
      </c>
    </row>
    <row r="644" spans="2:15" hidden="1" x14ac:dyDescent="0.25">
      <c r="B644" s="154" t="s">
        <v>685</v>
      </c>
      <c r="C644" s="150">
        <f>SUM(C585:C607)</f>
        <v>515186</v>
      </c>
      <c r="D644" s="150">
        <f t="shared" ref="D644:O644" si="279">SUM(D585:D607)</f>
        <v>56351</v>
      </c>
      <c r="E644" s="150">
        <f t="shared" si="279"/>
        <v>-1018230</v>
      </c>
      <c r="F644" s="150">
        <f t="shared" si="279"/>
        <v>0</v>
      </c>
      <c r="G644" s="150">
        <f t="shared" si="279"/>
        <v>0</v>
      </c>
      <c r="H644" s="150">
        <f t="shared" si="279"/>
        <v>-446693</v>
      </c>
      <c r="I644" s="150">
        <f t="shared" si="279"/>
        <v>64573</v>
      </c>
      <c r="J644" s="150">
        <f t="shared" si="279"/>
        <v>12063</v>
      </c>
      <c r="K644" s="150">
        <f t="shared" si="279"/>
        <v>0</v>
      </c>
      <c r="L644" s="150">
        <f t="shared" si="279"/>
        <v>76636</v>
      </c>
      <c r="M644" s="150">
        <f t="shared" si="279"/>
        <v>-370057</v>
      </c>
      <c r="N644" s="150">
        <f t="shared" si="279"/>
        <v>0</v>
      </c>
      <c r="O644" s="150">
        <f t="shared" si="279"/>
        <v>-370057</v>
      </c>
    </row>
    <row r="645" spans="2:15" hidden="1" x14ac:dyDescent="0.25">
      <c r="B645" s="154" t="s">
        <v>379</v>
      </c>
      <c r="C645" s="150">
        <f>SUM(C609:C625)</f>
        <v>25580</v>
      </c>
      <c r="D645" s="150">
        <f t="shared" ref="D645:O645" si="280">SUM(D609:D625)</f>
        <v>4766</v>
      </c>
      <c r="E645" s="150">
        <f t="shared" si="280"/>
        <v>-118287</v>
      </c>
      <c r="F645" s="150">
        <f t="shared" si="280"/>
        <v>0</v>
      </c>
      <c r="G645" s="150">
        <f t="shared" si="280"/>
        <v>0</v>
      </c>
      <c r="H645" s="150">
        <f t="shared" si="280"/>
        <v>-87941</v>
      </c>
      <c r="I645" s="150">
        <f t="shared" si="280"/>
        <v>36888</v>
      </c>
      <c r="J645" s="150">
        <f t="shared" si="280"/>
        <v>677</v>
      </c>
      <c r="K645" s="150">
        <f t="shared" si="280"/>
        <v>-17230</v>
      </c>
      <c r="L645" s="150">
        <f t="shared" si="280"/>
        <v>20335</v>
      </c>
      <c r="M645" s="150">
        <f t="shared" si="280"/>
        <v>-67606</v>
      </c>
      <c r="N645" s="150">
        <f t="shared" si="280"/>
        <v>0</v>
      </c>
      <c r="O645" s="150">
        <f t="shared" si="280"/>
        <v>-67606</v>
      </c>
    </row>
    <row r="646" spans="2:15" hidden="1" x14ac:dyDescent="0.25">
      <c r="B646" s="154" t="s">
        <v>686</v>
      </c>
      <c r="C646" s="150">
        <f>C627+C628</f>
        <v>-49074</v>
      </c>
      <c r="D646" s="150">
        <f t="shared" ref="D646:O646" si="281">D627+D628</f>
        <v>-8575</v>
      </c>
      <c r="E646" s="150">
        <f t="shared" si="281"/>
        <v>-13173</v>
      </c>
      <c r="F646" s="150">
        <f t="shared" si="281"/>
        <v>0</v>
      </c>
      <c r="G646" s="150">
        <f t="shared" si="281"/>
        <v>0</v>
      </c>
      <c r="H646" s="150">
        <f t="shared" si="281"/>
        <v>-70822</v>
      </c>
      <c r="I646" s="150">
        <f t="shared" si="281"/>
        <v>10544</v>
      </c>
      <c r="J646" s="150">
        <f t="shared" si="281"/>
        <v>2699</v>
      </c>
      <c r="K646" s="150">
        <f t="shared" si="281"/>
        <v>0</v>
      </c>
      <c r="L646" s="150">
        <f t="shared" si="281"/>
        <v>13243</v>
      </c>
      <c r="M646" s="150">
        <f t="shared" si="281"/>
        <v>-57579</v>
      </c>
      <c r="N646" s="150">
        <f t="shared" si="281"/>
        <v>0</v>
      </c>
      <c r="O646" s="150">
        <f t="shared" si="281"/>
        <v>-57579</v>
      </c>
    </row>
    <row r="647" spans="2:15" hidden="1" x14ac:dyDescent="0.25"/>
    <row r="648" spans="2:15" hidden="1" x14ac:dyDescent="0.25">
      <c r="C648" s="150">
        <f>+C638-C644</f>
        <v>5687568</v>
      </c>
      <c r="D648" s="150">
        <f t="shared" ref="D648:O650" si="282">+D638-D644</f>
        <v>1075864</v>
      </c>
      <c r="E648" s="150">
        <f t="shared" si="282"/>
        <v>4865867</v>
      </c>
      <c r="F648" s="150">
        <f t="shared" si="282"/>
        <v>0</v>
      </c>
      <c r="G648" s="150">
        <f t="shared" si="282"/>
        <v>0</v>
      </c>
      <c r="H648" s="150">
        <f t="shared" si="282"/>
        <v>11629299</v>
      </c>
      <c r="I648" s="150">
        <f t="shared" si="282"/>
        <v>76623</v>
      </c>
      <c r="J648" s="150">
        <f t="shared" si="282"/>
        <v>0</v>
      </c>
      <c r="K648" s="150">
        <f t="shared" si="282"/>
        <v>0</v>
      </c>
      <c r="L648" s="150">
        <f t="shared" si="282"/>
        <v>76623</v>
      </c>
      <c r="M648" s="150">
        <f t="shared" si="282"/>
        <v>11705922</v>
      </c>
      <c r="N648" s="150">
        <f t="shared" si="282"/>
        <v>0</v>
      </c>
      <c r="O648" s="150">
        <f t="shared" si="282"/>
        <v>11705922</v>
      </c>
    </row>
    <row r="649" spans="2:15" hidden="1" x14ac:dyDescent="0.25">
      <c r="C649" s="150">
        <f>+C639-C645</f>
        <v>1451564</v>
      </c>
      <c r="D649" s="150">
        <f t="shared" si="282"/>
        <v>250585</v>
      </c>
      <c r="E649" s="150">
        <f t="shared" si="282"/>
        <v>1172932</v>
      </c>
      <c r="F649" s="150">
        <f t="shared" si="282"/>
        <v>0</v>
      </c>
      <c r="G649" s="150">
        <f t="shared" si="282"/>
        <v>0</v>
      </c>
      <c r="H649" s="150">
        <f t="shared" si="282"/>
        <v>2875081</v>
      </c>
      <c r="I649" s="150">
        <f t="shared" si="282"/>
        <v>0</v>
      </c>
      <c r="J649" s="150">
        <f t="shared" si="282"/>
        <v>0</v>
      </c>
      <c r="K649" s="150">
        <f t="shared" si="282"/>
        <v>20000</v>
      </c>
      <c r="L649" s="150">
        <f t="shared" si="282"/>
        <v>20000</v>
      </c>
      <c r="M649" s="150">
        <f t="shared" si="282"/>
        <v>2895081</v>
      </c>
      <c r="N649" s="150">
        <f t="shared" si="282"/>
        <v>0</v>
      </c>
      <c r="O649" s="150">
        <f t="shared" si="282"/>
        <v>2895081</v>
      </c>
    </row>
    <row r="650" spans="2:15" hidden="1" x14ac:dyDescent="0.25">
      <c r="C650" s="150">
        <f>+C640-C646</f>
        <v>731560</v>
      </c>
      <c r="D650" s="150">
        <f t="shared" si="282"/>
        <v>140371</v>
      </c>
      <c r="E650" s="150">
        <f t="shared" si="282"/>
        <v>122184</v>
      </c>
      <c r="F650" s="150">
        <f t="shared" si="282"/>
        <v>0</v>
      </c>
      <c r="G650" s="150">
        <f t="shared" si="282"/>
        <v>0</v>
      </c>
      <c r="H650" s="150">
        <f t="shared" si="282"/>
        <v>994115</v>
      </c>
      <c r="I650" s="150">
        <f t="shared" si="282"/>
        <v>47869</v>
      </c>
      <c r="J650" s="150">
        <f t="shared" si="282"/>
        <v>0</v>
      </c>
      <c r="K650" s="150">
        <f t="shared" si="282"/>
        <v>0</v>
      </c>
      <c r="L650" s="150">
        <f t="shared" si="282"/>
        <v>47869</v>
      </c>
      <c r="M650" s="150">
        <f t="shared" si="282"/>
        <v>1041984</v>
      </c>
      <c r="N650" s="150">
        <f t="shared" si="282"/>
        <v>0</v>
      </c>
      <c r="O650" s="150">
        <f t="shared" si="282"/>
        <v>1041984</v>
      </c>
    </row>
    <row r="651" spans="2:15" hidden="1" x14ac:dyDescent="0.25"/>
    <row r="652" spans="2:15" hidden="1" x14ac:dyDescent="0.25"/>
  </sheetData>
  <mergeCells count="1">
    <mergeCell ref="A1:O1"/>
  </mergeCells>
  <pageMargins left="0" right="0" top="0.55118110236220474" bottom="0.74803149606299213" header="0.31496062992125984" footer="0.31496062992125984"/>
  <pageSetup paperSize="9" scale="67" fitToHeight="0" orientation="landscape" r:id="rId1"/>
  <headerFooter>
    <oddHeader>&amp;R&amp;"Times New Roman CE,Félkövér"  8.melléklet a 24/2020.(VI.3.) önkormányzati rendelethez
&amp;"Times New Roman CE,Dőlt"&amp;10 8 . melléklet
 az 5/2020.(II.17.) önkormányzati rendelethez</oddHeader>
  </headerFooter>
  <rowBreaks count="16" manualBreakCount="16">
    <brk id="30" max="14" man="1"/>
    <brk id="58" max="14" man="1"/>
    <brk id="113" max="14" man="1"/>
    <brk id="141" max="14" man="1"/>
    <brk id="186" max="14" man="1"/>
    <brk id="213" max="14" man="1"/>
    <brk id="243" max="14" man="1"/>
    <brk id="273" max="14" man="1"/>
    <brk id="323" max="14" man="1"/>
    <brk id="351" max="14" man="1"/>
    <brk id="378" max="14" man="1"/>
    <brk id="432" max="14" man="1"/>
    <brk id="457" max="14" man="1"/>
    <brk id="507" max="14" man="1"/>
    <brk id="531" max="14" man="1"/>
    <brk id="579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00"/>
  <sheetViews>
    <sheetView workbookViewId="0">
      <selection activeCell="P7" sqref="P7"/>
    </sheetView>
  </sheetViews>
  <sheetFormatPr defaultRowHeight="15" x14ac:dyDescent="0.25"/>
  <cols>
    <col min="1" max="1" width="31.125" style="681" customWidth="1"/>
    <col min="2" max="7" width="17.125" style="681" customWidth="1"/>
    <col min="8" max="16384" width="9" style="681"/>
  </cols>
  <sheetData>
    <row r="1" spans="1:7" ht="15.75" customHeight="1" x14ac:dyDescent="0.25">
      <c r="A1" s="915" t="s">
        <v>1376</v>
      </c>
      <c r="B1" s="915"/>
      <c r="C1" s="915"/>
      <c r="D1" s="915"/>
      <c r="E1" s="915"/>
      <c r="F1" s="915"/>
      <c r="G1" s="915"/>
    </row>
    <row r="2" spans="1:7" ht="15.75" thickBot="1" x14ac:dyDescent="0.3"/>
    <row r="3" spans="1:7" ht="30" customHeight="1" thickTop="1" thickBot="1" x14ac:dyDescent="0.3">
      <c r="A3" s="682" t="s">
        <v>426</v>
      </c>
      <c r="B3" s="913" t="s">
        <v>1274</v>
      </c>
      <c r="C3" s="914"/>
      <c r="D3" s="913" t="s">
        <v>1274</v>
      </c>
      <c r="E3" s="914"/>
      <c r="F3" s="913" t="s">
        <v>1274</v>
      </c>
      <c r="G3" s="914"/>
    </row>
    <row r="4" spans="1:7" ht="17.25" thickTop="1" thickBot="1" x14ac:dyDescent="0.3">
      <c r="A4" s="683"/>
      <c r="B4" s="684" t="s">
        <v>1275</v>
      </c>
      <c r="C4" s="684" t="s">
        <v>1276</v>
      </c>
      <c r="D4" s="685" t="s">
        <v>1277</v>
      </c>
      <c r="E4" s="685" t="s">
        <v>1277</v>
      </c>
      <c r="F4" s="686" t="s">
        <v>1278</v>
      </c>
      <c r="G4" s="686" t="s">
        <v>1278</v>
      </c>
    </row>
    <row r="5" spans="1:7" ht="16.5" thickTop="1" x14ac:dyDescent="0.25">
      <c r="A5" s="687" t="s">
        <v>412</v>
      </c>
      <c r="B5" s="688">
        <v>124.8</v>
      </c>
      <c r="C5" s="688">
        <v>124.8</v>
      </c>
      <c r="D5" s="689"/>
      <c r="E5" s="688">
        <f>D5+C5</f>
        <v>124.8</v>
      </c>
      <c r="F5" s="689"/>
      <c r="G5" s="688">
        <f>F5+E5</f>
        <v>124.8</v>
      </c>
    </row>
    <row r="6" spans="1:7" ht="32.25" thickBot="1" x14ac:dyDescent="0.3">
      <c r="A6" s="690" t="s">
        <v>411</v>
      </c>
      <c r="B6" s="691">
        <v>25.5</v>
      </c>
      <c r="C6" s="691">
        <v>25.5</v>
      </c>
      <c r="D6" s="689"/>
      <c r="E6" s="691">
        <f t="shared" ref="E6:E45" si="0">D6+C6</f>
        <v>25.5</v>
      </c>
      <c r="F6" s="689"/>
      <c r="G6" s="691">
        <f t="shared" ref="G6:G44" si="1">F6+E6</f>
        <v>25.5</v>
      </c>
    </row>
    <row r="7" spans="1:7" ht="17.25" thickTop="1" thickBot="1" x14ac:dyDescent="0.3">
      <c r="A7" s="683" t="s">
        <v>1279</v>
      </c>
      <c r="B7" s="692">
        <f t="shared" ref="B7:F7" si="2">SUM(B5:B6)</f>
        <v>150.30000000000001</v>
      </c>
      <c r="C7" s="692">
        <f t="shared" si="2"/>
        <v>150.30000000000001</v>
      </c>
      <c r="D7" s="692">
        <f t="shared" si="2"/>
        <v>0</v>
      </c>
      <c r="E7" s="692">
        <f t="shared" si="0"/>
        <v>150.30000000000001</v>
      </c>
      <c r="F7" s="692">
        <f t="shared" si="2"/>
        <v>0</v>
      </c>
      <c r="G7" s="692">
        <f>SUM(G5:G6)</f>
        <v>150.30000000000001</v>
      </c>
    </row>
    <row r="8" spans="1:7" ht="16.5" thickTop="1" x14ac:dyDescent="0.25">
      <c r="A8" s="693" t="s">
        <v>409</v>
      </c>
      <c r="B8" s="691">
        <v>22.75</v>
      </c>
      <c r="C8" s="691">
        <v>22.75</v>
      </c>
      <c r="D8" s="689"/>
      <c r="E8" s="691">
        <f t="shared" si="0"/>
        <v>22.75</v>
      </c>
      <c r="F8" s="689"/>
      <c r="G8" s="691">
        <f t="shared" si="1"/>
        <v>22.75</v>
      </c>
    </row>
    <row r="9" spans="1:7" ht="15.75" x14ac:dyDescent="0.25">
      <c r="A9" s="690" t="s">
        <v>827</v>
      </c>
      <c r="B9" s="691">
        <v>22.75</v>
      </c>
      <c r="C9" s="691">
        <v>22.75</v>
      </c>
      <c r="D9" s="689"/>
      <c r="E9" s="691">
        <f t="shared" si="0"/>
        <v>22.75</v>
      </c>
      <c r="F9" s="689"/>
      <c r="G9" s="691">
        <f t="shared" si="1"/>
        <v>22.75</v>
      </c>
    </row>
    <row r="10" spans="1:7" ht="15.75" x14ac:dyDescent="0.25">
      <c r="A10" s="693" t="s">
        <v>408</v>
      </c>
      <c r="B10" s="691">
        <v>22.75</v>
      </c>
      <c r="C10" s="691">
        <v>22.75</v>
      </c>
      <c r="D10" s="689"/>
      <c r="E10" s="691">
        <f t="shared" si="0"/>
        <v>22.75</v>
      </c>
      <c r="F10" s="689"/>
      <c r="G10" s="691">
        <f t="shared" si="1"/>
        <v>22.75</v>
      </c>
    </row>
    <row r="11" spans="1:7" ht="15.75" x14ac:dyDescent="0.25">
      <c r="A11" s="693" t="s">
        <v>1280</v>
      </c>
      <c r="B11" s="691">
        <v>13</v>
      </c>
      <c r="C11" s="691">
        <v>13</v>
      </c>
      <c r="D11" s="689"/>
      <c r="E11" s="691">
        <f t="shared" si="0"/>
        <v>13</v>
      </c>
      <c r="F11" s="689"/>
      <c r="G11" s="691">
        <f t="shared" si="1"/>
        <v>13</v>
      </c>
    </row>
    <row r="12" spans="1:7" ht="15.75" x14ac:dyDescent="0.25">
      <c r="A12" s="690" t="s">
        <v>822</v>
      </c>
      <c r="B12" s="691">
        <v>27.75</v>
      </c>
      <c r="C12" s="691">
        <v>27.75</v>
      </c>
      <c r="D12" s="689"/>
      <c r="E12" s="691">
        <f t="shared" si="0"/>
        <v>27.75</v>
      </c>
      <c r="F12" s="689"/>
      <c r="G12" s="691">
        <f t="shared" si="1"/>
        <v>27.75</v>
      </c>
    </row>
    <row r="13" spans="1:7" ht="16.5" thickBot="1" x14ac:dyDescent="0.3">
      <c r="A13" s="690" t="s">
        <v>823</v>
      </c>
      <c r="B13" s="691">
        <v>22.75</v>
      </c>
      <c r="C13" s="691">
        <v>22.75</v>
      </c>
      <c r="D13" s="689"/>
      <c r="E13" s="691">
        <f t="shared" si="0"/>
        <v>22.75</v>
      </c>
      <c r="F13" s="689"/>
      <c r="G13" s="691">
        <f t="shared" si="1"/>
        <v>22.75</v>
      </c>
    </row>
    <row r="14" spans="1:7" ht="17.25" thickTop="1" thickBot="1" x14ac:dyDescent="0.3">
      <c r="A14" s="683" t="s">
        <v>406</v>
      </c>
      <c r="B14" s="692">
        <f t="shared" ref="B14:F14" si="3">SUM(B8:B13)</f>
        <v>131.75</v>
      </c>
      <c r="C14" s="692">
        <f t="shared" si="3"/>
        <v>131.75</v>
      </c>
      <c r="D14" s="692">
        <f t="shared" si="3"/>
        <v>0</v>
      </c>
      <c r="E14" s="692">
        <f t="shared" si="0"/>
        <v>131.75</v>
      </c>
      <c r="F14" s="692">
        <f t="shared" si="3"/>
        <v>0</v>
      </c>
      <c r="G14" s="692">
        <f>SUM(G8:G13)</f>
        <v>131.75</v>
      </c>
    </row>
    <row r="15" spans="1:7" ht="16.5" thickTop="1" x14ac:dyDescent="0.25">
      <c r="A15" s="693" t="s">
        <v>405</v>
      </c>
      <c r="B15" s="691">
        <v>47.75</v>
      </c>
      <c r="C15" s="691">
        <v>47.75</v>
      </c>
      <c r="D15" s="689"/>
      <c r="E15" s="691">
        <f t="shared" si="0"/>
        <v>47.75</v>
      </c>
      <c r="F15" s="689"/>
      <c r="G15" s="691">
        <f t="shared" si="1"/>
        <v>47.75</v>
      </c>
    </row>
    <row r="16" spans="1:7" ht="15.75" x14ac:dyDescent="0.25">
      <c r="A16" s="693" t="s">
        <v>1281</v>
      </c>
      <c r="B16" s="691">
        <v>51</v>
      </c>
      <c r="C16" s="691">
        <v>51</v>
      </c>
      <c r="D16" s="689"/>
      <c r="E16" s="691">
        <f t="shared" si="0"/>
        <v>51</v>
      </c>
      <c r="F16" s="689">
        <v>-13.25</v>
      </c>
      <c r="G16" s="691">
        <f t="shared" si="1"/>
        <v>37.75</v>
      </c>
    </row>
    <row r="17" spans="1:7" ht="15.75" x14ac:dyDescent="0.25">
      <c r="A17" s="690" t="s">
        <v>1282</v>
      </c>
      <c r="B17" s="691">
        <v>55</v>
      </c>
      <c r="C17" s="691">
        <v>55</v>
      </c>
      <c r="D17" s="689"/>
      <c r="E17" s="691">
        <f t="shared" si="0"/>
        <v>55</v>
      </c>
      <c r="F17" s="689"/>
      <c r="G17" s="691">
        <f t="shared" si="1"/>
        <v>55</v>
      </c>
    </row>
    <row r="18" spans="1:7" ht="15.75" x14ac:dyDescent="0.25">
      <c r="A18" s="693" t="s">
        <v>404</v>
      </c>
      <c r="B18" s="691">
        <v>34</v>
      </c>
      <c r="C18" s="691">
        <v>34</v>
      </c>
      <c r="D18" s="689"/>
      <c r="E18" s="691">
        <f t="shared" si="0"/>
        <v>34</v>
      </c>
      <c r="F18" s="689">
        <v>-4</v>
      </c>
      <c r="G18" s="691">
        <f t="shared" si="1"/>
        <v>30</v>
      </c>
    </row>
    <row r="19" spans="1:7" ht="15.75" x14ac:dyDescent="0.25">
      <c r="A19" s="693" t="s">
        <v>403</v>
      </c>
      <c r="B19" s="691">
        <v>44.5</v>
      </c>
      <c r="C19" s="691">
        <v>44.5</v>
      </c>
      <c r="D19" s="689"/>
      <c r="E19" s="691">
        <f t="shared" si="0"/>
        <v>44.5</v>
      </c>
      <c r="F19" s="689"/>
      <c r="G19" s="691">
        <f t="shared" si="1"/>
        <v>44.5</v>
      </c>
    </row>
    <row r="20" spans="1:7" ht="15.75" x14ac:dyDescent="0.25">
      <c r="A20" s="693" t="s">
        <v>402</v>
      </c>
      <c r="B20" s="691">
        <v>37</v>
      </c>
      <c r="C20" s="691">
        <v>37</v>
      </c>
      <c r="D20" s="689"/>
      <c r="E20" s="691">
        <f t="shared" si="0"/>
        <v>37</v>
      </c>
      <c r="F20" s="689"/>
      <c r="G20" s="691">
        <f t="shared" si="1"/>
        <v>37</v>
      </c>
    </row>
    <row r="21" spans="1:7" ht="15.75" x14ac:dyDescent="0.25">
      <c r="A21" s="693" t="s">
        <v>401</v>
      </c>
      <c r="B21" s="691">
        <v>44</v>
      </c>
      <c r="C21" s="691">
        <v>44</v>
      </c>
      <c r="D21" s="689"/>
      <c r="E21" s="691">
        <f t="shared" si="0"/>
        <v>44</v>
      </c>
      <c r="F21" s="689"/>
      <c r="G21" s="691">
        <f t="shared" si="1"/>
        <v>44</v>
      </c>
    </row>
    <row r="22" spans="1:7" ht="15.75" x14ac:dyDescent="0.25">
      <c r="A22" s="693" t="s">
        <v>446</v>
      </c>
      <c r="B22" s="691">
        <v>46</v>
      </c>
      <c r="C22" s="691">
        <v>46</v>
      </c>
      <c r="D22" s="689"/>
      <c r="E22" s="691">
        <f t="shared" si="0"/>
        <v>46</v>
      </c>
      <c r="F22" s="689">
        <v>5</v>
      </c>
      <c r="G22" s="691">
        <f t="shared" si="1"/>
        <v>51</v>
      </c>
    </row>
    <row r="23" spans="1:7" ht="15.75" x14ac:dyDescent="0.25">
      <c r="A23" s="693" t="s">
        <v>400</v>
      </c>
      <c r="B23" s="691">
        <v>15</v>
      </c>
      <c r="C23" s="691">
        <v>15</v>
      </c>
      <c r="D23" s="689"/>
      <c r="E23" s="691">
        <f t="shared" si="0"/>
        <v>15</v>
      </c>
      <c r="F23" s="689">
        <v>-15</v>
      </c>
      <c r="G23" s="691">
        <f t="shared" si="1"/>
        <v>0</v>
      </c>
    </row>
    <row r="24" spans="1:7" ht="15.75" x14ac:dyDescent="0.25">
      <c r="A24" s="693" t="s">
        <v>447</v>
      </c>
      <c r="B24" s="691">
        <v>54.5</v>
      </c>
      <c r="C24" s="691">
        <v>54.5</v>
      </c>
      <c r="D24" s="689"/>
      <c r="E24" s="691">
        <f t="shared" si="0"/>
        <v>54.5</v>
      </c>
      <c r="F24" s="689">
        <v>-10</v>
      </c>
      <c r="G24" s="691">
        <f t="shared" si="1"/>
        <v>44.5</v>
      </c>
    </row>
    <row r="25" spans="1:7" ht="15.75" x14ac:dyDescent="0.25">
      <c r="A25" s="693" t="s">
        <v>399</v>
      </c>
      <c r="B25" s="691">
        <v>36.5</v>
      </c>
      <c r="C25" s="691">
        <v>36.5</v>
      </c>
      <c r="D25" s="689"/>
      <c r="E25" s="691">
        <f t="shared" si="0"/>
        <v>36.5</v>
      </c>
      <c r="F25" s="689"/>
      <c r="G25" s="691">
        <f t="shared" si="1"/>
        <v>36.5</v>
      </c>
    </row>
    <row r="26" spans="1:7" ht="16.5" thickBot="1" x14ac:dyDescent="0.3">
      <c r="A26" s="693" t="s">
        <v>398</v>
      </c>
      <c r="B26" s="694">
        <v>44.5</v>
      </c>
      <c r="C26" s="694">
        <v>44.5</v>
      </c>
      <c r="D26" s="689"/>
      <c r="E26" s="694">
        <f t="shared" si="0"/>
        <v>44.5</v>
      </c>
      <c r="F26" s="689"/>
      <c r="G26" s="694">
        <f t="shared" si="1"/>
        <v>44.5</v>
      </c>
    </row>
    <row r="27" spans="1:7" ht="17.25" thickTop="1" thickBot="1" x14ac:dyDescent="0.3">
      <c r="A27" s="683" t="s">
        <v>397</v>
      </c>
      <c r="B27" s="692">
        <f t="shared" ref="B27:F27" si="4">SUM(B15:B26)</f>
        <v>509.75</v>
      </c>
      <c r="C27" s="692">
        <f t="shared" si="4"/>
        <v>509.75</v>
      </c>
      <c r="D27" s="692">
        <f t="shared" si="4"/>
        <v>0</v>
      </c>
      <c r="E27" s="692">
        <f t="shared" si="0"/>
        <v>509.75</v>
      </c>
      <c r="F27" s="692">
        <f t="shared" si="4"/>
        <v>-37.25</v>
      </c>
      <c r="G27" s="692">
        <f>SUM(G15:G26)</f>
        <v>472.5</v>
      </c>
    </row>
    <row r="28" spans="1:7" ht="17.25" thickTop="1" thickBot="1" x14ac:dyDescent="0.3">
      <c r="A28" s="683" t="s">
        <v>1283</v>
      </c>
      <c r="B28" s="692">
        <f t="shared" ref="B28:F28" si="5">B27+B14+B7</f>
        <v>791.8</v>
      </c>
      <c r="C28" s="692">
        <f t="shared" si="5"/>
        <v>791.8</v>
      </c>
      <c r="D28" s="692">
        <f t="shared" si="5"/>
        <v>0</v>
      </c>
      <c r="E28" s="692">
        <f t="shared" si="0"/>
        <v>791.8</v>
      </c>
      <c r="F28" s="692">
        <f t="shared" si="5"/>
        <v>-37.25</v>
      </c>
      <c r="G28" s="692">
        <f>G27+G14+G7</f>
        <v>754.55</v>
      </c>
    </row>
    <row r="29" spans="1:7" ht="16.5" thickTop="1" x14ac:dyDescent="0.25">
      <c r="A29" s="693" t="s">
        <v>769</v>
      </c>
      <c r="B29" s="688">
        <v>215.5</v>
      </c>
      <c r="C29" s="688">
        <v>215.5</v>
      </c>
      <c r="D29" s="689">
        <v>2.5</v>
      </c>
      <c r="E29" s="688">
        <f t="shared" si="0"/>
        <v>218</v>
      </c>
      <c r="F29" s="689"/>
      <c r="G29" s="688">
        <f t="shared" si="1"/>
        <v>218</v>
      </c>
    </row>
    <row r="30" spans="1:7" ht="31.5" x14ac:dyDescent="0.25">
      <c r="A30" s="690" t="s">
        <v>828</v>
      </c>
      <c r="B30" s="691">
        <v>74</v>
      </c>
      <c r="C30" s="691">
        <v>74</v>
      </c>
      <c r="D30" s="689"/>
      <c r="E30" s="691">
        <f t="shared" si="0"/>
        <v>74</v>
      </c>
      <c r="F30" s="689"/>
      <c r="G30" s="691">
        <v>80</v>
      </c>
    </row>
    <row r="31" spans="1:7" ht="16.5" thickBot="1" x14ac:dyDescent="0.3">
      <c r="A31" s="695" t="s">
        <v>378</v>
      </c>
      <c r="B31" s="694">
        <v>49</v>
      </c>
      <c r="C31" s="694">
        <v>49</v>
      </c>
      <c r="D31" s="689"/>
      <c r="E31" s="694">
        <f t="shared" si="0"/>
        <v>49</v>
      </c>
      <c r="F31" s="689"/>
      <c r="G31" s="694">
        <f t="shared" si="1"/>
        <v>49</v>
      </c>
    </row>
    <row r="32" spans="1:7" ht="17.25" thickTop="1" thickBot="1" x14ac:dyDescent="0.3">
      <c r="A32" s="683" t="s">
        <v>395</v>
      </c>
      <c r="B32" s="692">
        <f t="shared" ref="B32:F32" si="6">SUM(B29:B31)</f>
        <v>338.5</v>
      </c>
      <c r="C32" s="692">
        <f t="shared" si="6"/>
        <v>338.5</v>
      </c>
      <c r="D32" s="692">
        <f t="shared" si="6"/>
        <v>2.5</v>
      </c>
      <c r="E32" s="692">
        <f t="shared" si="0"/>
        <v>341</v>
      </c>
      <c r="F32" s="692">
        <f t="shared" si="6"/>
        <v>0</v>
      </c>
      <c r="G32" s="692">
        <f>SUM(G29:G31)</f>
        <v>347</v>
      </c>
    </row>
    <row r="33" spans="1:7" ht="17.25" thickTop="1" thickBot="1" x14ac:dyDescent="0.3">
      <c r="A33" s="683" t="s">
        <v>1284</v>
      </c>
      <c r="B33" s="692">
        <v>61.5</v>
      </c>
      <c r="C33" s="692">
        <v>61.5</v>
      </c>
      <c r="D33" s="692"/>
      <c r="E33" s="692">
        <f t="shared" si="0"/>
        <v>61.5</v>
      </c>
      <c r="F33" s="692"/>
      <c r="G33" s="692">
        <f t="shared" si="1"/>
        <v>61.5</v>
      </c>
    </row>
    <row r="34" spans="1:7" ht="16.5" thickTop="1" x14ac:dyDescent="0.25">
      <c r="A34" s="693" t="s">
        <v>393</v>
      </c>
      <c r="B34" s="688">
        <v>11</v>
      </c>
      <c r="C34" s="688">
        <v>11</v>
      </c>
      <c r="D34" s="689"/>
      <c r="E34" s="688">
        <f t="shared" si="0"/>
        <v>11</v>
      </c>
      <c r="F34" s="689"/>
      <c r="G34" s="688">
        <f t="shared" si="1"/>
        <v>11</v>
      </c>
    </row>
    <row r="35" spans="1:7" ht="15.75" x14ac:dyDescent="0.25">
      <c r="A35" s="693" t="s">
        <v>392</v>
      </c>
      <c r="B35" s="691">
        <v>82</v>
      </c>
      <c r="C35" s="691">
        <v>82</v>
      </c>
      <c r="D35" s="689"/>
      <c r="E35" s="691">
        <f t="shared" si="0"/>
        <v>82</v>
      </c>
      <c r="F35" s="689"/>
      <c r="G35" s="691">
        <f t="shared" si="1"/>
        <v>82</v>
      </c>
    </row>
    <row r="36" spans="1:7" ht="15.75" x14ac:dyDescent="0.25">
      <c r="A36" s="693" t="s">
        <v>391</v>
      </c>
      <c r="B36" s="691">
        <f>118.13+20</f>
        <v>138.13</v>
      </c>
      <c r="C36" s="691">
        <f>119.13+20</f>
        <v>139.13</v>
      </c>
      <c r="D36" s="689"/>
      <c r="E36" s="691">
        <f t="shared" si="0"/>
        <v>139.13</v>
      </c>
      <c r="F36" s="689"/>
      <c r="G36" s="691">
        <f t="shared" si="1"/>
        <v>139.13</v>
      </c>
    </row>
    <row r="37" spans="1:7" ht="31.5" x14ac:dyDescent="0.25">
      <c r="A37" s="690" t="s">
        <v>588</v>
      </c>
      <c r="B37" s="691">
        <v>5</v>
      </c>
      <c r="C37" s="691">
        <v>5</v>
      </c>
      <c r="D37" s="689"/>
      <c r="E37" s="691">
        <f t="shared" si="0"/>
        <v>5</v>
      </c>
      <c r="F37" s="689"/>
      <c r="G37" s="691">
        <f t="shared" si="1"/>
        <v>5</v>
      </c>
    </row>
    <row r="38" spans="1:7" ht="15.75" x14ac:dyDescent="0.25">
      <c r="A38" s="693" t="s">
        <v>390</v>
      </c>
      <c r="B38" s="691">
        <v>43.5</v>
      </c>
      <c r="C38" s="691">
        <v>43.5</v>
      </c>
      <c r="D38" s="689"/>
      <c r="E38" s="691">
        <f t="shared" si="0"/>
        <v>43.5</v>
      </c>
      <c r="F38" s="689"/>
      <c r="G38" s="691">
        <f t="shared" si="1"/>
        <v>43.5</v>
      </c>
    </row>
    <row r="39" spans="1:7" ht="15.75" x14ac:dyDescent="0.25">
      <c r="A39" s="693" t="s">
        <v>389</v>
      </c>
      <c r="B39" s="691">
        <v>107.25</v>
      </c>
      <c r="C39" s="691">
        <v>107.25</v>
      </c>
      <c r="D39" s="689"/>
      <c r="E39" s="691">
        <f t="shared" si="0"/>
        <v>107.25</v>
      </c>
      <c r="F39" s="689"/>
      <c r="G39" s="691">
        <f t="shared" si="1"/>
        <v>107.25</v>
      </c>
    </row>
    <row r="40" spans="1:7" ht="15.75" x14ac:dyDescent="0.25">
      <c r="A40" s="693" t="s">
        <v>583</v>
      </c>
      <c r="B40" s="691">
        <v>22</v>
      </c>
      <c r="C40" s="691">
        <v>22</v>
      </c>
      <c r="D40" s="689"/>
      <c r="E40" s="691">
        <f t="shared" si="0"/>
        <v>22</v>
      </c>
      <c r="F40" s="689"/>
      <c r="G40" s="691">
        <f t="shared" si="1"/>
        <v>22</v>
      </c>
    </row>
    <row r="41" spans="1:7" ht="16.5" thickBot="1" x14ac:dyDescent="0.3">
      <c r="A41" s="693" t="s">
        <v>1285</v>
      </c>
      <c r="B41" s="694">
        <v>34.25</v>
      </c>
      <c r="C41" s="694">
        <v>34.25</v>
      </c>
      <c r="D41" s="689"/>
      <c r="E41" s="694">
        <f t="shared" si="0"/>
        <v>34.25</v>
      </c>
      <c r="F41" s="689"/>
      <c r="G41" s="694">
        <f t="shared" si="1"/>
        <v>34.25</v>
      </c>
    </row>
    <row r="42" spans="1:7" ht="17.25" thickTop="1" thickBot="1" x14ac:dyDescent="0.3">
      <c r="A42" s="683" t="s">
        <v>1286</v>
      </c>
      <c r="B42" s="692">
        <f t="shared" ref="B42:F42" si="7">SUM(B34:B41)</f>
        <v>443.13</v>
      </c>
      <c r="C42" s="692">
        <f t="shared" si="7"/>
        <v>444.13</v>
      </c>
      <c r="D42" s="692">
        <f t="shared" si="7"/>
        <v>0</v>
      </c>
      <c r="E42" s="692">
        <f t="shared" si="0"/>
        <v>444.13</v>
      </c>
      <c r="F42" s="692">
        <f t="shared" si="7"/>
        <v>0</v>
      </c>
      <c r="G42" s="692">
        <f>SUM(G34:G41)</f>
        <v>444.13</v>
      </c>
    </row>
    <row r="43" spans="1:7" ht="17.25" thickTop="1" thickBot="1" x14ac:dyDescent="0.3">
      <c r="A43" s="696" t="s">
        <v>385</v>
      </c>
      <c r="B43" s="692">
        <f t="shared" ref="B43:F43" si="8">B42+B33+B32+B28</f>
        <v>1634.9299999999998</v>
      </c>
      <c r="C43" s="692">
        <f t="shared" si="8"/>
        <v>1635.9299999999998</v>
      </c>
      <c r="D43" s="692">
        <f t="shared" si="8"/>
        <v>2.5</v>
      </c>
      <c r="E43" s="692">
        <f t="shared" si="0"/>
        <v>1638.4299999999998</v>
      </c>
      <c r="F43" s="692">
        <f t="shared" si="8"/>
        <v>-37.25</v>
      </c>
      <c r="G43" s="692">
        <f>G42+G33+G32+G28</f>
        <v>1607.1799999999998</v>
      </c>
    </row>
    <row r="44" spans="1:7" ht="17.25" thickTop="1" thickBot="1" x14ac:dyDescent="0.3">
      <c r="A44" s="697" t="s">
        <v>384</v>
      </c>
      <c r="B44" s="698">
        <v>360</v>
      </c>
      <c r="C44" s="698">
        <v>360</v>
      </c>
      <c r="D44" s="698"/>
      <c r="E44" s="698">
        <f t="shared" si="0"/>
        <v>360</v>
      </c>
      <c r="F44" s="698"/>
      <c r="G44" s="698">
        <f t="shared" si="1"/>
        <v>360</v>
      </c>
    </row>
    <row r="45" spans="1:7" ht="17.25" thickTop="1" thickBot="1" x14ac:dyDescent="0.3">
      <c r="A45" s="683" t="s">
        <v>1287</v>
      </c>
      <c r="B45" s="692">
        <f t="shared" ref="B45:F45" si="9">B44+B43</f>
        <v>1994.9299999999998</v>
      </c>
      <c r="C45" s="692">
        <f t="shared" si="9"/>
        <v>1995.9299999999998</v>
      </c>
      <c r="D45" s="692">
        <f t="shared" si="9"/>
        <v>2.5</v>
      </c>
      <c r="E45" s="692">
        <f t="shared" si="0"/>
        <v>1998.4299999999998</v>
      </c>
      <c r="F45" s="692">
        <f t="shared" si="9"/>
        <v>-37.25</v>
      </c>
      <c r="G45" s="692">
        <f>G44+G43</f>
        <v>1967.1799999999998</v>
      </c>
    </row>
    <row r="46" spans="1:7" ht="16.5" thickTop="1" x14ac:dyDescent="0.25">
      <c r="A46" s="699"/>
      <c r="B46" s="700"/>
      <c r="C46" s="700"/>
      <c r="D46" s="700"/>
      <c r="E46" s="700"/>
      <c r="F46" s="700"/>
      <c r="G46" s="700"/>
    </row>
    <row r="47" spans="1:7" ht="15.75" x14ac:dyDescent="0.25">
      <c r="A47" s="699"/>
      <c r="B47" s="700"/>
      <c r="C47" s="700"/>
      <c r="D47" s="700"/>
      <c r="E47" s="700"/>
      <c r="F47" s="700"/>
      <c r="G47" s="700"/>
    </row>
    <row r="48" spans="1:7" ht="15.75" x14ac:dyDescent="0.25">
      <c r="A48" s="699"/>
      <c r="B48" s="700"/>
      <c r="C48" s="700"/>
      <c r="D48" s="700"/>
      <c r="E48" s="700"/>
      <c r="F48" s="700"/>
      <c r="G48" s="700"/>
    </row>
    <row r="49" spans="1:7" ht="15.75" x14ac:dyDescent="0.25">
      <c r="A49" s="699"/>
      <c r="B49" s="700"/>
      <c r="C49" s="700"/>
      <c r="D49" s="700"/>
      <c r="E49" s="700"/>
      <c r="F49" s="700"/>
      <c r="G49" s="700"/>
    </row>
    <row r="50" spans="1:7" ht="15.75" x14ac:dyDescent="0.25">
      <c r="A50" s="699"/>
      <c r="B50" s="700"/>
      <c r="C50" s="700"/>
      <c r="D50" s="700"/>
      <c r="E50" s="700"/>
      <c r="F50" s="700"/>
      <c r="G50" s="700"/>
    </row>
    <row r="51" spans="1:7" ht="15.75" x14ac:dyDescent="0.25">
      <c r="A51" s="699"/>
    </row>
    <row r="52" spans="1:7" ht="15.75" x14ac:dyDescent="0.25">
      <c r="A52" s="699"/>
    </row>
    <row r="53" spans="1:7" ht="15.75" x14ac:dyDescent="0.25">
      <c r="A53" s="699"/>
    </row>
    <row r="54" spans="1:7" ht="15.75" x14ac:dyDescent="0.25">
      <c r="A54" s="699"/>
    </row>
    <row r="55" spans="1:7" ht="15.75" x14ac:dyDescent="0.25">
      <c r="A55" s="699"/>
    </row>
    <row r="56" spans="1:7" ht="15.75" x14ac:dyDescent="0.25">
      <c r="A56" s="699"/>
    </row>
    <row r="57" spans="1:7" ht="15.75" x14ac:dyDescent="0.25">
      <c r="A57" s="699"/>
    </row>
    <row r="58" spans="1:7" ht="15.75" x14ac:dyDescent="0.25">
      <c r="A58" s="699"/>
    </row>
    <row r="59" spans="1:7" ht="15.75" x14ac:dyDescent="0.25">
      <c r="A59" s="699"/>
    </row>
    <row r="60" spans="1:7" ht="15.75" x14ac:dyDescent="0.25">
      <c r="A60" s="699"/>
    </row>
    <row r="61" spans="1:7" ht="15.75" x14ac:dyDescent="0.25">
      <c r="A61" s="699"/>
    </row>
    <row r="62" spans="1:7" ht="15.75" x14ac:dyDescent="0.25">
      <c r="A62" s="699"/>
    </row>
    <row r="63" spans="1:7" ht="15.75" x14ac:dyDescent="0.25">
      <c r="A63" s="699"/>
    </row>
    <row r="64" spans="1:7" ht="15.75" x14ac:dyDescent="0.25">
      <c r="A64" s="699"/>
    </row>
    <row r="65" spans="1:1" ht="15.75" x14ac:dyDescent="0.25">
      <c r="A65" s="699"/>
    </row>
    <row r="66" spans="1:1" ht="15.75" x14ac:dyDescent="0.25">
      <c r="A66" s="699"/>
    </row>
    <row r="67" spans="1:1" ht="15.75" x14ac:dyDescent="0.25">
      <c r="A67" s="699"/>
    </row>
    <row r="68" spans="1:1" ht="15.75" x14ac:dyDescent="0.25">
      <c r="A68" s="699"/>
    </row>
    <row r="69" spans="1:1" ht="15.75" x14ac:dyDescent="0.25">
      <c r="A69" s="699"/>
    </row>
    <row r="70" spans="1:1" ht="15.75" x14ac:dyDescent="0.25">
      <c r="A70" s="699"/>
    </row>
    <row r="71" spans="1:1" ht="15.75" x14ac:dyDescent="0.25">
      <c r="A71" s="699"/>
    </row>
    <row r="72" spans="1:1" ht="15.75" x14ac:dyDescent="0.25">
      <c r="A72" s="699"/>
    </row>
    <row r="73" spans="1:1" ht="15.75" x14ac:dyDescent="0.25">
      <c r="A73" s="699"/>
    </row>
    <row r="74" spans="1:1" ht="15.75" x14ac:dyDescent="0.25">
      <c r="A74" s="699"/>
    </row>
    <row r="75" spans="1:1" ht="15.75" x14ac:dyDescent="0.25">
      <c r="A75" s="699"/>
    </row>
    <row r="76" spans="1:1" ht="15.75" x14ac:dyDescent="0.25">
      <c r="A76" s="699"/>
    </row>
    <row r="77" spans="1:1" ht="15.75" x14ac:dyDescent="0.25">
      <c r="A77" s="699"/>
    </row>
    <row r="78" spans="1:1" ht="15.75" x14ac:dyDescent="0.25">
      <c r="A78" s="699"/>
    </row>
    <row r="79" spans="1:1" ht="15.75" x14ac:dyDescent="0.25">
      <c r="A79" s="699"/>
    </row>
    <row r="80" spans="1:1" ht="15.75" x14ac:dyDescent="0.25">
      <c r="A80" s="699"/>
    </row>
    <row r="81" spans="1:1" ht="15.75" x14ac:dyDescent="0.25">
      <c r="A81" s="699"/>
    </row>
    <row r="82" spans="1:1" ht="15.75" x14ac:dyDescent="0.25">
      <c r="A82" s="699"/>
    </row>
    <row r="83" spans="1:1" ht="15.75" x14ac:dyDescent="0.25">
      <c r="A83" s="699"/>
    </row>
    <row r="84" spans="1:1" ht="15.75" x14ac:dyDescent="0.25">
      <c r="A84" s="699"/>
    </row>
    <row r="85" spans="1:1" ht="15.75" x14ac:dyDescent="0.25">
      <c r="A85" s="699"/>
    </row>
    <row r="86" spans="1:1" ht="15.75" x14ac:dyDescent="0.25">
      <c r="A86" s="699"/>
    </row>
    <row r="87" spans="1:1" ht="15.75" x14ac:dyDescent="0.25">
      <c r="A87" s="699"/>
    </row>
    <row r="88" spans="1:1" ht="15.75" x14ac:dyDescent="0.25">
      <c r="A88" s="699"/>
    </row>
    <row r="89" spans="1:1" ht="15.75" x14ac:dyDescent="0.25">
      <c r="A89" s="699"/>
    </row>
    <row r="90" spans="1:1" ht="15.75" x14ac:dyDescent="0.25">
      <c r="A90" s="699"/>
    </row>
    <row r="91" spans="1:1" ht="15.75" x14ac:dyDescent="0.25">
      <c r="A91" s="699"/>
    </row>
    <row r="92" spans="1:1" ht="15.75" x14ac:dyDescent="0.25">
      <c r="A92" s="699"/>
    </row>
    <row r="93" spans="1:1" ht="15.75" x14ac:dyDescent="0.25">
      <c r="A93" s="699"/>
    </row>
    <row r="94" spans="1:1" ht="15.75" x14ac:dyDescent="0.25">
      <c r="A94" s="699"/>
    </row>
    <row r="95" spans="1:1" ht="15.75" x14ac:dyDescent="0.25">
      <c r="A95" s="699"/>
    </row>
    <row r="96" spans="1:1" ht="15.75" x14ac:dyDescent="0.25">
      <c r="A96" s="699"/>
    </row>
    <row r="97" spans="1:1" ht="15.75" x14ac:dyDescent="0.25">
      <c r="A97" s="699"/>
    </row>
    <row r="98" spans="1:1" ht="15.75" x14ac:dyDescent="0.25">
      <c r="A98" s="699"/>
    </row>
    <row r="99" spans="1:1" ht="15.75" x14ac:dyDescent="0.25">
      <c r="A99" s="699"/>
    </row>
    <row r="100" spans="1:1" ht="15.75" x14ac:dyDescent="0.25">
      <c r="A100" s="699"/>
    </row>
    <row r="101" spans="1:1" ht="15.75" x14ac:dyDescent="0.25">
      <c r="A101" s="699"/>
    </row>
    <row r="102" spans="1:1" ht="15.75" x14ac:dyDescent="0.25">
      <c r="A102" s="699"/>
    </row>
    <row r="103" spans="1:1" ht="15.75" x14ac:dyDescent="0.25">
      <c r="A103" s="699"/>
    </row>
    <row r="104" spans="1:1" ht="15.75" x14ac:dyDescent="0.25">
      <c r="A104" s="699"/>
    </row>
    <row r="105" spans="1:1" ht="15.75" x14ac:dyDescent="0.25">
      <c r="A105" s="699"/>
    </row>
    <row r="106" spans="1:1" ht="15.75" x14ac:dyDescent="0.25">
      <c r="A106" s="699"/>
    </row>
    <row r="107" spans="1:1" ht="15.75" x14ac:dyDescent="0.25">
      <c r="A107" s="699"/>
    </row>
    <row r="108" spans="1:1" ht="15.75" x14ac:dyDescent="0.25">
      <c r="A108" s="699"/>
    </row>
    <row r="109" spans="1:1" ht="15.75" x14ac:dyDescent="0.25">
      <c r="A109" s="699"/>
    </row>
    <row r="110" spans="1:1" ht="15.75" x14ac:dyDescent="0.25">
      <c r="A110" s="699"/>
    </row>
    <row r="111" spans="1:1" ht="15.75" x14ac:dyDescent="0.25">
      <c r="A111" s="699"/>
    </row>
    <row r="112" spans="1:1" ht="15.75" x14ac:dyDescent="0.25">
      <c r="A112" s="699"/>
    </row>
    <row r="113" spans="1:1" ht="15.75" x14ac:dyDescent="0.25">
      <c r="A113" s="699"/>
    </row>
    <row r="114" spans="1:1" ht="15.75" x14ac:dyDescent="0.25">
      <c r="A114" s="699"/>
    </row>
    <row r="115" spans="1:1" ht="15.75" x14ac:dyDescent="0.25">
      <c r="A115" s="699"/>
    </row>
    <row r="116" spans="1:1" ht="15.75" x14ac:dyDescent="0.25">
      <c r="A116" s="699"/>
    </row>
    <row r="117" spans="1:1" ht="15.75" x14ac:dyDescent="0.25">
      <c r="A117" s="699"/>
    </row>
    <row r="118" spans="1:1" ht="15.75" x14ac:dyDescent="0.25">
      <c r="A118" s="699"/>
    </row>
    <row r="119" spans="1:1" ht="15.75" x14ac:dyDescent="0.25">
      <c r="A119" s="699"/>
    </row>
    <row r="120" spans="1:1" ht="15.75" x14ac:dyDescent="0.25">
      <c r="A120" s="699"/>
    </row>
    <row r="121" spans="1:1" ht="15.75" x14ac:dyDescent="0.25">
      <c r="A121" s="699"/>
    </row>
    <row r="122" spans="1:1" ht="15.75" x14ac:dyDescent="0.25">
      <c r="A122" s="699"/>
    </row>
    <row r="123" spans="1:1" ht="15.75" x14ac:dyDescent="0.25">
      <c r="A123" s="699"/>
    </row>
    <row r="124" spans="1:1" ht="15.75" x14ac:dyDescent="0.25">
      <c r="A124" s="699"/>
    </row>
    <row r="125" spans="1:1" ht="15.75" x14ac:dyDescent="0.25">
      <c r="A125" s="699"/>
    </row>
    <row r="126" spans="1:1" ht="15.75" x14ac:dyDescent="0.25">
      <c r="A126" s="699"/>
    </row>
    <row r="127" spans="1:1" ht="15.75" x14ac:dyDescent="0.25">
      <c r="A127" s="699"/>
    </row>
    <row r="128" spans="1:1" ht="15.75" x14ac:dyDescent="0.25">
      <c r="A128" s="699"/>
    </row>
    <row r="129" spans="1:1" ht="15.75" x14ac:dyDescent="0.25">
      <c r="A129" s="699"/>
    </row>
    <row r="130" spans="1:1" ht="15.75" x14ac:dyDescent="0.25">
      <c r="A130" s="699"/>
    </row>
    <row r="131" spans="1:1" ht="15.75" x14ac:dyDescent="0.25">
      <c r="A131" s="699"/>
    </row>
    <row r="132" spans="1:1" ht="15.75" x14ac:dyDescent="0.25">
      <c r="A132" s="699"/>
    </row>
    <row r="133" spans="1:1" ht="15.75" x14ac:dyDescent="0.25">
      <c r="A133" s="699"/>
    </row>
    <row r="134" spans="1:1" ht="15.75" x14ac:dyDescent="0.25">
      <c r="A134" s="699"/>
    </row>
    <row r="135" spans="1:1" ht="15.75" x14ac:dyDescent="0.25">
      <c r="A135" s="699"/>
    </row>
    <row r="136" spans="1:1" ht="15.75" x14ac:dyDescent="0.25">
      <c r="A136" s="699"/>
    </row>
    <row r="137" spans="1:1" ht="15.75" x14ac:dyDescent="0.25">
      <c r="A137" s="699"/>
    </row>
    <row r="138" spans="1:1" ht="15.75" x14ac:dyDescent="0.25">
      <c r="A138" s="699"/>
    </row>
    <row r="139" spans="1:1" ht="15.75" x14ac:dyDescent="0.25">
      <c r="A139" s="699"/>
    </row>
    <row r="140" spans="1:1" ht="15.75" x14ac:dyDescent="0.25">
      <c r="A140" s="699"/>
    </row>
    <row r="141" spans="1:1" ht="15.75" x14ac:dyDescent="0.25">
      <c r="A141" s="699"/>
    </row>
    <row r="142" spans="1:1" ht="15.75" x14ac:dyDescent="0.25">
      <c r="A142" s="699"/>
    </row>
    <row r="143" spans="1:1" ht="15.75" x14ac:dyDescent="0.25">
      <c r="A143" s="699"/>
    </row>
    <row r="144" spans="1:1" ht="15.75" x14ac:dyDescent="0.25">
      <c r="A144" s="699"/>
    </row>
    <row r="145" spans="1:1" ht="15.75" x14ac:dyDescent="0.25">
      <c r="A145" s="699"/>
    </row>
    <row r="146" spans="1:1" ht="15.75" x14ac:dyDescent="0.25">
      <c r="A146" s="699"/>
    </row>
    <row r="147" spans="1:1" ht="15.75" x14ac:dyDescent="0.25">
      <c r="A147" s="699"/>
    </row>
    <row r="148" spans="1:1" ht="15.75" x14ac:dyDescent="0.25">
      <c r="A148" s="699"/>
    </row>
    <row r="149" spans="1:1" ht="15.75" x14ac:dyDescent="0.25">
      <c r="A149" s="699"/>
    </row>
    <row r="150" spans="1:1" ht="15.75" x14ac:dyDescent="0.25">
      <c r="A150" s="699"/>
    </row>
    <row r="151" spans="1:1" ht="15.75" x14ac:dyDescent="0.25">
      <c r="A151" s="699"/>
    </row>
    <row r="152" spans="1:1" ht="15.75" x14ac:dyDescent="0.25">
      <c r="A152" s="699"/>
    </row>
    <row r="153" spans="1:1" ht="15.75" x14ac:dyDescent="0.25">
      <c r="A153" s="699"/>
    </row>
    <row r="154" spans="1:1" ht="15.75" x14ac:dyDescent="0.25">
      <c r="A154" s="699"/>
    </row>
    <row r="155" spans="1:1" ht="15.75" x14ac:dyDescent="0.25">
      <c r="A155" s="699"/>
    </row>
    <row r="156" spans="1:1" ht="15.75" x14ac:dyDescent="0.25">
      <c r="A156" s="699"/>
    </row>
    <row r="157" spans="1:1" ht="15.75" x14ac:dyDescent="0.25">
      <c r="A157" s="699"/>
    </row>
    <row r="158" spans="1:1" ht="15.75" x14ac:dyDescent="0.25">
      <c r="A158" s="699"/>
    </row>
    <row r="159" spans="1:1" ht="15.75" x14ac:dyDescent="0.25">
      <c r="A159" s="699"/>
    </row>
    <row r="160" spans="1:1" ht="15.75" x14ac:dyDescent="0.25">
      <c r="A160" s="699"/>
    </row>
    <row r="161" spans="1:1" ht="15.75" x14ac:dyDescent="0.25">
      <c r="A161" s="699"/>
    </row>
    <row r="162" spans="1:1" ht="15.75" x14ac:dyDescent="0.25">
      <c r="A162" s="699"/>
    </row>
    <row r="163" spans="1:1" ht="15.75" x14ac:dyDescent="0.25">
      <c r="A163" s="699"/>
    </row>
    <row r="164" spans="1:1" ht="15.75" x14ac:dyDescent="0.25">
      <c r="A164" s="699"/>
    </row>
    <row r="165" spans="1:1" ht="15.75" x14ac:dyDescent="0.25">
      <c r="A165" s="699"/>
    </row>
    <row r="166" spans="1:1" ht="15.75" x14ac:dyDescent="0.25">
      <c r="A166" s="699"/>
    </row>
    <row r="167" spans="1:1" ht="15.75" x14ac:dyDescent="0.25">
      <c r="A167" s="699"/>
    </row>
    <row r="168" spans="1:1" ht="15.75" x14ac:dyDescent="0.25">
      <c r="A168" s="699"/>
    </row>
    <row r="169" spans="1:1" ht="15.75" x14ac:dyDescent="0.25">
      <c r="A169" s="699"/>
    </row>
    <row r="170" spans="1:1" ht="15.75" x14ac:dyDescent="0.25">
      <c r="A170" s="699"/>
    </row>
    <row r="171" spans="1:1" ht="15.75" x14ac:dyDescent="0.25">
      <c r="A171" s="699"/>
    </row>
    <row r="172" spans="1:1" ht="15.75" x14ac:dyDescent="0.25">
      <c r="A172" s="699"/>
    </row>
    <row r="173" spans="1:1" ht="15.75" x14ac:dyDescent="0.25">
      <c r="A173" s="699"/>
    </row>
    <row r="174" spans="1:1" ht="15.75" x14ac:dyDescent="0.25">
      <c r="A174" s="699"/>
    </row>
    <row r="175" spans="1:1" ht="15.75" x14ac:dyDescent="0.25">
      <c r="A175" s="699"/>
    </row>
    <row r="176" spans="1:1" ht="15.75" x14ac:dyDescent="0.25">
      <c r="A176" s="699"/>
    </row>
    <row r="177" spans="1:1" ht="15.75" x14ac:dyDescent="0.25">
      <c r="A177" s="699"/>
    </row>
    <row r="178" spans="1:1" ht="15.75" x14ac:dyDescent="0.25">
      <c r="A178" s="699"/>
    </row>
    <row r="179" spans="1:1" ht="15.75" x14ac:dyDescent="0.25">
      <c r="A179" s="699"/>
    </row>
    <row r="180" spans="1:1" ht="15.75" x14ac:dyDescent="0.25">
      <c r="A180" s="699"/>
    </row>
    <row r="181" spans="1:1" ht="15.75" x14ac:dyDescent="0.25">
      <c r="A181" s="699"/>
    </row>
    <row r="182" spans="1:1" ht="15.75" x14ac:dyDescent="0.25">
      <c r="A182" s="699"/>
    </row>
    <row r="183" spans="1:1" ht="15.75" x14ac:dyDescent="0.25">
      <c r="A183" s="699"/>
    </row>
    <row r="184" spans="1:1" ht="15.75" x14ac:dyDescent="0.25">
      <c r="A184" s="699"/>
    </row>
    <row r="185" spans="1:1" ht="15.75" x14ac:dyDescent="0.25">
      <c r="A185" s="699"/>
    </row>
    <row r="186" spans="1:1" ht="15.75" x14ac:dyDescent="0.25">
      <c r="A186" s="699"/>
    </row>
    <row r="187" spans="1:1" ht="15.75" x14ac:dyDescent="0.25">
      <c r="A187" s="699"/>
    </row>
    <row r="188" spans="1:1" ht="15.75" x14ac:dyDescent="0.25">
      <c r="A188" s="699"/>
    </row>
    <row r="189" spans="1:1" ht="15.75" x14ac:dyDescent="0.25">
      <c r="A189" s="699"/>
    </row>
    <row r="190" spans="1:1" ht="15.75" x14ac:dyDescent="0.25">
      <c r="A190" s="699"/>
    </row>
    <row r="191" spans="1:1" ht="15.75" x14ac:dyDescent="0.25">
      <c r="A191" s="699"/>
    </row>
    <row r="192" spans="1:1" ht="15.75" x14ac:dyDescent="0.25">
      <c r="A192" s="699"/>
    </row>
    <row r="193" spans="1:1" ht="15.75" x14ac:dyDescent="0.25">
      <c r="A193" s="699"/>
    </row>
    <row r="194" spans="1:1" ht="15.75" x14ac:dyDescent="0.25">
      <c r="A194" s="699"/>
    </row>
    <row r="195" spans="1:1" ht="15.75" x14ac:dyDescent="0.25">
      <c r="A195" s="699"/>
    </row>
    <row r="196" spans="1:1" ht="15.75" x14ac:dyDescent="0.25">
      <c r="A196" s="699"/>
    </row>
    <row r="197" spans="1:1" ht="15.75" x14ac:dyDescent="0.25">
      <c r="A197" s="699"/>
    </row>
    <row r="198" spans="1:1" ht="15.75" x14ac:dyDescent="0.25">
      <c r="A198" s="699"/>
    </row>
    <row r="199" spans="1:1" ht="15.75" x14ac:dyDescent="0.25">
      <c r="A199" s="699"/>
    </row>
    <row r="200" spans="1:1" ht="15.75" x14ac:dyDescent="0.25">
      <c r="A200" s="699"/>
    </row>
    <row r="201" spans="1:1" ht="15.75" x14ac:dyDescent="0.25">
      <c r="A201" s="699"/>
    </row>
    <row r="202" spans="1:1" ht="15.75" x14ac:dyDescent="0.25">
      <c r="A202" s="699"/>
    </row>
    <row r="203" spans="1:1" ht="15.75" x14ac:dyDescent="0.25">
      <c r="A203" s="699"/>
    </row>
    <row r="204" spans="1:1" ht="15.75" x14ac:dyDescent="0.25">
      <c r="A204" s="699"/>
    </row>
    <row r="205" spans="1:1" ht="15.75" x14ac:dyDescent="0.25">
      <c r="A205" s="699"/>
    </row>
    <row r="206" spans="1:1" ht="15.75" x14ac:dyDescent="0.25">
      <c r="A206" s="699"/>
    </row>
    <row r="207" spans="1:1" ht="15.75" x14ac:dyDescent="0.25">
      <c r="A207" s="699"/>
    </row>
    <row r="208" spans="1:1" ht="15.75" x14ac:dyDescent="0.25">
      <c r="A208" s="699"/>
    </row>
    <row r="209" spans="1:1" ht="15.75" x14ac:dyDescent="0.25">
      <c r="A209" s="699"/>
    </row>
    <row r="210" spans="1:1" ht="15.75" x14ac:dyDescent="0.25">
      <c r="A210" s="699"/>
    </row>
    <row r="211" spans="1:1" ht="15.75" x14ac:dyDescent="0.25">
      <c r="A211" s="699"/>
    </row>
    <row r="212" spans="1:1" ht="15.75" x14ac:dyDescent="0.25">
      <c r="A212" s="699"/>
    </row>
    <row r="213" spans="1:1" ht="15.75" x14ac:dyDescent="0.25">
      <c r="A213" s="699"/>
    </row>
    <row r="214" spans="1:1" ht="15.75" x14ac:dyDescent="0.25">
      <c r="A214" s="699"/>
    </row>
    <row r="215" spans="1:1" ht="15.75" x14ac:dyDescent="0.25">
      <c r="A215" s="699"/>
    </row>
    <row r="216" spans="1:1" ht="15.75" x14ac:dyDescent="0.25">
      <c r="A216" s="699"/>
    </row>
    <row r="217" spans="1:1" ht="15.75" x14ac:dyDescent="0.25">
      <c r="A217" s="699"/>
    </row>
    <row r="218" spans="1:1" ht="15.75" x14ac:dyDescent="0.25">
      <c r="A218" s="699"/>
    </row>
    <row r="219" spans="1:1" ht="15.75" x14ac:dyDescent="0.25">
      <c r="A219" s="699"/>
    </row>
    <row r="220" spans="1:1" ht="15.75" x14ac:dyDescent="0.25">
      <c r="A220" s="699"/>
    </row>
    <row r="221" spans="1:1" ht="15.75" x14ac:dyDescent="0.25">
      <c r="A221" s="699"/>
    </row>
    <row r="222" spans="1:1" ht="15.75" x14ac:dyDescent="0.25">
      <c r="A222" s="699"/>
    </row>
    <row r="223" spans="1:1" ht="15.75" x14ac:dyDescent="0.25">
      <c r="A223" s="699"/>
    </row>
    <row r="224" spans="1:1" ht="15.75" x14ac:dyDescent="0.25">
      <c r="A224" s="699"/>
    </row>
    <row r="225" spans="1:1" ht="15.75" x14ac:dyDescent="0.25">
      <c r="A225" s="699"/>
    </row>
    <row r="226" spans="1:1" ht="15.75" x14ac:dyDescent="0.25">
      <c r="A226" s="699"/>
    </row>
    <row r="227" spans="1:1" ht="15.75" x14ac:dyDescent="0.25">
      <c r="A227" s="699"/>
    </row>
    <row r="228" spans="1:1" ht="15.75" x14ac:dyDescent="0.25">
      <c r="A228" s="699"/>
    </row>
    <row r="229" spans="1:1" ht="15.75" x14ac:dyDescent="0.25">
      <c r="A229" s="699"/>
    </row>
    <row r="230" spans="1:1" ht="15.75" x14ac:dyDescent="0.25">
      <c r="A230" s="699"/>
    </row>
    <row r="231" spans="1:1" ht="15.75" x14ac:dyDescent="0.25">
      <c r="A231" s="699"/>
    </row>
    <row r="232" spans="1:1" ht="15.75" x14ac:dyDescent="0.25">
      <c r="A232" s="699"/>
    </row>
    <row r="233" spans="1:1" ht="15.75" x14ac:dyDescent="0.25">
      <c r="A233" s="699"/>
    </row>
    <row r="234" spans="1:1" ht="15.75" x14ac:dyDescent="0.25">
      <c r="A234" s="699"/>
    </row>
    <row r="235" spans="1:1" ht="15.75" x14ac:dyDescent="0.25">
      <c r="A235" s="699"/>
    </row>
    <row r="236" spans="1:1" ht="15.75" x14ac:dyDescent="0.25">
      <c r="A236" s="699"/>
    </row>
    <row r="237" spans="1:1" ht="15.75" x14ac:dyDescent="0.25">
      <c r="A237" s="699"/>
    </row>
    <row r="238" spans="1:1" ht="15.75" x14ac:dyDescent="0.25">
      <c r="A238" s="699"/>
    </row>
    <row r="239" spans="1:1" ht="15.75" x14ac:dyDescent="0.25">
      <c r="A239" s="699"/>
    </row>
    <row r="240" spans="1:1" ht="15.75" x14ac:dyDescent="0.25">
      <c r="A240" s="699"/>
    </row>
    <row r="241" spans="1:1" ht="15.75" x14ac:dyDescent="0.25">
      <c r="A241" s="699"/>
    </row>
    <row r="242" spans="1:1" ht="15.75" x14ac:dyDescent="0.25">
      <c r="A242" s="699"/>
    </row>
    <row r="243" spans="1:1" ht="15.75" x14ac:dyDescent="0.25">
      <c r="A243" s="699"/>
    </row>
    <row r="244" spans="1:1" ht="15.75" x14ac:dyDescent="0.25">
      <c r="A244" s="699"/>
    </row>
    <row r="245" spans="1:1" ht="15.75" x14ac:dyDescent="0.25">
      <c r="A245" s="699"/>
    </row>
    <row r="246" spans="1:1" ht="15.75" x14ac:dyDescent="0.25">
      <c r="A246" s="699"/>
    </row>
    <row r="247" spans="1:1" ht="15.75" x14ac:dyDescent="0.25">
      <c r="A247" s="699"/>
    </row>
    <row r="248" spans="1:1" ht="15.75" x14ac:dyDescent="0.25">
      <c r="A248" s="699"/>
    </row>
    <row r="249" spans="1:1" ht="15.75" x14ac:dyDescent="0.25">
      <c r="A249" s="699"/>
    </row>
    <row r="250" spans="1:1" ht="15.75" x14ac:dyDescent="0.25">
      <c r="A250" s="699"/>
    </row>
    <row r="251" spans="1:1" ht="15.75" x14ac:dyDescent="0.25">
      <c r="A251" s="699"/>
    </row>
    <row r="252" spans="1:1" ht="15.75" x14ac:dyDescent="0.25">
      <c r="A252" s="699"/>
    </row>
    <row r="253" spans="1:1" ht="15.75" x14ac:dyDescent="0.25">
      <c r="A253" s="699"/>
    </row>
    <row r="254" spans="1:1" ht="15.75" x14ac:dyDescent="0.25">
      <c r="A254" s="699"/>
    </row>
    <row r="255" spans="1:1" ht="15.75" x14ac:dyDescent="0.25">
      <c r="A255" s="699"/>
    </row>
    <row r="256" spans="1:1" ht="15.75" x14ac:dyDescent="0.25">
      <c r="A256" s="699"/>
    </row>
    <row r="257" spans="1:1" ht="15.75" x14ac:dyDescent="0.25">
      <c r="A257" s="699"/>
    </row>
    <row r="258" spans="1:1" ht="15.75" x14ac:dyDescent="0.25">
      <c r="A258" s="699"/>
    </row>
    <row r="259" spans="1:1" ht="15.75" x14ac:dyDescent="0.25">
      <c r="A259" s="699"/>
    </row>
    <row r="260" spans="1:1" ht="15.75" x14ac:dyDescent="0.25">
      <c r="A260" s="699"/>
    </row>
    <row r="261" spans="1:1" ht="15.75" x14ac:dyDescent="0.25">
      <c r="A261" s="699"/>
    </row>
    <row r="262" spans="1:1" ht="15.75" x14ac:dyDescent="0.25">
      <c r="A262" s="699"/>
    </row>
    <row r="263" spans="1:1" ht="15.75" x14ac:dyDescent="0.25">
      <c r="A263" s="699"/>
    </row>
    <row r="264" spans="1:1" ht="15.75" x14ac:dyDescent="0.25">
      <c r="A264" s="699"/>
    </row>
    <row r="265" spans="1:1" ht="15.75" x14ac:dyDescent="0.25">
      <c r="A265" s="699"/>
    </row>
    <row r="266" spans="1:1" ht="15.75" x14ac:dyDescent="0.25">
      <c r="A266" s="699"/>
    </row>
    <row r="267" spans="1:1" ht="15.75" x14ac:dyDescent="0.25">
      <c r="A267" s="699"/>
    </row>
    <row r="268" spans="1:1" ht="15.75" x14ac:dyDescent="0.25">
      <c r="A268" s="699"/>
    </row>
    <row r="269" spans="1:1" ht="15.75" x14ac:dyDescent="0.25">
      <c r="A269" s="699"/>
    </row>
    <row r="270" spans="1:1" ht="15.75" x14ac:dyDescent="0.25">
      <c r="A270" s="699"/>
    </row>
    <row r="271" spans="1:1" ht="15.75" x14ac:dyDescent="0.25">
      <c r="A271" s="699"/>
    </row>
    <row r="272" spans="1:1" ht="15.75" x14ac:dyDescent="0.25">
      <c r="A272" s="699"/>
    </row>
    <row r="273" spans="1:1" ht="15.75" x14ac:dyDescent="0.25">
      <c r="A273" s="699"/>
    </row>
    <row r="274" spans="1:1" ht="15.75" x14ac:dyDescent="0.25">
      <c r="A274" s="699"/>
    </row>
    <row r="275" spans="1:1" ht="15.75" x14ac:dyDescent="0.25">
      <c r="A275" s="699"/>
    </row>
    <row r="276" spans="1:1" ht="15.75" x14ac:dyDescent="0.25">
      <c r="A276" s="699"/>
    </row>
    <row r="277" spans="1:1" ht="15.75" x14ac:dyDescent="0.25">
      <c r="A277" s="699"/>
    </row>
    <row r="278" spans="1:1" ht="15.75" x14ac:dyDescent="0.25">
      <c r="A278" s="699"/>
    </row>
    <row r="279" spans="1:1" ht="15.75" x14ac:dyDescent="0.25">
      <c r="A279" s="699"/>
    </row>
    <row r="280" spans="1:1" ht="15.75" x14ac:dyDescent="0.25">
      <c r="A280" s="699"/>
    </row>
    <row r="281" spans="1:1" ht="15.75" x14ac:dyDescent="0.25">
      <c r="A281" s="699"/>
    </row>
    <row r="282" spans="1:1" ht="15.75" x14ac:dyDescent="0.25">
      <c r="A282" s="699"/>
    </row>
    <row r="283" spans="1:1" ht="15.75" x14ac:dyDescent="0.25">
      <c r="A283" s="699"/>
    </row>
    <row r="284" spans="1:1" ht="15.75" x14ac:dyDescent="0.25">
      <c r="A284" s="699"/>
    </row>
    <row r="285" spans="1:1" ht="15.75" x14ac:dyDescent="0.25">
      <c r="A285" s="699"/>
    </row>
    <row r="286" spans="1:1" ht="15.75" x14ac:dyDescent="0.25">
      <c r="A286" s="699"/>
    </row>
    <row r="287" spans="1:1" ht="15.75" x14ac:dyDescent="0.25">
      <c r="A287" s="699"/>
    </row>
    <row r="288" spans="1:1" ht="15.75" x14ac:dyDescent="0.25">
      <c r="A288" s="699"/>
    </row>
    <row r="289" spans="1:1" ht="15.75" x14ac:dyDescent="0.25">
      <c r="A289" s="699"/>
    </row>
    <row r="290" spans="1:1" ht="15.75" x14ac:dyDescent="0.25">
      <c r="A290" s="699"/>
    </row>
    <row r="291" spans="1:1" ht="15.75" x14ac:dyDescent="0.25">
      <c r="A291" s="699"/>
    </row>
    <row r="292" spans="1:1" ht="15.75" x14ac:dyDescent="0.25">
      <c r="A292" s="699"/>
    </row>
    <row r="293" spans="1:1" ht="15.75" x14ac:dyDescent="0.25">
      <c r="A293" s="699"/>
    </row>
    <row r="294" spans="1:1" ht="15.75" x14ac:dyDescent="0.25">
      <c r="A294" s="699"/>
    </row>
    <row r="295" spans="1:1" ht="15.75" x14ac:dyDescent="0.25">
      <c r="A295" s="699"/>
    </row>
    <row r="296" spans="1:1" ht="15.75" x14ac:dyDescent="0.25">
      <c r="A296" s="699"/>
    </row>
    <row r="297" spans="1:1" ht="15.75" x14ac:dyDescent="0.25">
      <c r="A297" s="699"/>
    </row>
    <row r="298" spans="1:1" ht="15.75" x14ac:dyDescent="0.25">
      <c r="A298" s="699"/>
    </row>
    <row r="299" spans="1:1" ht="15.75" x14ac:dyDescent="0.25">
      <c r="A299" s="699"/>
    </row>
    <row r="300" spans="1:1" ht="15.75" x14ac:dyDescent="0.25">
      <c r="A300" s="699"/>
    </row>
    <row r="301" spans="1:1" ht="15.75" x14ac:dyDescent="0.25">
      <c r="A301" s="699"/>
    </row>
    <row r="302" spans="1:1" ht="15.75" x14ac:dyDescent="0.25">
      <c r="A302" s="699"/>
    </row>
    <row r="303" spans="1:1" ht="15.75" x14ac:dyDescent="0.25">
      <c r="A303" s="699"/>
    </row>
    <row r="304" spans="1:1" ht="15.75" x14ac:dyDescent="0.25">
      <c r="A304" s="699"/>
    </row>
    <row r="305" spans="1:1" ht="15.75" x14ac:dyDescent="0.25">
      <c r="A305" s="699"/>
    </row>
    <row r="306" spans="1:1" ht="15.75" x14ac:dyDescent="0.25">
      <c r="A306" s="699"/>
    </row>
    <row r="307" spans="1:1" ht="15.75" x14ac:dyDescent="0.25">
      <c r="A307" s="699"/>
    </row>
    <row r="308" spans="1:1" ht="15.75" x14ac:dyDescent="0.25">
      <c r="A308" s="699"/>
    </row>
    <row r="309" spans="1:1" ht="15.75" x14ac:dyDescent="0.25">
      <c r="A309" s="699"/>
    </row>
    <row r="310" spans="1:1" ht="15.75" x14ac:dyDescent="0.25">
      <c r="A310" s="699"/>
    </row>
    <row r="311" spans="1:1" ht="15.75" x14ac:dyDescent="0.25">
      <c r="A311" s="699"/>
    </row>
    <row r="312" spans="1:1" ht="15.75" x14ac:dyDescent="0.25">
      <c r="A312" s="699"/>
    </row>
    <row r="313" spans="1:1" ht="15.75" x14ac:dyDescent="0.25">
      <c r="A313" s="699"/>
    </row>
    <row r="314" spans="1:1" ht="15.75" x14ac:dyDescent="0.25">
      <c r="A314" s="699"/>
    </row>
    <row r="315" spans="1:1" ht="15.75" x14ac:dyDescent="0.25">
      <c r="A315" s="699"/>
    </row>
    <row r="316" spans="1:1" ht="15.75" x14ac:dyDescent="0.25">
      <c r="A316" s="699"/>
    </row>
    <row r="317" spans="1:1" ht="15.75" x14ac:dyDescent="0.25">
      <c r="A317" s="699"/>
    </row>
    <row r="318" spans="1:1" ht="15.75" x14ac:dyDescent="0.25">
      <c r="A318" s="699"/>
    </row>
    <row r="319" spans="1:1" ht="15.75" x14ac:dyDescent="0.25">
      <c r="A319" s="699"/>
    </row>
    <row r="320" spans="1:1" ht="15.75" x14ac:dyDescent="0.25">
      <c r="A320" s="699"/>
    </row>
    <row r="321" spans="1:1" ht="15.75" x14ac:dyDescent="0.25">
      <c r="A321" s="699"/>
    </row>
    <row r="322" spans="1:1" ht="15.75" x14ac:dyDescent="0.25">
      <c r="A322" s="699"/>
    </row>
    <row r="323" spans="1:1" ht="15.75" x14ac:dyDescent="0.25">
      <c r="A323" s="699"/>
    </row>
    <row r="324" spans="1:1" ht="15.75" x14ac:dyDescent="0.25">
      <c r="A324" s="699"/>
    </row>
    <row r="325" spans="1:1" ht="15.75" x14ac:dyDescent="0.25">
      <c r="A325" s="699"/>
    </row>
    <row r="326" spans="1:1" ht="15.75" x14ac:dyDescent="0.25">
      <c r="A326" s="699"/>
    </row>
    <row r="327" spans="1:1" ht="15.75" x14ac:dyDescent="0.25">
      <c r="A327" s="699"/>
    </row>
    <row r="328" spans="1:1" ht="15.75" x14ac:dyDescent="0.25">
      <c r="A328" s="699"/>
    </row>
    <row r="329" spans="1:1" ht="15.75" x14ac:dyDescent="0.25">
      <c r="A329" s="699"/>
    </row>
    <row r="330" spans="1:1" ht="15.75" x14ac:dyDescent="0.25">
      <c r="A330" s="699"/>
    </row>
    <row r="331" spans="1:1" ht="15.75" x14ac:dyDescent="0.25">
      <c r="A331" s="699"/>
    </row>
    <row r="332" spans="1:1" ht="15.75" x14ac:dyDescent="0.25">
      <c r="A332" s="699"/>
    </row>
    <row r="333" spans="1:1" ht="15.75" x14ac:dyDescent="0.25">
      <c r="A333" s="699"/>
    </row>
    <row r="334" spans="1:1" ht="15.75" x14ac:dyDescent="0.25">
      <c r="A334" s="699"/>
    </row>
    <row r="335" spans="1:1" ht="15.75" x14ac:dyDescent="0.25">
      <c r="A335" s="699"/>
    </row>
    <row r="336" spans="1:1" ht="15.75" x14ac:dyDescent="0.25">
      <c r="A336" s="699"/>
    </row>
    <row r="337" spans="1:1" ht="15.75" x14ac:dyDescent="0.25">
      <c r="A337" s="699"/>
    </row>
    <row r="338" spans="1:1" ht="15.75" x14ac:dyDescent="0.25">
      <c r="A338" s="699"/>
    </row>
    <row r="339" spans="1:1" ht="15.75" x14ac:dyDescent="0.25">
      <c r="A339" s="699"/>
    </row>
    <row r="340" spans="1:1" ht="15.75" x14ac:dyDescent="0.25">
      <c r="A340" s="699"/>
    </row>
    <row r="341" spans="1:1" ht="15.75" x14ac:dyDescent="0.25">
      <c r="A341" s="699"/>
    </row>
    <row r="342" spans="1:1" ht="15.75" x14ac:dyDescent="0.25">
      <c r="A342" s="699"/>
    </row>
    <row r="343" spans="1:1" ht="15.75" x14ac:dyDescent="0.25">
      <c r="A343" s="699"/>
    </row>
    <row r="344" spans="1:1" ht="15.75" x14ac:dyDescent="0.25">
      <c r="A344" s="699"/>
    </row>
    <row r="345" spans="1:1" ht="15.75" x14ac:dyDescent="0.25">
      <c r="A345" s="699"/>
    </row>
    <row r="346" spans="1:1" ht="15.75" x14ac:dyDescent="0.25">
      <c r="A346" s="699"/>
    </row>
    <row r="347" spans="1:1" ht="15.75" x14ac:dyDescent="0.25">
      <c r="A347" s="699"/>
    </row>
    <row r="348" spans="1:1" ht="15.75" x14ac:dyDescent="0.25">
      <c r="A348" s="699"/>
    </row>
    <row r="349" spans="1:1" ht="15.75" x14ac:dyDescent="0.25">
      <c r="A349" s="699"/>
    </row>
    <row r="350" spans="1:1" ht="15.75" x14ac:dyDescent="0.25">
      <c r="A350" s="699"/>
    </row>
    <row r="351" spans="1:1" ht="15.75" x14ac:dyDescent="0.25">
      <c r="A351" s="699"/>
    </row>
    <row r="352" spans="1:1" ht="15.75" x14ac:dyDescent="0.25">
      <c r="A352" s="699"/>
    </row>
    <row r="353" spans="1:1" ht="15.75" x14ac:dyDescent="0.25">
      <c r="A353" s="699"/>
    </row>
    <row r="354" spans="1:1" ht="15.75" x14ac:dyDescent="0.25">
      <c r="A354" s="699"/>
    </row>
    <row r="355" spans="1:1" ht="15.75" x14ac:dyDescent="0.25">
      <c r="A355" s="699"/>
    </row>
    <row r="356" spans="1:1" ht="15.75" x14ac:dyDescent="0.25">
      <c r="A356" s="699"/>
    </row>
    <row r="357" spans="1:1" ht="15.75" x14ac:dyDescent="0.25">
      <c r="A357" s="699"/>
    </row>
    <row r="358" spans="1:1" ht="15.75" x14ac:dyDescent="0.25">
      <c r="A358" s="699"/>
    </row>
    <row r="359" spans="1:1" ht="15.75" x14ac:dyDescent="0.25">
      <c r="A359" s="699"/>
    </row>
    <row r="360" spans="1:1" ht="15.75" x14ac:dyDescent="0.25">
      <c r="A360" s="699"/>
    </row>
    <row r="361" spans="1:1" ht="15.75" x14ac:dyDescent="0.25">
      <c r="A361" s="699"/>
    </row>
    <row r="362" spans="1:1" ht="15.75" x14ac:dyDescent="0.25">
      <c r="A362" s="699"/>
    </row>
    <row r="363" spans="1:1" ht="15.75" x14ac:dyDescent="0.25">
      <c r="A363" s="699"/>
    </row>
    <row r="364" spans="1:1" ht="15.75" x14ac:dyDescent="0.25">
      <c r="A364" s="699"/>
    </row>
    <row r="365" spans="1:1" ht="15.75" x14ac:dyDescent="0.25">
      <c r="A365" s="699"/>
    </row>
    <row r="366" spans="1:1" ht="15.75" x14ac:dyDescent="0.25">
      <c r="A366" s="699"/>
    </row>
    <row r="367" spans="1:1" ht="15.75" x14ac:dyDescent="0.25">
      <c r="A367" s="699"/>
    </row>
    <row r="368" spans="1:1" ht="15.75" x14ac:dyDescent="0.25">
      <c r="A368" s="699"/>
    </row>
    <row r="369" spans="1:1" ht="15.75" x14ac:dyDescent="0.25">
      <c r="A369" s="699"/>
    </row>
    <row r="370" spans="1:1" ht="15.75" x14ac:dyDescent="0.25">
      <c r="A370" s="699"/>
    </row>
    <row r="371" spans="1:1" ht="15.75" x14ac:dyDescent="0.25">
      <c r="A371" s="699"/>
    </row>
    <row r="372" spans="1:1" ht="15.75" x14ac:dyDescent="0.25">
      <c r="A372" s="699"/>
    </row>
    <row r="373" spans="1:1" ht="15.75" x14ac:dyDescent="0.25">
      <c r="A373" s="699"/>
    </row>
    <row r="374" spans="1:1" ht="15.75" x14ac:dyDescent="0.25">
      <c r="A374" s="699"/>
    </row>
    <row r="375" spans="1:1" ht="15.75" x14ac:dyDescent="0.25">
      <c r="A375" s="699"/>
    </row>
    <row r="376" spans="1:1" ht="15.75" x14ac:dyDescent="0.25">
      <c r="A376" s="699"/>
    </row>
    <row r="377" spans="1:1" ht="15.75" x14ac:dyDescent="0.25">
      <c r="A377" s="699"/>
    </row>
    <row r="378" spans="1:1" ht="15.75" x14ac:dyDescent="0.25">
      <c r="A378" s="699"/>
    </row>
    <row r="379" spans="1:1" ht="15.75" x14ac:dyDescent="0.25">
      <c r="A379" s="699"/>
    </row>
    <row r="380" spans="1:1" ht="15.75" x14ac:dyDescent="0.25">
      <c r="A380" s="699"/>
    </row>
    <row r="381" spans="1:1" ht="15.75" x14ac:dyDescent="0.25">
      <c r="A381" s="699"/>
    </row>
    <row r="382" spans="1:1" ht="15.75" x14ac:dyDescent="0.25">
      <c r="A382" s="699"/>
    </row>
    <row r="383" spans="1:1" ht="15.75" x14ac:dyDescent="0.25">
      <c r="A383" s="699"/>
    </row>
    <row r="384" spans="1:1" ht="15.75" x14ac:dyDescent="0.25">
      <c r="A384" s="699"/>
    </row>
    <row r="385" spans="1:1" ht="15.75" x14ac:dyDescent="0.25">
      <c r="A385" s="699"/>
    </row>
    <row r="386" spans="1:1" ht="15.75" x14ac:dyDescent="0.25">
      <c r="A386" s="699"/>
    </row>
    <row r="387" spans="1:1" ht="15.75" x14ac:dyDescent="0.25">
      <c r="A387" s="699"/>
    </row>
    <row r="388" spans="1:1" ht="15.75" x14ac:dyDescent="0.25">
      <c r="A388" s="699"/>
    </row>
    <row r="389" spans="1:1" ht="15.75" x14ac:dyDescent="0.25">
      <c r="A389" s="699"/>
    </row>
    <row r="390" spans="1:1" ht="15.75" x14ac:dyDescent="0.25">
      <c r="A390" s="699"/>
    </row>
    <row r="391" spans="1:1" ht="15.75" x14ac:dyDescent="0.25">
      <c r="A391" s="699"/>
    </row>
    <row r="392" spans="1:1" ht="15.75" x14ac:dyDescent="0.25">
      <c r="A392" s="699"/>
    </row>
    <row r="393" spans="1:1" ht="15.75" x14ac:dyDescent="0.25">
      <c r="A393" s="699"/>
    </row>
    <row r="394" spans="1:1" ht="15.75" x14ac:dyDescent="0.25">
      <c r="A394" s="699"/>
    </row>
    <row r="395" spans="1:1" ht="15.75" x14ac:dyDescent="0.25">
      <c r="A395" s="699"/>
    </row>
    <row r="396" spans="1:1" ht="15.75" x14ac:dyDescent="0.25">
      <c r="A396" s="699"/>
    </row>
    <row r="397" spans="1:1" ht="15.75" x14ac:dyDescent="0.25">
      <c r="A397" s="699"/>
    </row>
    <row r="398" spans="1:1" ht="15.75" x14ac:dyDescent="0.25">
      <c r="A398" s="699"/>
    </row>
    <row r="399" spans="1:1" ht="15.75" x14ac:dyDescent="0.25">
      <c r="A399" s="699"/>
    </row>
    <row r="400" spans="1:1" ht="15.75" x14ac:dyDescent="0.25">
      <c r="A400" s="699"/>
    </row>
    <row r="401" spans="1:1" ht="15.75" x14ac:dyDescent="0.25">
      <c r="A401" s="699"/>
    </row>
    <row r="402" spans="1:1" ht="15.75" x14ac:dyDescent="0.25">
      <c r="A402" s="699"/>
    </row>
    <row r="403" spans="1:1" ht="15.75" x14ac:dyDescent="0.25">
      <c r="A403" s="699"/>
    </row>
    <row r="404" spans="1:1" ht="15.75" x14ac:dyDescent="0.25">
      <c r="A404" s="699"/>
    </row>
    <row r="405" spans="1:1" ht="15.75" x14ac:dyDescent="0.25">
      <c r="A405" s="699"/>
    </row>
    <row r="406" spans="1:1" ht="15.75" x14ac:dyDescent="0.25">
      <c r="A406" s="699"/>
    </row>
    <row r="407" spans="1:1" ht="15.75" x14ac:dyDescent="0.25">
      <c r="A407" s="699"/>
    </row>
    <row r="408" spans="1:1" ht="15.75" x14ac:dyDescent="0.25">
      <c r="A408" s="699"/>
    </row>
    <row r="409" spans="1:1" ht="15.75" x14ac:dyDescent="0.25">
      <c r="A409" s="699"/>
    </row>
    <row r="410" spans="1:1" ht="15.75" x14ac:dyDescent="0.25">
      <c r="A410" s="699"/>
    </row>
    <row r="411" spans="1:1" ht="15.75" x14ac:dyDescent="0.25">
      <c r="A411" s="699"/>
    </row>
    <row r="412" spans="1:1" ht="15.75" x14ac:dyDescent="0.25">
      <c r="A412" s="699"/>
    </row>
    <row r="413" spans="1:1" ht="15.75" x14ac:dyDescent="0.25">
      <c r="A413" s="699"/>
    </row>
    <row r="414" spans="1:1" ht="15.75" x14ac:dyDescent="0.25">
      <c r="A414" s="699"/>
    </row>
    <row r="415" spans="1:1" ht="15.75" x14ac:dyDescent="0.25">
      <c r="A415" s="699"/>
    </row>
    <row r="416" spans="1:1" ht="15.75" x14ac:dyDescent="0.25">
      <c r="A416" s="699"/>
    </row>
    <row r="417" spans="1:1" ht="15.75" x14ac:dyDescent="0.25">
      <c r="A417" s="699"/>
    </row>
    <row r="418" spans="1:1" ht="15.75" x14ac:dyDescent="0.25">
      <c r="A418" s="699"/>
    </row>
    <row r="419" spans="1:1" ht="15.75" x14ac:dyDescent="0.25">
      <c r="A419" s="699"/>
    </row>
    <row r="420" spans="1:1" ht="15.75" x14ac:dyDescent="0.25">
      <c r="A420" s="699"/>
    </row>
    <row r="421" spans="1:1" ht="15.75" x14ac:dyDescent="0.25">
      <c r="A421" s="699"/>
    </row>
    <row r="422" spans="1:1" ht="15.75" x14ac:dyDescent="0.25">
      <c r="A422" s="699"/>
    </row>
    <row r="423" spans="1:1" ht="15.75" x14ac:dyDescent="0.25">
      <c r="A423" s="699"/>
    </row>
    <row r="424" spans="1:1" ht="15.75" x14ac:dyDescent="0.25">
      <c r="A424" s="699"/>
    </row>
    <row r="425" spans="1:1" ht="15.75" x14ac:dyDescent="0.25">
      <c r="A425" s="699"/>
    </row>
    <row r="426" spans="1:1" ht="15.75" x14ac:dyDescent="0.25">
      <c r="A426" s="699"/>
    </row>
    <row r="427" spans="1:1" ht="15.75" x14ac:dyDescent="0.25">
      <c r="A427" s="699"/>
    </row>
    <row r="428" spans="1:1" ht="15.75" x14ac:dyDescent="0.25">
      <c r="A428" s="699"/>
    </row>
    <row r="429" spans="1:1" ht="15.75" x14ac:dyDescent="0.25">
      <c r="A429" s="699"/>
    </row>
    <row r="430" spans="1:1" ht="15.75" x14ac:dyDescent="0.25">
      <c r="A430" s="699"/>
    </row>
    <row r="431" spans="1:1" ht="15.75" x14ac:dyDescent="0.25">
      <c r="A431" s="699"/>
    </row>
    <row r="432" spans="1:1" ht="15.75" x14ac:dyDescent="0.25">
      <c r="A432" s="699"/>
    </row>
    <row r="433" spans="1:1" ht="15.75" x14ac:dyDescent="0.25">
      <c r="A433" s="699"/>
    </row>
    <row r="434" spans="1:1" ht="15.75" x14ac:dyDescent="0.25">
      <c r="A434" s="699"/>
    </row>
    <row r="435" spans="1:1" ht="15.75" x14ac:dyDescent="0.25">
      <c r="A435" s="699"/>
    </row>
    <row r="436" spans="1:1" ht="15.75" x14ac:dyDescent="0.25">
      <c r="A436" s="699"/>
    </row>
    <row r="437" spans="1:1" ht="15.75" x14ac:dyDescent="0.25">
      <c r="A437" s="699"/>
    </row>
    <row r="438" spans="1:1" ht="15.75" x14ac:dyDescent="0.25">
      <c r="A438" s="699"/>
    </row>
    <row r="439" spans="1:1" ht="15.75" x14ac:dyDescent="0.25">
      <c r="A439" s="699"/>
    </row>
    <row r="440" spans="1:1" ht="15.75" x14ac:dyDescent="0.25">
      <c r="A440" s="699"/>
    </row>
    <row r="441" spans="1:1" ht="15.75" x14ac:dyDescent="0.25">
      <c r="A441" s="699"/>
    </row>
    <row r="442" spans="1:1" ht="15.75" x14ac:dyDescent="0.25">
      <c r="A442" s="699"/>
    </row>
    <row r="443" spans="1:1" ht="15.75" x14ac:dyDescent="0.25">
      <c r="A443" s="699"/>
    </row>
    <row r="444" spans="1:1" ht="15.75" x14ac:dyDescent="0.25">
      <c r="A444" s="699"/>
    </row>
    <row r="445" spans="1:1" ht="15.75" x14ac:dyDescent="0.25">
      <c r="A445" s="699"/>
    </row>
    <row r="446" spans="1:1" ht="15.75" x14ac:dyDescent="0.25">
      <c r="A446" s="699"/>
    </row>
    <row r="447" spans="1:1" ht="15.75" x14ac:dyDescent="0.25">
      <c r="A447" s="699"/>
    </row>
    <row r="448" spans="1:1" ht="15.75" x14ac:dyDescent="0.25">
      <c r="A448" s="699"/>
    </row>
    <row r="449" spans="1:1" ht="15.75" x14ac:dyDescent="0.25">
      <c r="A449" s="699"/>
    </row>
    <row r="450" spans="1:1" ht="15.75" x14ac:dyDescent="0.25">
      <c r="A450" s="699"/>
    </row>
    <row r="451" spans="1:1" ht="15.75" x14ac:dyDescent="0.25">
      <c r="A451" s="699"/>
    </row>
    <row r="452" spans="1:1" ht="15.75" x14ac:dyDescent="0.25">
      <c r="A452" s="699"/>
    </row>
    <row r="453" spans="1:1" ht="15.75" x14ac:dyDescent="0.25">
      <c r="A453" s="699"/>
    </row>
    <row r="454" spans="1:1" ht="15.75" x14ac:dyDescent="0.25">
      <c r="A454" s="699"/>
    </row>
    <row r="455" spans="1:1" ht="15.75" x14ac:dyDescent="0.25">
      <c r="A455" s="699"/>
    </row>
    <row r="456" spans="1:1" ht="15.75" x14ac:dyDescent="0.25">
      <c r="A456" s="699"/>
    </row>
    <row r="457" spans="1:1" ht="15.75" x14ac:dyDescent="0.25">
      <c r="A457" s="699"/>
    </row>
    <row r="458" spans="1:1" ht="15.75" x14ac:dyDescent="0.25">
      <c r="A458" s="699"/>
    </row>
    <row r="459" spans="1:1" ht="15.75" x14ac:dyDescent="0.25">
      <c r="A459" s="699"/>
    </row>
    <row r="460" spans="1:1" ht="15.75" x14ac:dyDescent="0.25">
      <c r="A460" s="699"/>
    </row>
    <row r="461" spans="1:1" ht="15.75" x14ac:dyDescent="0.25">
      <c r="A461" s="699"/>
    </row>
    <row r="462" spans="1:1" ht="15.75" x14ac:dyDescent="0.25">
      <c r="A462" s="699"/>
    </row>
    <row r="463" spans="1:1" ht="15.75" x14ac:dyDescent="0.25">
      <c r="A463" s="699"/>
    </row>
    <row r="464" spans="1:1" ht="15.75" x14ac:dyDescent="0.25">
      <c r="A464" s="699"/>
    </row>
    <row r="465" spans="1:1" ht="15.75" x14ac:dyDescent="0.25">
      <c r="A465" s="699"/>
    </row>
    <row r="466" spans="1:1" ht="15.75" x14ac:dyDescent="0.25">
      <c r="A466" s="699"/>
    </row>
    <row r="467" spans="1:1" ht="15.75" x14ac:dyDescent="0.25">
      <c r="A467" s="699"/>
    </row>
    <row r="468" spans="1:1" ht="15.75" x14ac:dyDescent="0.25">
      <c r="A468" s="699"/>
    </row>
    <row r="469" spans="1:1" ht="15.75" x14ac:dyDescent="0.25">
      <c r="A469" s="699"/>
    </row>
    <row r="470" spans="1:1" ht="15.75" x14ac:dyDescent="0.25">
      <c r="A470" s="699"/>
    </row>
    <row r="471" spans="1:1" ht="15.75" x14ac:dyDescent="0.25">
      <c r="A471" s="699"/>
    </row>
    <row r="472" spans="1:1" ht="15.75" x14ac:dyDescent="0.25">
      <c r="A472" s="699"/>
    </row>
    <row r="473" spans="1:1" ht="15.75" x14ac:dyDescent="0.25">
      <c r="A473" s="699"/>
    </row>
    <row r="474" spans="1:1" ht="15.75" x14ac:dyDescent="0.25">
      <c r="A474" s="699"/>
    </row>
    <row r="475" spans="1:1" ht="15.75" x14ac:dyDescent="0.25">
      <c r="A475" s="699"/>
    </row>
    <row r="476" spans="1:1" ht="15.75" x14ac:dyDescent="0.25">
      <c r="A476" s="699"/>
    </row>
    <row r="477" spans="1:1" ht="15.75" x14ac:dyDescent="0.25">
      <c r="A477" s="699"/>
    </row>
    <row r="478" spans="1:1" ht="15.75" x14ac:dyDescent="0.25">
      <c r="A478" s="699"/>
    </row>
    <row r="479" spans="1:1" ht="15.75" x14ac:dyDescent="0.25">
      <c r="A479" s="699"/>
    </row>
    <row r="480" spans="1:1" ht="15.75" x14ac:dyDescent="0.25">
      <c r="A480" s="699"/>
    </row>
    <row r="481" spans="1:1" ht="15.75" x14ac:dyDescent="0.25">
      <c r="A481" s="699"/>
    </row>
    <row r="482" spans="1:1" ht="15.75" x14ac:dyDescent="0.25">
      <c r="A482" s="699"/>
    </row>
    <row r="483" spans="1:1" ht="15.75" x14ac:dyDescent="0.25">
      <c r="A483" s="699"/>
    </row>
    <row r="484" spans="1:1" ht="15.75" x14ac:dyDescent="0.25">
      <c r="A484" s="699"/>
    </row>
    <row r="485" spans="1:1" ht="15.75" x14ac:dyDescent="0.25">
      <c r="A485" s="699"/>
    </row>
    <row r="486" spans="1:1" ht="15.75" x14ac:dyDescent="0.25">
      <c r="A486" s="699"/>
    </row>
    <row r="487" spans="1:1" ht="15.75" x14ac:dyDescent="0.25">
      <c r="A487" s="699"/>
    </row>
    <row r="488" spans="1:1" ht="15.75" x14ac:dyDescent="0.25">
      <c r="A488" s="699"/>
    </row>
    <row r="489" spans="1:1" ht="15.75" x14ac:dyDescent="0.25">
      <c r="A489" s="699"/>
    </row>
    <row r="490" spans="1:1" ht="15.75" x14ac:dyDescent="0.25">
      <c r="A490" s="699"/>
    </row>
    <row r="491" spans="1:1" ht="15.75" x14ac:dyDescent="0.25">
      <c r="A491" s="699"/>
    </row>
    <row r="492" spans="1:1" ht="15.75" x14ac:dyDescent="0.25">
      <c r="A492" s="699"/>
    </row>
    <row r="493" spans="1:1" ht="15.75" x14ac:dyDescent="0.25">
      <c r="A493" s="699"/>
    </row>
    <row r="494" spans="1:1" ht="15.75" x14ac:dyDescent="0.25">
      <c r="A494" s="699"/>
    </row>
    <row r="495" spans="1:1" ht="15.75" x14ac:dyDescent="0.25">
      <c r="A495" s="699"/>
    </row>
    <row r="496" spans="1:1" ht="15.75" x14ac:dyDescent="0.25">
      <c r="A496" s="699"/>
    </row>
    <row r="497" spans="1:1" ht="15.75" x14ac:dyDescent="0.25">
      <c r="A497" s="699"/>
    </row>
    <row r="498" spans="1:1" ht="15.75" x14ac:dyDescent="0.25">
      <c r="A498" s="699"/>
    </row>
    <row r="499" spans="1:1" ht="15.75" x14ac:dyDescent="0.25">
      <c r="A499" s="699"/>
    </row>
    <row r="500" spans="1:1" ht="15.75" x14ac:dyDescent="0.25">
      <c r="A500" s="699"/>
    </row>
    <row r="501" spans="1:1" ht="15.75" x14ac:dyDescent="0.25">
      <c r="A501" s="699"/>
    </row>
    <row r="502" spans="1:1" ht="15.75" x14ac:dyDescent="0.25">
      <c r="A502" s="699"/>
    </row>
    <row r="503" spans="1:1" ht="15.75" x14ac:dyDescent="0.25">
      <c r="A503" s="699"/>
    </row>
    <row r="504" spans="1:1" ht="15.75" x14ac:dyDescent="0.25">
      <c r="A504" s="699"/>
    </row>
    <row r="505" spans="1:1" ht="15.75" x14ac:dyDescent="0.25">
      <c r="A505" s="699"/>
    </row>
    <row r="506" spans="1:1" ht="15.75" x14ac:dyDescent="0.25">
      <c r="A506" s="699"/>
    </row>
    <row r="507" spans="1:1" ht="15.75" x14ac:dyDescent="0.25">
      <c r="A507" s="699"/>
    </row>
    <row r="508" spans="1:1" ht="15.75" x14ac:dyDescent="0.25">
      <c r="A508" s="699"/>
    </row>
    <row r="509" spans="1:1" ht="15.75" x14ac:dyDescent="0.25">
      <c r="A509" s="699"/>
    </row>
    <row r="510" spans="1:1" ht="15.75" x14ac:dyDescent="0.25">
      <c r="A510" s="699"/>
    </row>
    <row r="511" spans="1:1" ht="15.75" x14ac:dyDescent="0.25">
      <c r="A511" s="699"/>
    </row>
    <row r="512" spans="1:1" ht="15.75" x14ac:dyDescent="0.25">
      <c r="A512" s="699"/>
    </row>
    <row r="513" spans="1:1" ht="15.75" x14ac:dyDescent="0.25">
      <c r="A513" s="699"/>
    </row>
    <row r="514" spans="1:1" ht="15.75" x14ac:dyDescent="0.25">
      <c r="A514" s="699"/>
    </row>
    <row r="515" spans="1:1" ht="15.75" x14ac:dyDescent="0.25">
      <c r="A515" s="699"/>
    </row>
    <row r="516" spans="1:1" ht="15.75" x14ac:dyDescent="0.25">
      <c r="A516" s="699"/>
    </row>
    <row r="517" spans="1:1" ht="15.75" x14ac:dyDescent="0.25">
      <c r="A517" s="699"/>
    </row>
    <row r="518" spans="1:1" ht="15.75" x14ac:dyDescent="0.25">
      <c r="A518" s="699"/>
    </row>
    <row r="519" spans="1:1" ht="15.75" x14ac:dyDescent="0.25">
      <c r="A519" s="699"/>
    </row>
    <row r="520" spans="1:1" ht="15.75" x14ac:dyDescent="0.25">
      <c r="A520" s="699"/>
    </row>
    <row r="521" spans="1:1" ht="15.75" x14ac:dyDescent="0.25">
      <c r="A521" s="699"/>
    </row>
    <row r="522" spans="1:1" ht="15.75" x14ac:dyDescent="0.25">
      <c r="A522" s="699"/>
    </row>
    <row r="523" spans="1:1" ht="15.75" x14ac:dyDescent="0.25">
      <c r="A523" s="699"/>
    </row>
    <row r="524" spans="1:1" ht="15.75" x14ac:dyDescent="0.25">
      <c r="A524" s="699"/>
    </row>
    <row r="525" spans="1:1" ht="15.75" x14ac:dyDescent="0.25">
      <c r="A525" s="699"/>
    </row>
    <row r="526" spans="1:1" ht="15.75" x14ac:dyDescent="0.25">
      <c r="A526" s="699"/>
    </row>
    <row r="527" spans="1:1" ht="15.75" x14ac:dyDescent="0.25">
      <c r="A527" s="699"/>
    </row>
    <row r="528" spans="1:1" ht="15.75" x14ac:dyDescent="0.25">
      <c r="A528" s="699"/>
    </row>
    <row r="529" spans="1:1" ht="15.75" x14ac:dyDescent="0.25">
      <c r="A529" s="699"/>
    </row>
    <row r="530" spans="1:1" ht="15.75" x14ac:dyDescent="0.25">
      <c r="A530" s="699"/>
    </row>
    <row r="531" spans="1:1" ht="15.75" x14ac:dyDescent="0.25">
      <c r="A531" s="699"/>
    </row>
    <row r="532" spans="1:1" ht="15.75" x14ac:dyDescent="0.25">
      <c r="A532" s="699"/>
    </row>
    <row r="533" spans="1:1" ht="15.75" x14ac:dyDescent="0.25">
      <c r="A533" s="699"/>
    </row>
    <row r="534" spans="1:1" ht="15.75" x14ac:dyDescent="0.25">
      <c r="A534" s="699"/>
    </row>
    <row r="535" spans="1:1" ht="15.75" x14ac:dyDescent="0.25">
      <c r="A535" s="699"/>
    </row>
    <row r="536" spans="1:1" ht="15.75" x14ac:dyDescent="0.25">
      <c r="A536" s="699"/>
    </row>
    <row r="537" spans="1:1" ht="15.75" x14ac:dyDescent="0.25">
      <c r="A537" s="699"/>
    </row>
    <row r="538" spans="1:1" ht="15.75" x14ac:dyDescent="0.25">
      <c r="A538" s="699"/>
    </row>
    <row r="539" spans="1:1" ht="15.75" x14ac:dyDescent="0.25">
      <c r="A539" s="699"/>
    </row>
    <row r="540" spans="1:1" ht="15.75" x14ac:dyDescent="0.25">
      <c r="A540" s="699"/>
    </row>
    <row r="541" spans="1:1" ht="15.75" x14ac:dyDescent="0.25">
      <c r="A541" s="699"/>
    </row>
    <row r="542" spans="1:1" ht="15.75" x14ac:dyDescent="0.25">
      <c r="A542" s="699"/>
    </row>
    <row r="543" spans="1:1" ht="15.75" x14ac:dyDescent="0.25">
      <c r="A543" s="699"/>
    </row>
    <row r="544" spans="1:1" ht="15.75" x14ac:dyDescent="0.25">
      <c r="A544" s="699"/>
    </row>
    <row r="545" spans="1:1" ht="15.75" x14ac:dyDescent="0.25">
      <c r="A545" s="699"/>
    </row>
    <row r="546" spans="1:1" ht="15.75" x14ac:dyDescent="0.25">
      <c r="A546" s="699"/>
    </row>
    <row r="547" spans="1:1" ht="15.75" x14ac:dyDescent="0.25">
      <c r="A547" s="699"/>
    </row>
    <row r="548" spans="1:1" ht="15.75" x14ac:dyDescent="0.25">
      <c r="A548" s="699"/>
    </row>
    <row r="549" spans="1:1" ht="15.75" x14ac:dyDescent="0.25">
      <c r="A549" s="699"/>
    </row>
    <row r="550" spans="1:1" ht="15.75" x14ac:dyDescent="0.25">
      <c r="A550" s="699"/>
    </row>
    <row r="551" spans="1:1" ht="15.75" x14ac:dyDescent="0.25">
      <c r="A551" s="699"/>
    </row>
    <row r="552" spans="1:1" ht="15.75" x14ac:dyDescent="0.25">
      <c r="A552" s="699"/>
    </row>
    <row r="553" spans="1:1" ht="15.75" x14ac:dyDescent="0.25">
      <c r="A553" s="699"/>
    </row>
    <row r="554" spans="1:1" ht="15.75" x14ac:dyDescent="0.25">
      <c r="A554" s="699"/>
    </row>
    <row r="555" spans="1:1" ht="15.75" x14ac:dyDescent="0.25">
      <c r="A555" s="699"/>
    </row>
    <row r="556" spans="1:1" ht="15.75" x14ac:dyDescent="0.25">
      <c r="A556" s="699"/>
    </row>
    <row r="557" spans="1:1" ht="15.75" x14ac:dyDescent="0.25">
      <c r="A557" s="699"/>
    </row>
    <row r="558" spans="1:1" ht="15.75" x14ac:dyDescent="0.25">
      <c r="A558" s="699"/>
    </row>
    <row r="559" spans="1:1" ht="15.75" x14ac:dyDescent="0.25">
      <c r="A559" s="699"/>
    </row>
    <row r="560" spans="1:1" ht="15.75" x14ac:dyDescent="0.25">
      <c r="A560" s="699"/>
    </row>
    <row r="561" spans="1:1" ht="15.75" x14ac:dyDescent="0.25">
      <c r="A561" s="699"/>
    </row>
    <row r="562" spans="1:1" ht="15.75" x14ac:dyDescent="0.25">
      <c r="A562" s="699"/>
    </row>
    <row r="563" spans="1:1" ht="15.75" x14ac:dyDescent="0.25">
      <c r="A563" s="699"/>
    </row>
    <row r="564" spans="1:1" ht="15.75" x14ac:dyDescent="0.25">
      <c r="A564" s="699"/>
    </row>
    <row r="565" spans="1:1" ht="15.75" x14ac:dyDescent="0.25">
      <c r="A565" s="699"/>
    </row>
    <row r="566" spans="1:1" ht="15.75" x14ac:dyDescent="0.25">
      <c r="A566" s="699"/>
    </row>
    <row r="567" spans="1:1" ht="15.75" x14ac:dyDescent="0.25">
      <c r="A567" s="699"/>
    </row>
    <row r="568" spans="1:1" ht="15.75" x14ac:dyDescent="0.25">
      <c r="A568" s="699"/>
    </row>
    <row r="569" spans="1:1" ht="15.75" x14ac:dyDescent="0.25">
      <c r="A569" s="699"/>
    </row>
    <row r="570" spans="1:1" ht="15.75" x14ac:dyDescent="0.25">
      <c r="A570" s="699"/>
    </row>
    <row r="571" spans="1:1" ht="15.75" x14ac:dyDescent="0.25">
      <c r="A571" s="699"/>
    </row>
    <row r="572" spans="1:1" ht="15.75" x14ac:dyDescent="0.25">
      <c r="A572" s="699"/>
    </row>
    <row r="573" spans="1:1" ht="15.75" x14ac:dyDescent="0.25">
      <c r="A573" s="699"/>
    </row>
    <row r="574" spans="1:1" ht="15.75" x14ac:dyDescent="0.25">
      <c r="A574" s="699"/>
    </row>
    <row r="575" spans="1:1" ht="15.75" x14ac:dyDescent="0.25">
      <c r="A575" s="699"/>
    </row>
    <row r="576" spans="1:1" ht="15.75" x14ac:dyDescent="0.25">
      <c r="A576" s="699"/>
    </row>
    <row r="577" spans="1:1" ht="15.75" x14ac:dyDescent="0.25">
      <c r="A577" s="699"/>
    </row>
    <row r="578" spans="1:1" ht="15.75" x14ac:dyDescent="0.25">
      <c r="A578" s="699"/>
    </row>
    <row r="579" spans="1:1" ht="15.75" x14ac:dyDescent="0.25">
      <c r="A579" s="699"/>
    </row>
    <row r="580" spans="1:1" ht="15.75" x14ac:dyDescent="0.25">
      <c r="A580" s="699"/>
    </row>
    <row r="581" spans="1:1" ht="15.75" x14ac:dyDescent="0.25">
      <c r="A581" s="699"/>
    </row>
    <row r="582" spans="1:1" ht="15.75" x14ac:dyDescent="0.25">
      <c r="A582" s="699"/>
    </row>
    <row r="583" spans="1:1" ht="15.75" x14ac:dyDescent="0.25">
      <c r="A583" s="699"/>
    </row>
    <row r="584" spans="1:1" ht="15.75" x14ac:dyDescent="0.25">
      <c r="A584" s="699"/>
    </row>
    <row r="585" spans="1:1" ht="15.75" x14ac:dyDescent="0.25">
      <c r="A585" s="699"/>
    </row>
    <row r="586" spans="1:1" ht="15.75" x14ac:dyDescent="0.25">
      <c r="A586" s="699"/>
    </row>
    <row r="587" spans="1:1" ht="15.75" x14ac:dyDescent="0.25">
      <c r="A587" s="699"/>
    </row>
    <row r="588" spans="1:1" ht="15.75" x14ac:dyDescent="0.25">
      <c r="A588" s="699"/>
    </row>
    <row r="589" spans="1:1" ht="15.75" x14ac:dyDescent="0.25">
      <c r="A589" s="699"/>
    </row>
    <row r="590" spans="1:1" ht="15.75" x14ac:dyDescent="0.25">
      <c r="A590" s="699"/>
    </row>
    <row r="591" spans="1:1" ht="15.75" x14ac:dyDescent="0.25">
      <c r="A591" s="699"/>
    </row>
    <row r="592" spans="1:1" ht="15.75" x14ac:dyDescent="0.25">
      <c r="A592" s="699"/>
    </row>
    <row r="593" spans="1:1" ht="15.75" x14ac:dyDescent="0.25">
      <c r="A593" s="699"/>
    </row>
    <row r="594" spans="1:1" ht="15.75" x14ac:dyDescent="0.25">
      <c r="A594" s="699"/>
    </row>
    <row r="595" spans="1:1" ht="15.75" x14ac:dyDescent="0.25">
      <c r="A595" s="699"/>
    </row>
    <row r="596" spans="1:1" ht="15.75" x14ac:dyDescent="0.25">
      <c r="A596" s="699"/>
    </row>
    <row r="597" spans="1:1" ht="15.75" x14ac:dyDescent="0.25">
      <c r="A597" s="699"/>
    </row>
    <row r="598" spans="1:1" ht="15.75" x14ac:dyDescent="0.25">
      <c r="A598" s="699"/>
    </row>
    <row r="599" spans="1:1" ht="15.75" x14ac:dyDescent="0.25">
      <c r="A599" s="699"/>
    </row>
    <row r="600" spans="1:1" ht="15.75" x14ac:dyDescent="0.25">
      <c r="A600" s="699"/>
    </row>
    <row r="601" spans="1:1" ht="15.75" x14ac:dyDescent="0.25">
      <c r="A601" s="699"/>
    </row>
    <row r="602" spans="1:1" ht="15.75" x14ac:dyDescent="0.25">
      <c r="A602" s="699"/>
    </row>
    <row r="603" spans="1:1" ht="15.75" x14ac:dyDescent="0.25">
      <c r="A603" s="699"/>
    </row>
    <row r="604" spans="1:1" ht="15.75" x14ac:dyDescent="0.25">
      <c r="A604" s="699"/>
    </row>
    <row r="605" spans="1:1" ht="15.75" x14ac:dyDescent="0.25">
      <c r="A605" s="699"/>
    </row>
    <row r="606" spans="1:1" ht="15.75" x14ac:dyDescent="0.25">
      <c r="A606" s="699"/>
    </row>
    <row r="607" spans="1:1" ht="15.75" x14ac:dyDescent="0.25">
      <c r="A607" s="699"/>
    </row>
    <row r="608" spans="1:1" ht="15.75" x14ac:dyDescent="0.25">
      <c r="A608" s="699"/>
    </row>
    <row r="609" spans="1:1" ht="15.75" x14ac:dyDescent="0.25">
      <c r="A609" s="699"/>
    </row>
    <row r="610" spans="1:1" ht="15.75" x14ac:dyDescent="0.25">
      <c r="A610" s="699"/>
    </row>
    <row r="611" spans="1:1" ht="15.75" x14ac:dyDescent="0.25">
      <c r="A611" s="699"/>
    </row>
    <row r="612" spans="1:1" ht="15.75" x14ac:dyDescent="0.25">
      <c r="A612" s="699"/>
    </row>
    <row r="613" spans="1:1" ht="15.75" x14ac:dyDescent="0.25">
      <c r="A613" s="699"/>
    </row>
    <row r="614" spans="1:1" ht="15.75" x14ac:dyDescent="0.25">
      <c r="A614" s="699"/>
    </row>
    <row r="615" spans="1:1" ht="15.75" x14ac:dyDescent="0.25">
      <c r="A615" s="699"/>
    </row>
    <row r="616" spans="1:1" ht="15.75" x14ac:dyDescent="0.25">
      <c r="A616" s="699"/>
    </row>
    <row r="617" spans="1:1" ht="15.75" x14ac:dyDescent="0.25">
      <c r="A617" s="699"/>
    </row>
    <row r="618" spans="1:1" ht="15.75" x14ac:dyDescent="0.25">
      <c r="A618" s="699"/>
    </row>
    <row r="619" spans="1:1" ht="15.75" x14ac:dyDescent="0.25">
      <c r="A619" s="699"/>
    </row>
    <row r="620" spans="1:1" ht="15.75" x14ac:dyDescent="0.25">
      <c r="A620" s="699"/>
    </row>
    <row r="621" spans="1:1" ht="15.75" x14ac:dyDescent="0.25">
      <c r="A621" s="699"/>
    </row>
    <row r="622" spans="1:1" ht="15.75" x14ac:dyDescent="0.25">
      <c r="A622" s="699"/>
    </row>
    <row r="623" spans="1:1" ht="15.75" x14ac:dyDescent="0.25">
      <c r="A623" s="699"/>
    </row>
    <row r="624" spans="1:1" ht="15.75" x14ac:dyDescent="0.25">
      <c r="A624" s="699"/>
    </row>
    <row r="625" spans="1:1" ht="15.75" x14ac:dyDescent="0.25">
      <c r="A625" s="699"/>
    </row>
    <row r="626" spans="1:1" ht="15.75" x14ac:dyDescent="0.25">
      <c r="A626" s="699"/>
    </row>
    <row r="627" spans="1:1" ht="15.75" x14ac:dyDescent="0.25">
      <c r="A627" s="699"/>
    </row>
    <row r="628" spans="1:1" ht="15.75" x14ac:dyDescent="0.25">
      <c r="A628" s="699"/>
    </row>
    <row r="629" spans="1:1" ht="15.75" x14ac:dyDescent="0.25">
      <c r="A629" s="699"/>
    </row>
    <row r="630" spans="1:1" ht="15.75" x14ac:dyDescent="0.25">
      <c r="A630" s="699"/>
    </row>
    <row r="631" spans="1:1" ht="15.75" x14ac:dyDescent="0.25">
      <c r="A631" s="699"/>
    </row>
    <row r="632" spans="1:1" ht="15.75" x14ac:dyDescent="0.25">
      <c r="A632" s="699"/>
    </row>
    <row r="633" spans="1:1" ht="15.75" x14ac:dyDescent="0.25">
      <c r="A633" s="699"/>
    </row>
    <row r="634" spans="1:1" ht="15.75" x14ac:dyDescent="0.25">
      <c r="A634" s="699"/>
    </row>
    <row r="635" spans="1:1" ht="15.75" x14ac:dyDescent="0.25">
      <c r="A635" s="699"/>
    </row>
    <row r="636" spans="1:1" ht="15.75" x14ac:dyDescent="0.25">
      <c r="A636" s="699"/>
    </row>
    <row r="637" spans="1:1" ht="15.75" x14ac:dyDescent="0.25">
      <c r="A637" s="699"/>
    </row>
    <row r="638" spans="1:1" ht="15.75" x14ac:dyDescent="0.25">
      <c r="A638" s="699"/>
    </row>
    <row r="639" spans="1:1" ht="15.75" x14ac:dyDescent="0.25">
      <c r="A639" s="699"/>
    </row>
    <row r="640" spans="1:1" ht="15.75" x14ac:dyDescent="0.25">
      <c r="A640" s="699"/>
    </row>
    <row r="641" spans="1:1" ht="15.75" x14ac:dyDescent="0.25">
      <c r="A641" s="699"/>
    </row>
    <row r="642" spans="1:1" ht="15.75" x14ac:dyDescent="0.25">
      <c r="A642" s="699"/>
    </row>
    <row r="643" spans="1:1" ht="15.75" x14ac:dyDescent="0.25">
      <c r="A643" s="699"/>
    </row>
    <row r="644" spans="1:1" ht="15.75" x14ac:dyDescent="0.25">
      <c r="A644" s="699"/>
    </row>
    <row r="645" spans="1:1" ht="15.75" x14ac:dyDescent="0.25">
      <c r="A645" s="699"/>
    </row>
    <row r="646" spans="1:1" ht="15.75" x14ac:dyDescent="0.25">
      <c r="A646" s="699"/>
    </row>
    <row r="647" spans="1:1" ht="15.75" x14ac:dyDescent="0.25">
      <c r="A647" s="699"/>
    </row>
    <row r="648" spans="1:1" ht="15.75" x14ac:dyDescent="0.25">
      <c r="A648" s="699"/>
    </row>
    <row r="649" spans="1:1" ht="15.75" x14ac:dyDescent="0.25">
      <c r="A649" s="699"/>
    </row>
    <row r="650" spans="1:1" ht="15.75" x14ac:dyDescent="0.25">
      <c r="A650" s="699"/>
    </row>
    <row r="651" spans="1:1" ht="15.75" x14ac:dyDescent="0.25">
      <c r="A651" s="699"/>
    </row>
    <row r="652" spans="1:1" ht="15.75" x14ac:dyDescent="0.25">
      <c r="A652" s="699"/>
    </row>
    <row r="653" spans="1:1" ht="15.75" x14ac:dyDescent="0.25">
      <c r="A653" s="699"/>
    </row>
    <row r="654" spans="1:1" ht="15.75" x14ac:dyDescent="0.25">
      <c r="A654" s="699"/>
    </row>
    <row r="655" spans="1:1" ht="15.75" x14ac:dyDescent="0.25">
      <c r="A655" s="699"/>
    </row>
    <row r="656" spans="1:1" ht="15.75" x14ac:dyDescent="0.25">
      <c r="A656" s="699"/>
    </row>
    <row r="657" spans="1:1" ht="15.75" x14ac:dyDescent="0.25">
      <c r="A657" s="699"/>
    </row>
    <row r="658" spans="1:1" ht="15.75" x14ac:dyDescent="0.25">
      <c r="A658" s="699"/>
    </row>
    <row r="659" spans="1:1" ht="15.75" x14ac:dyDescent="0.25">
      <c r="A659" s="699"/>
    </row>
    <row r="660" spans="1:1" ht="15.75" x14ac:dyDescent="0.25">
      <c r="A660" s="699"/>
    </row>
    <row r="661" spans="1:1" ht="15.75" x14ac:dyDescent="0.25">
      <c r="A661" s="699"/>
    </row>
    <row r="662" spans="1:1" ht="15.75" x14ac:dyDescent="0.25">
      <c r="A662" s="699"/>
    </row>
    <row r="663" spans="1:1" ht="15.75" x14ac:dyDescent="0.25">
      <c r="A663" s="699"/>
    </row>
    <row r="664" spans="1:1" ht="15.75" x14ac:dyDescent="0.25">
      <c r="A664" s="699"/>
    </row>
    <row r="665" spans="1:1" ht="15.75" x14ac:dyDescent="0.25">
      <c r="A665" s="699"/>
    </row>
    <row r="666" spans="1:1" ht="15.75" x14ac:dyDescent="0.25">
      <c r="A666" s="699"/>
    </row>
    <row r="667" spans="1:1" ht="15.75" x14ac:dyDescent="0.25">
      <c r="A667" s="699"/>
    </row>
    <row r="668" spans="1:1" ht="15.75" x14ac:dyDescent="0.25">
      <c r="A668" s="699"/>
    </row>
    <row r="669" spans="1:1" ht="15.75" x14ac:dyDescent="0.25">
      <c r="A669" s="699"/>
    </row>
    <row r="670" spans="1:1" ht="15.75" x14ac:dyDescent="0.25">
      <c r="A670" s="699"/>
    </row>
    <row r="671" spans="1:1" ht="15.75" x14ac:dyDescent="0.25">
      <c r="A671" s="699"/>
    </row>
    <row r="672" spans="1:1" ht="15.75" x14ac:dyDescent="0.25">
      <c r="A672" s="699"/>
    </row>
    <row r="673" spans="1:1" ht="15.75" x14ac:dyDescent="0.25">
      <c r="A673" s="699"/>
    </row>
    <row r="674" spans="1:1" ht="15.75" x14ac:dyDescent="0.25">
      <c r="A674" s="699"/>
    </row>
    <row r="675" spans="1:1" ht="15.75" x14ac:dyDescent="0.25">
      <c r="A675" s="699"/>
    </row>
    <row r="676" spans="1:1" ht="15.75" x14ac:dyDescent="0.25">
      <c r="A676" s="699"/>
    </row>
    <row r="677" spans="1:1" ht="15.75" x14ac:dyDescent="0.25">
      <c r="A677" s="699"/>
    </row>
    <row r="678" spans="1:1" ht="15.75" x14ac:dyDescent="0.25">
      <c r="A678" s="699"/>
    </row>
    <row r="679" spans="1:1" ht="15.75" x14ac:dyDescent="0.25">
      <c r="A679" s="699"/>
    </row>
    <row r="680" spans="1:1" ht="15.75" x14ac:dyDescent="0.25">
      <c r="A680" s="699"/>
    </row>
    <row r="681" spans="1:1" ht="15.75" x14ac:dyDescent="0.25">
      <c r="A681" s="699"/>
    </row>
    <row r="682" spans="1:1" ht="15.75" x14ac:dyDescent="0.25">
      <c r="A682" s="699"/>
    </row>
    <row r="683" spans="1:1" ht="15.75" x14ac:dyDescent="0.25">
      <c r="A683" s="699"/>
    </row>
    <row r="684" spans="1:1" ht="15.75" x14ac:dyDescent="0.25">
      <c r="A684" s="699"/>
    </row>
    <row r="685" spans="1:1" ht="15.75" x14ac:dyDescent="0.25">
      <c r="A685" s="699"/>
    </row>
    <row r="686" spans="1:1" ht="15.75" x14ac:dyDescent="0.25">
      <c r="A686" s="699"/>
    </row>
    <row r="687" spans="1:1" ht="15.75" x14ac:dyDescent="0.25">
      <c r="A687" s="699"/>
    </row>
    <row r="688" spans="1:1" ht="15.75" x14ac:dyDescent="0.25">
      <c r="A688" s="699"/>
    </row>
    <row r="689" spans="1:1" ht="15.75" x14ac:dyDescent="0.25">
      <c r="A689" s="699"/>
    </row>
    <row r="690" spans="1:1" ht="15.75" x14ac:dyDescent="0.25">
      <c r="A690" s="699"/>
    </row>
    <row r="691" spans="1:1" ht="15.75" x14ac:dyDescent="0.25">
      <c r="A691" s="699"/>
    </row>
    <row r="692" spans="1:1" ht="15.75" x14ac:dyDescent="0.25">
      <c r="A692" s="699"/>
    </row>
    <row r="693" spans="1:1" ht="15.75" x14ac:dyDescent="0.25">
      <c r="A693" s="699"/>
    </row>
    <row r="694" spans="1:1" ht="15.75" x14ac:dyDescent="0.25">
      <c r="A694" s="699"/>
    </row>
    <row r="695" spans="1:1" ht="15.75" x14ac:dyDescent="0.25">
      <c r="A695" s="699"/>
    </row>
    <row r="696" spans="1:1" ht="15.75" x14ac:dyDescent="0.25">
      <c r="A696" s="699"/>
    </row>
    <row r="697" spans="1:1" ht="15.75" x14ac:dyDescent="0.25">
      <c r="A697" s="699"/>
    </row>
    <row r="698" spans="1:1" ht="15.75" x14ac:dyDescent="0.25">
      <c r="A698" s="699"/>
    </row>
    <row r="699" spans="1:1" ht="15.75" x14ac:dyDescent="0.25">
      <c r="A699" s="699"/>
    </row>
    <row r="700" spans="1:1" ht="15.75" x14ac:dyDescent="0.25">
      <c r="A700" s="699"/>
    </row>
    <row r="701" spans="1:1" ht="15.75" x14ac:dyDescent="0.25">
      <c r="A701" s="699"/>
    </row>
    <row r="702" spans="1:1" ht="15.75" x14ac:dyDescent="0.25">
      <c r="A702" s="699"/>
    </row>
    <row r="703" spans="1:1" ht="15.75" x14ac:dyDescent="0.25">
      <c r="A703" s="699"/>
    </row>
    <row r="704" spans="1:1" ht="15.75" x14ac:dyDescent="0.25">
      <c r="A704" s="699"/>
    </row>
    <row r="705" spans="1:1" ht="15.75" x14ac:dyDescent="0.25">
      <c r="A705" s="699"/>
    </row>
    <row r="706" spans="1:1" ht="15.75" x14ac:dyDescent="0.25">
      <c r="A706" s="699"/>
    </row>
    <row r="707" spans="1:1" ht="15.75" x14ac:dyDescent="0.25">
      <c r="A707" s="699"/>
    </row>
    <row r="708" spans="1:1" ht="15.75" x14ac:dyDescent="0.25">
      <c r="A708" s="699"/>
    </row>
    <row r="709" spans="1:1" ht="15.75" x14ac:dyDescent="0.25">
      <c r="A709" s="699"/>
    </row>
    <row r="710" spans="1:1" ht="15.75" x14ac:dyDescent="0.25">
      <c r="A710" s="699"/>
    </row>
    <row r="711" spans="1:1" ht="15.75" x14ac:dyDescent="0.25">
      <c r="A711" s="699"/>
    </row>
    <row r="712" spans="1:1" ht="15.75" x14ac:dyDescent="0.25">
      <c r="A712" s="699"/>
    </row>
    <row r="713" spans="1:1" ht="15.75" x14ac:dyDescent="0.25">
      <c r="A713" s="699"/>
    </row>
    <row r="714" spans="1:1" ht="15.75" x14ac:dyDescent="0.25">
      <c r="A714" s="699"/>
    </row>
    <row r="715" spans="1:1" ht="15.75" x14ac:dyDescent="0.25">
      <c r="A715" s="699"/>
    </row>
    <row r="716" spans="1:1" ht="15.75" x14ac:dyDescent="0.25">
      <c r="A716" s="699"/>
    </row>
    <row r="717" spans="1:1" ht="15.75" x14ac:dyDescent="0.25">
      <c r="A717" s="699"/>
    </row>
    <row r="718" spans="1:1" ht="15.75" x14ac:dyDescent="0.25">
      <c r="A718" s="699"/>
    </row>
    <row r="719" spans="1:1" ht="15.75" x14ac:dyDescent="0.25">
      <c r="A719" s="699"/>
    </row>
    <row r="720" spans="1:1" ht="15.75" x14ac:dyDescent="0.25">
      <c r="A720" s="699"/>
    </row>
    <row r="721" spans="1:1" ht="15.75" x14ac:dyDescent="0.25">
      <c r="A721" s="699"/>
    </row>
    <row r="722" spans="1:1" ht="15.75" x14ac:dyDescent="0.25">
      <c r="A722" s="699"/>
    </row>
    <row r="723" spans="1:1" ht="15.75" x14ac:dyDescent="0.25">
      <c r="A723" s="699"/>
    </row>
    <row r="724" spans="1:1" ht="15.75" x14ac:dyDescent="0.25">
      <c r="A724" s="699"/>
    </row>
    <row r="725" spans="1:1" ht="15.75" x14ac:dyDescent="0.25">
      <c r="A725" s="699"/>
    </row>
    <row r="726" spans="1:1" ht="15.75" x14ac:dyDescent="0.25">
      <c r="A726" s="699"/>
    </row>
    <row r="727" spans="1:1" ht="15.75" x14ac:dyDescent="0.25">
      <c r="A727" s="699"/>
    </row>
    <row r="728" spans="1:1" ht="15.75" x14ac:dyDescent="0.25">
      <c r="A728" s="699"/>
    </row>
    <row r="729" spans="1:1" ht="15.75" x14ac:dyDescent="0.25">
      <c r="A729" s="699"/>
    </row>
    <row r="730" spans="1:1" ht="15.75" x14ac:dyDescent="0.25">
      <c r="A730" s="699"/>
    </row>
    <row r="731" spans="1:1" ht="15.75" x14ac:dyDescent="0.25">
      <c r="A731" s="699"/>
    </row>
    <row r="732" spans="1:1" ht="15.75" x14ac:dyDescent="0.25">
      <c r="A732" s="699"/>
    </row>
    <row r="733" spans="1:1" ht="15.75" x14ac:dyDescent="0.25">
      <c r="A733" s="699"/>
    </row>
    <row r="734" spans="1:1" ht="15.75" x14ac:dyDescent="0.25">
      <c r="A734" s="699"/>
    </row>
    <row r="735" spans="1:1" ht="15.75" x14ac:dyDescent="0.25">
      <c r="A735" s="699"/>
    </row>
    <row r="736" spans="1:1" ht="15.75" x14ac:dyDescent="0.25">
      <c r="A736" s="699"/>
    </row>
    <row r="737" spans="1:1" ht="15.75" x14ac:dyDescent="0.25">
      <c r="A737" s="699"/>
    </row>
    <row r="738" spans="1:1" ht="15.75" x14ac:dyDescent="0.25">
      <c r="A738" s="699"/>
    </row>
    <row r="739" spans="1:1" ht="15.75" x14ac:dyDescent="0.25">
      <c r="A739" s="699"/>
    </row>
    <row r="740" spans="1:1" ht="15.75" x14ac:dyDescent="0.25">
      <c r="A740" s="699"/>
    </row>
    <row r="741" spans="1:1" ht="15.75" x14ac:dyDescent="0.25">
      <c r="A741" s="699"/>
    </row>
    <row r="742" spans="1:1" ht="15.75" x14ac:dyDescent="0.25">
      <c r="A742" s="699"/>
    </row>
    <row r="743" spans="1:1" ht="15.75" x14ac:dyDescent="0.25">
      <c r="A743" s="699"/>
    </row>
    <row r="744" spans="1:1" ht="15.75" x14ac:dyDescent="0.25">
      <c r="A744" s="699"/>
    </row>
    <row r="745" spans="1:1" ht="15.75" x14ac:dyDescent="0.25">
      <c r="A745" s="699"/>
    </row>
    <row r="746" spans="1:1" ht="15.75" x14ac:dyDescent="0.25">
      <c r="A746" s="699"/>
    </row>
    <row r="747" spans="1:1" ht="15.75" x14ac:dyDescent="0.25">
      <c r="A747" s="699"/>
    </row>
    <row r="748" spans="1:1" ht="15.75" x14ac:dyDescent="0.25">
      <c r="A748" s="699"/>
    </row>
    <row r="749" spans="1:1" ht="15.75" x14ac:dyDescent="0.25">
      <c r="A749" s="699"/>
    </row>
    <row r="750" spans="1:1" ht="15.75" x14ac:dyDescent="0.25">
      <c r="A750" s="699"/>
    </row>
    <row r="751" spans="1:1" ht="15.75" x14ac:dyDescent="0.25">
      <c r="A751" s="699"/>
    </row>
    <row r="752" spans="1:1" ht="15.75" x14ac:dyDescent="0.25">
      <c r="A752" s="699"/>
    </row>
    <row r="753" spans="1:1" ht="15.75" x14ac:dyDescent="0.25">
      <c r="A753" s="699"/>
    </row>
    <row r="754" spans="1:1" ht="15.75" x14ac:dyDescent="0.25">
      <c r="A754" s="699"/>
    </row>
    <row r="755" spans="1:1" ht="15.75" x14ac:dyDescent="0.25">
      <c r="A755" s="699"/>
    </row>
    <row r="756" spans="1:1" ht="15.75" x14ac:dyDescent="0.25">
      <c r="A756" s="699"/>
    </row>
    <row r="757" spans="1:1" ht="15.75" x14ac:dyDescent="0.25">
      <c r="A757" s="699"/>
    </row>
    <row r="758" spans="1:1" ht="15.75" x14ac:dyDescent="0.25">
      <c r="A758" s="699"/>
    </row>
    <row r="759" spans="1:1" ht="15.75" x14ac:dyDescent="0.25">
      <c r="A759" s="699"/>
    </row>
    <row r="760" spans="1:1" ht="15.75" x14ac:dyDescent="0.25">
      <c r="A760" s="699"/>
    </row>
    <row r="761" spans="1:1" ht="15.75" x14ac:dyDescent="0.25">
      <c r="A761" s="699"/>
    </row>
    <row r="762" spans="1:1" ht="15.75" x14ac:dyDescent="0.25">
      <c r="A762" s="699"/>
    </row>
    <row r="763" spans="1:1" ht="15.75" x14ac:dyDescent="0.25">
      <c r="A763" s="699"/>
    </row>
    <row r="764" spans="1:1" ht="15.75" x14ac:dyDescent="0.25">
      <c r="A764" s="699"/>
    </row>
    <row r="765" spans="1:1" ht="15.75" x14ac:dyDescent="0.25">
      <c r="A765" s="699"/>
    </row>
    <row r="766" spans="1:1" ht="15.75" x14ac:dyDescent="0.25">
      <c r="A766" s="699"/>
    </row>
    <row r="767" spans="1:1" ht="15.75" x14ac:dyDescent="0.25">
      <c r="A767" s="699"/>
    </row>
    <row r="768" spans="1:1" ht="15.75" x14ac:dyDescent="0.25">
      <c r="A768" s="699"/>
    </row>
    <row r="769" spans="1:1" ht="15.75" x14ac:dyDescent="0.25">
      <c r="A769" s="699"/>
    </row>
    <row r="770" spans="1:1" ht="15.75" x14ac:dyDescent="0.25">
      <c r="A770" s="699"/>
    </row>
    <row r="771" spans="1:1" ht="15.75" x14ac:dyDescent="0.25">
      <c r="A771" s="699"/>
    </row>
    <row r="772" spans="1:1" ht="15.75" x14ac:dyDescent="0.25">
      <c r="A772" s="699"/>
    </row>
    <row r="773" spans="1:1" ht="15.75" x14ac:dyDescent="0.25">
      <c r="A773" s="699"/>
    </row>
    <row r="774" spans="1:1" ht="15.75" x14ac:dyDescent="0.25">
      <c r="A774" s="699"/>
    </row>
    <row r="775" spans="1:1" ht="15.75" x14ac:dyDescent="0.25">
      <c r="A775" s="699"/>
    </row>
    <row r="776" spans="1:1" ht="15.75" x14ac:dyDescent="0.25">
      <c r="A776" s="699"/>
    </row>
    <row r="777" spans="1:1" ht="15.75" x14ac:dyDescent="0.25">
      <c r="A777" s="699"/>
    </row>
    <row r="778" spans="1:1" ht="15.75" x14ac:dyDescent="0.25">
      <c r="A778" s="699"/>
    </row>
    <row r="779" spans="1:1" ht="15.75" x14ac:dyDescent="0.25">
      <c r="A779" s="699"/>
    </row>
    <row r="780" spans="1:1" ht="15.75" x14ac:dyDescent="0.25">
      <c r="A780" s="699"/>
    </row>
    <row r="781" spans="1:1" ht="15.75" x14ac:dyDescent="0.25">
      <c r="A781" s="699"/>
    </row>
    <row r="782" spans="1:1" ht="15.75" x14ac:dyDescent="0.25">
      <c r="A782" s="699"/>
    </row>
    <row r="783" spans="1:1" ht="15.75" x14ac:dyDescent="0.25">
      <c r="A783" s="699"/>
    </row>
    <row r="784" spans="1:1" ht="15.75" x14ac:dyDescent="0.25">
      <c r="A784" s="699"/>
    </row>
    <row r="785" spans="1:1" ht="15.75" x14ac:dyDescent="0.25">
      <c r="A785" s="699"/>
    </row>
    <row r="786" spans="1:1" ht="15.75" x14ac:dyDescent="0.25">
      <c r="A786" s="699"/>
    </row>
    <row r="787" spans="1:1" ht="15.75" x14ac:dyDescent="0.25">
      <c r="A787" s="699"/>
    </row>
    <row r="788" spans="1:1" ht="15.75" x14ac:dyDescent="0.25">
      <c r="A788" s="699"/>
    </row>
    <row r="789" spans="1:1" ht="15.75" x14ac:dyDescent="0.25">
      <c r="A789" s="699"/>
    </row>
    <row r="790" spans="1:1" ht="15.75" x14ac:dyDescent="0.25">
      <c r="A790" s="699"/>
    </row>
    <row r="791" spans="1:1" ht="15.75" x14ac:dyDescent="0.25">
      <c r="A791" s="699"/>
    </row>
    <row r="792" spans="1:1" ht="15.75" x14ac:dyDescent="0.25">
      <c r="A792" s="699"/>
    </row>
    <row r="793" spans="1:1" ht="15.75" x14ac:dyDescent="0.25">
      <c r="A793" s="699"/>
    </row>
    <row r="794" spans="1:1" ht="15.75" x14ac:dyDescent="0.25">
      <c r="A794" s="699"/>
    </row>
    <row r="795" spans="1:1" ht="15.75" x14ac:dyDescent="0.25">
      <c r="A795" s="699"/>
    </row>
    <row r="796" spans="1:1" ht="15.75" x14ac:dyDescent="0.25">
      <c r="A796" s="699"/>
    </row>
    <row r="797" spans="1:1" ht="15.75" x14ac:dyDescent="0.25">
      <c r="A797" s="699"/>
    </row>
    <row r="798" spans="1:1" ht="15.75" x14ac:dyDescent="0.25">
      <c r="A798" s="699"/>
    </row>
    <row r="799" spans="1:1" ht="15.75" x14ac:dyDescent="0.25">
      <c r="A799" s="699"/>
    </row>
    <row r="800" spans="1:1" ht="15.75" x14ac:dyDescent="0.25">
      <c r="A800" s="699"/>
    </row>
    <row r="801" spans="1:1" ht="15.75" x14ac:dyDescent="0.25">
      <c r="A801" s="699"/>
    </row>
    <row r="802" spans="1:1" ht="15.75" x14ac:dyDescent="0.25">
      <c r="A802" s="699"/>
    </row>
    <row r="803" spans="1:1" ht="15.75" x14ac:dyDescent="0.25">
      <c r="A803" s="699"/>
    </row>
    <row r="804" spans="1:1" ht="15.75" x14ac:dyDescent="0.25">
      <c r="A804" s="699"/>
    </row>
    <row r="805" spans="1:1" ht="15.75" x14ac:dyDescent="0.25">
      <c r="A805" s="699"/>
    </row>
    <row r="806" spans="1:1" ht="15.75" x14ac:dyDescent="0.25">
      <c r="A806" s="699"/>
    </row>
    <row r="807" spans="1:1" ht="15.75" x14ac:dyDescent="0.25">
      <c r="A807" s="699"/>
    </row>
    <row r="808" spans="1:1" ht="15.75" x14ac:dyDescent="0.25">
      <c r="A808" s="699"/>
    </row>
    <row r="809" spans="1:1" ht="15.75" x14ac:dyDescent="0.25">
      <c r="A809" s="699"/>
    </row>
    <row r="810" spans="1:1" ht="15.75" x14ac:dyDescent="0.25">
      <c r="A810" s="699"/>
    </row>
    <row r="811" spans="1:1" ht="15.75" x14ac:dyDescent="0.25">
      <c r="A811" s="699"/>
    </row>
    <row r="812" spans="1:1" ht="15.75" x14ac:dyDescent="0.25">
      <c r="A812" s="699"/>
    </row>
    <row r="813" spans="1:1" ht="15.75" x14ac:dyDescent="0.25">
      <c r="A813" s="699"/>
    </row>
    <row r="814" spans="1:1" ht="15.75" x14ac:dyDescent="0.25">
      <c r="A814" s="699"/>
    </row>
    <row r="815" spans="1:1" ht="15.75" x14ac:dyDescent="0.25">
      <c r="A815" s="699"/>
    </row>
    <row r="816" spans="1:1" ht="15.75" x14ac:dyDescent="0.25">
      <c r="A816" s="699"/>
    </row>
    <row r="817" spans="1:1" ht="15.75" x14ac:dyDescent="0.25">
      <c r="A817" s="699"/>
    </row>
    <row r="818" spans="1:1" ht="15.75" x14ac:dyDescent="0.25">
      <c r="A818" s="699"/>
    </row>
    <row r="819" spans="1:1" ht="15.75" x14ac:dyDescent="0.25">
      <c r="A819" s="699"/>
    </row>
    <row r="820" spans="1:1" ht="15.75" x14ac:dyDescent="0.25">
      <c r="A820" s="699"/>
    </row>
    <row r="821" spans="1:1" ht="15.75" x14ac:dyDescent="0.25">
      <c r="A821" s="699"/>
    </row>
    <row r="822" spans="1:1" ht="15.75" x14ac:dyDescent="0.25">
      <c r="A822" s="699"/>
    </row>
    <row r="823" spans="1:1" ht="15.75" x14ac:dyDescent="0.25">
      <c r="A823" s="699"/>
    </row>
    <row r="824" spans="1:1" ht="15.75" x14ac:dyDescent="0.25">
      <c r="A824" s="699"/>
    </row>
    <row r="825" spans="1:1" ht="15.75" x14ac:dyDescent="0.25">
      <c r="A825" s="699"/>
    </row>
    <row r="826" spans="1:1" ht="15.75" x14ac:dyDescent="0.25">
      <c r="A826" s="699"/>
    </row>
    <row r="827" spans="1:1" ht="15.75" x14ac:dyDescent="0.25">
      <c r="A827" s="699"/>
    </row>
    <row r="828" spans="1:1" ht="15.75" x14ac:dyDescent="0.25">
      <c r="A828" s="699"/>
    </row>
    <row r="829" spans="1:1" ht="15.75" x14ac:dyDescent="0.25">
      <c r="A829" s="699"/>
    </row>
    <row r="830" spans="1:1" ht="15.75" x14ac:dyDescent="0.25">
      <c r="A830" s="699"/>
    </row>
    <row r="831" spans="1:1" ht="15.75" x14ac:dyDescent="0.25">
      <c r="A831" s="699"/>
    </row>
    <row r="832" spans="1:1" ht="15.75" x14ac:dyDescent="0.25">
      <c r="A832" s="699"/>
    </row>
    <row r="833" spans="1:1" ht="15.75" x14ac:dyDescent="0.25">
      <c r="A833" s="699"/>
    </row>
    <row r="834" spans="1:1" ht="15.75" x14ac:dyDescent="0.25">
      <c r="A834" s="699"/>
    </row>
    <row r="835" spans="1:1" ht="15.75" x14ac:dyDescent="0.25">
      <c r="A835" s="699"/>
    </row>
    <row r="836" spans="1:1" ht="15.75" x14ac:dyDescent="0.25">
      <c r="A836" s="699"/>
    </row>
    <row r="837" spans="1:1" ht="15.75" x14ac:dyDescent="0.25">
      <c r="A837" s="699"/>
    </row>
    <row r="838" spans="1:1" ht="15.75" x14ac:dyDescent="0.25">
      <c r="A838" s="699"/>
    </row>
    <row r="839" spans="1:1" ht="15.75" x14ac:dyDescent="0.25">
      <c r="A839" s="699"/>
    </row>
    <row r="840" spans="1:1" ht="15.75" x14ac:dyDescent="0.25">
      <c r="A840" s="699"/>
    </row>
    <row r="841" spans="1:1" ht="15.75" x14ac:dyDescent="0.25">
      <c r="A841" s="699"/>
    </row>
    <row r="842" spans="1:1" ht="15.75" x14ac:dyDescent="0.25">
      <c r="A842" s="699"/>
    </row>
    <row r="843" spans="1:1" ht="15.75" x14ac:dyDescent="0.25">
      <c r="A843" s="699"/>
    </row>
    <row r="844" spans="1:1" ht="15.75" x14ac:dyDescent="0.25">
      <c r="A844" s="699"/>
    </row>
    <row r="845" spans="1:1" ht="15.75" x14ac:dyDescent="0.25">
      <c r="A845" s="699"/>
    </row>
    <row r="846" spans="1:1" ht="15.75" x14ac:dyDescent="0.25">
      <c r="A846" s="699"/>
    </row>
    <row r="847" spans="1:1" ht="15.75" x14ac:dyDescent="0.25">
      <c r="A847" s="699"/>
    </row>
    <row r="848" spans="1:1" ht="15.75" x14ac:dyDescent="0.25">
      <c r="A848" s="699"/>
    </row>
    <row r="849" spans="1:1" ht="15.75" x14ac:dyDescent="0.25">
      <c r="A849" s="699"/>
    </row>
    <row r="850" spans="1:1" ht="15.75" x14ac:dyDescent="0.25">
      <c r="A850" s="699"/>
    </row>
    <row r="851" spans="1:1" ht="15.75" x14ac:dyDescent="0.25">
      <c r="A851" s="699"/>
    </row>
    <row r="852" spans="1:1" ht="15.75" x14ac:dyDescent="0.25">
      <c r="A852" s="699"/>
    </row>
    <row r="853" spans="1:1" ht="15.75" x14ac:dyDescent="0.25">
      <c r="A853" s="699"/>
    </row>
    <row r="854" spans="1:1" ht="15.75" x14ac:dyDescent="0.25">
      <c r="A854" s="699"/>
    </row>
    <row r="855" spans="1:1" ht="15.75" x14ac:dyDescent="0.25">
      <c r="A855" s="699"/>
    </row>
    <row r="856" spans="1:1" ht="15.75" x14ac:dyDescent="0.25">
      <c r="A856" s="699"/>
    </row>
    <row r="857" spans="1:1" ht="15.75" x14ac:dyDescent="0.25">
      <c r="A857" s="699"/>
    </row>
    <row r="858" spans="1:1" ht="15.75" x14ac:dyDescent="0.25">
      <c r="A858" s="699"/>
    </row>
    <row r="859" spans="1:1" ht="15.75" x14ac:dyDescent="0.25">
      <c r="A859" s="699"/>
    </row>
    <row r="860" spans="1:1" ht="15.75" x14ac:dyDescent="0.25">
      <c r="A860" s="699"/>
    </row>
    <row r="861" spans="1:1" ht="15.75" x14ac:dyDescent="0.25">
      <c r="A861" s="699"/>
    </row>
    <row r="862" spans="1:1" ht="15.75" x14ac:dyDescent="0.25">
      <c r="A862" s="699"/>
    </row>
    <row r="863" spans="1:1" ht="15.75" x14ac:dyDescent="0.25">
      <c r="A863" s="699"/>
    </row>
    <row r="864" spans="1:1" ht="15.75" x14ac:dyDescent="0.25">
      <c r="A864" s="699"/>
    </row>
    <row r="865" spans="1:1" ht="15.75" x14ac:dyDescent="0.25">
      <c r="A865" s="699"/>
    </row>
    <row r="866" spans="1:1" ht="15.75" x14ac:dyDescent="0.25">
      <c r="A866" s="699"/>
    </row>
    <row r="867" spans="1:1" ht="15.75" x14ac:dyDescent="0.25">
      <c r="A867" s="699"/>
    </row>
    <row r="868" spans="1:1" ht="15.75" x14ac:dyDescent="0.25">
      <c r="A868" s="699"/>
    </row>
    <row r="869" spans="1:1" ht="15.75" x14ac:dyDescent="0.25">
      <c r="A869" s="699"/>
    </row>
    <row r="870" spans="1:1" ht="15.75" x14ac:dyDescent="0.25">
      <c r="A870" s="699"/>
    </row>
    <row r="871" spans="1:1" ht="15.75" x14ac:dyDescent="0.25">
      <c r="A871" s="699"/>
    </row>
    <row r="872" spans="1:1" ht="15.75" x14ac:dyDescent="0.25">
      <c r="A872" s="699"/>
    </row>
    <row r="873" spans="1:1" ht="15.75" x14ac:dyDescent="0.25">
      <c r="A873" s="699"/>
    </row>
    <row r="874" spans="1:1" ht="15.75" x14ac:dyDescent="0.25">
      <c r="A874" s="699"/>
    </row>
    <row r="875" spans="1:1" ht="15.75" x14ac:dyDescent="0.25">
      <c r="A875" s="699"/>
    </row>
    <row r="876" spans="1:1" ht="15.75" x14ac:dyDescent="0.25">
      <c r="A876" s="699"/>
    </row>
    <row r="877" spans="1:1" ht="15.75" x14ac:dyDescent="0.25">
      <c r="A877" s="699"/>
    </row>
    <row r="878" spans="1:1" ht="15.75" x14ac:dyDescent="0.25">
      <c r="A878" s="699"/>
    </row>
    <row r="879" spans="1:1" ht="15.75" x14ac:dyDescent="0.25">
      <c r="A879" s="699"/>
    </row>
    <row r="880" spans="1:1" ht="15.75" x14ac:dyDescent="0.25">
      <c r="A880" s="699"/>
    </row>
    <row r="881" spans="1:1" ht="15.75" x14ac:dyDescent="0.25">
      <c r="A881" s="699"/>
    </row>
    <row r="882" spans="1:1" ht="15.75" x14ac:dyDescent="0.25">
      <c r="A882" s="699"/>
    </row>
    <row r="883" spans="1:1" ht="15.75" x14ac:dyDescent="0.25">
      <c r="A883" s="699"/>
    </row>
    <row r="884" spans="1:1" ht="15.75" x14ac:dyDescent="0.25">
      <c r="A884" s="699"/>
    </row>
    <row r="885" spans="1:1" ht="15.75" x14ac:dyDescent="0.25">
      <c r="A885" s="699"/>
    </row>
    <row r="886" spans="1:1" ht="15.75" x14ac:dyDescent="0.25">
      <c r="A886" s="699"/>
    </row>
    <row r="887" spans="1:1" ht="15.75" x14ac:dyDescent="0.25">
      <c r="A887" s="699"/>
    </row>
    <row r="888" spans="1:1" ht="15.75" x14ac:dyDescent="0.25">
      <c r="A888" s="699"/>
    </row>
    <row r="889" spans="1:1" ht="15.75" x14ac:dyDescent="0.25">
      <c r="A889" s="699"/>
    </row>
    <row r="890" spans="1:1" ht="15.75" x14ac:dyDescent="0.25">
      <c r="A890" s="699"/>
    </row>
    <row r="891" spans="1:1" ht="15.75" x14ac:dyDescent="0.25">
      <c r="A891" s="699"/>
    </row>
    <row r="892" spans="1:1" ht="15.75" x14ac:dyDescent="0.25">
      <c r="A892" s="699"/>
    </row>
    <row r="893" spans="1:1" ht="15.75" x14ac:dyDescent="0.25">
      <c r="A893" s="699"/>
    </row>
    <row r="894" spans="1:1" ht="15.75" x14ac:dyDescent="0.25">
      <c r="A894" s="699"/>
    </row>
    <row r="895" spans="1:1" ht="15.75" x14ac:dyDescent="0.25">
      <c r="A895" s="699"/>
    </row>
    <row r="896" spans="1:1" ht="15.75" x14ac:dyDescent="0.25">
      <c r="A896" s="699"/>
    </row>
    <row r="897" spans="1:1" ht="15.75" x14ac:dyDescent="0.25">
      <c r="A897" s="699"/>
    </row>
    <row r="898" spans="1:1" ht="15.75" x14ac:dyDescent="0.25">
      <c r="A898" s="699"/>
    </row>
    <row r="899" spans="1:1" ht="15.75" x14ac:dyDescent="0.25">
      <c r="A899" s="699"/>
    </row>
    <row r="900" spans="1:1" ht="15.75" x14ac:dyDescent="0.25">
      <c r="A900" s="699"/>
    </row>
    <row r="901" spans="1:1" ht="15.75" x14ac:dyDescent="0.25">
      <c r="A901" s="699"/>
    </row>
    <row r="902" spans="1:1" ht="15.75" x14ac:dyDescent="0.25">
      <c r="A902" s="699"/>
    </row>
    <row r="903" spans="1:1" ht="15.75" x14ac:dyDescent="0.25">
      <c r="A903" s="699"/>
    </row>
    <row r="904" spans="1:1" ht="15.75" x14ac:dyDescent="0.25">
      <c r="A904" s="699"/>
    </row>
    <row r="905" spans="1:1" ht="15.75" x14ac:dyDescent="0.25">
      <c r="A905" s="699"/>
    </row>
    <row r="906" spans="1:1" ht="15.75" x14ac:dyDescent="0.25">
      <c r="A906" s="699"/>
    </row>
    <row r="907" spans="1:1" ht="15.75" x14ac:dyDescent="0.25">
      <c r="A907" s="699"/>
    </row>
    <row r="908" spans="1:1" ht="15.75" x14ac:dyDescent="0.25">
      <c r="A908" s="699"/>
    </row>
    <row r="909" spans="1:1" ht="15.75" x14ac:dyDescent="0.25">
      <c r="A909" s="699"/>
    </row>
    <row r="910" spans="1:1" ht="15.75" x14ac:dyDescent="0.25">
      <c r="A910" s="699"/>
    </row>
    <row r="911" spans="1:1" ht="15.75" x14ac:dyDescent="0.25">
      <c r="A911" s="699"/>
    </row>
    <row r="912" spans="1:1" ht="15.75" x14ac:dyDescent="0.25">
      <c r="A912" s="699"/>
    </row>
    <row r="913" spans="1:1" ht="15.75" x14ac:dyDescent="0.25">
      <c r="A913" s="699"/>
    </row>
    <row r="914" spans="1:1" ht="15.75" x14ac:dyDescent="0.25">
      <c r="A914" s="699"/>
    </row>
    <row r="915" spans="1:1" ht="15.75" x14ac:dyDescent="0.25">
      <c r="A915" s="699"/>
    </row>
    <row r="916" spans="1:1" ht="15.75" x14ac:dyDescent="0.25">
      <c r="A916" s="699"/>
    </row>
    <row r="917" spans="1:1" ht="15.75" x14ac:dyDescent="0.25">
      <c r="A917" s="699"/>
    </row>
    <row r="918" spans="1:1" ht="15.75" x14ac:dyDescent="0.25">
      <c r="A918" s="699"/>
    </row>
    <row r="919" spans="1:1" ht="15.75" x14ac:dyDescent="0.25">
      <c r="A919" s="699"/>
    </row>
    <row r="920" spans="1:1" ht="15.75" x14ac:dyDescent="0.25">
      <c r="A920" s="699"/>
    </row>
    <row r="921" spans="1:1" ht="15.75" x14ac:dyDescent="0.25">
      <c r="A921" s="699"/>
    </row>
    <row r="922" spans="1:1" ht="15.75" x14ac:dyDescent="0.25">
      <c r="A922" s="699"/>
    </row>
    <row r="923" spans="1:1" ht="15.75" x14ac:dyDescent="0.25">
      <c r="A923" s="699"/>
    </row>
    <row r="924" spans="1:1" ht="15.75" x14ac:dyDescent="0.25">
      <c r="A924" s="699"/>
    </row>
    <row r="925" spans="1:1" ht="15.75" x14ac:dyDescent="0.25">
      <c r="A925" s="699"/>
    </row>
    <row r="926" spans="1:1" ht="15.75" x14ac:dyDescent="0.25">
      <c r="A926" s="699"/>
    </row>
    <row r="927" spans="1:1" ht="15.75" x14ac:dyDescent="0.25">
      <c r="A927" s="699"/>
    </row>
    <row r="928" spans="1:1" ht="15.75" x14ac:dyDescent="0.25">
      <c r="A928" s="699"/>
    </row>
    <row r="929" spans="1:1" ht="15.75" x14ac:dyDescent="0.25">
      <c r="A929" s="699"/>
    </row>
    <row r="930" spans="1:1" ht="15.75" x14ac:dyDescent="0.25">
      <c r="A930" s="699"/>
    </row>
    <row r="931" spans="1:1" ht="15.75" x14ac:dyDescent="0.25">
      <c r="A931" s="699"/>
    </row>
    <row r="932" spans="1:1" ht="15.75" x14ac:dyDescent="0.25">
      <c r="A932" s="699"/>
    </row>
    <row r="933" spans="1:1" ht="15.75" x14ac:dyDescent="0.25">
      <c r="A933" s="699"/>
    </row>
    <row r="934" spans="1:1" ht="15.75" x14ac:dyDescent="0.25">
      <c r="A934" s="699"/>
    </row>
    <row r="935" spans="1:1" ht="15.75" x14ac:dyDescent="0.25">
      <c r="A935" s="699"/>
    </row>
    <row r="936" spans="1:1" ht="15.75" x14ac:dyDescent="0.25">
      <c r="A936" s="699"/>
    </row>
    <row r="937" spans="1:1" ht="15.75" x14ac:dyDescent="0.25">
      <c r="A937" s="699"/>
    </row>
    <row r="938" spans="1:1" ht="15.75" x14ac:dyDescent="0.25">
      <c r="A938" s="699"/>
    </row>
    <row r="939" spans="1:1" ht="15.75" x14ac:dyDescent="0.25">
      <c r="A939" s="699"/>
    </row>
    <row r="940" spans="1:1" ht="15.75" x14ac:dyDescent="0.25">
      <c r="A940" s="699"/>
    </row>
    <row r="941" spans="1:1" ht="15.75" x14ac:dyDescent="0.25">
      <c r="A941" s="699"/>
    </row>
    <row r="942" spans="1:1" ht="15.75" x14ac:dyDescent="0.25">
      <c r="A942" s="699"/>
    </row>
    <row r="943" spans="1:1" ht="15.75" x14ac:dyDescent="0.25">
      <c r="A943" s="699"/>
    </row>
    <row r="944" spans="1:1" ht="15.75" x14ac:dyDescent="0.25">
      <c r="A944" s="699"/>
    </row>
    <row r="945" spans="1:1" ht="15.75" x14ac:dyDescent="0.25">
      <c r="A945" s="699"/>
    </row>
    <row r="946" spans="1:1" ht="15.75" x14ac:dyDescent="0.25">
      <c r="A946" s="699"/>
    </row>
    <row r="947" spans="1:1" ht="15.75" x14ac:dyDescent="0.25">
      <c r="A947" s="699"/>
    </row>
    <row r="948" spans="1:1" ht="15.75" x14ac:dyDescent="0.25">
      <c r="A948" s="699"/>
    </row>
    <row r="949" spans="1:1" ht="15.75" x14ac:dyDescent="0.25">
      <c r="A949" s="699"/>
    </row>
    <row r="950" spans="1:1" ht="15.75" x14ac:dyDescent="0.25">
      <c r="A950" s="699"/>
    </row>
    <row r="951" spans="1:1" ht="15.75" x14ac:dyDescent="0.25">
      <c r="A951" s="699"/>
    </row>
    <row r="952" spans="1:1" ht="15.75" x14ac:dyDescent="0.25">
      <c r="A952" s="699"/>
    </row>
    <row r="953" spans="1:1" ht="15.75" x14ac:dyDescent="0.25">
      <c r="A953" s="699"/>
    </row>
    <row r="954" spans="1:1" ht="15.75" x14ac:dyDescent="0.25">
      <c r="A954" s="699"/>
    </row>
    <row r="955" spans="1:1" ht="15.75" x14ac:dyDescent="0.25">
      <c r="A955" s="699"/>
    </row>
    <row r="956" spans="1:1" ht="15.75" x14ac:dyDescent="0.25">
      <c r="A956" s="699"/>
    </row>
    <row r="957" spans="1:1" ht="15.75" x14ac:dyDescent="0.25">
      <c r="A957" s="699"/>
    </row>
    <row r="958" spans="1:1" ht="15.75" x14ac:dyDescent="0.25">
      <c r="A958" s="699"/>
    </row>
    <row r="959" spans="1:1" ht="15.75" x14ac:dyDescent="0.25">
      <c r="A959" s="699"/>
    </row>
    <row r="960" spans="1:1" ht="15.75" x14ac:dyDescent="0.25">
      <c r="A960" s="699"/>
    </row>
    <row r="961" spans="1:1" ht="15.75" x14ac:dyDescent="0.25">
      <c r="A961" s="699"/>
    </row>
    <row r="962" spans="1:1" ht="15.75" x14ac:dyDescent="0.25">
      <c r="A962" s="699"/>
    </row>
    <row r="963" spans="1:1" ht="15.75" x14ac:dyDescent="0.25">
      <c r="A963" s="699"/>
    </row>
    <row r="964" spans="1:1" ht="15.75" x14ac:dyDescent="0.25">
      <c r="A964" s="699"/>
    </row>
    <row r="965" spans="1:1" ht="15.75" x14ac:dyDescent="0.25">
      <c r="A965" s="699"/>
    </row>
    <row r="966" spans="1:1" ht="15.75" x14ac:dyDescent="0.25">
      <c r="A966" s="699"/>
    </row>
    <row r="967" spans="1:1" ht="15.75" x14ac:dyDescent="0.25">
      <c r="A967" s="699"/>
    </row>
    <row r="968" spans="1:1" ht="15.75" x14ac:dyDescent="0.25">
      <c r="A968" s="699"/>
    </row>
    <row r="969" spans="1:1" ht="15.75" x14ac:dyDescent="0.25">
      <c r="A969" s="699"/>
    </row>
    <row r="970" spans="1:1" ht="15.75" x14ac:dyDescent="0.25">
      <c r="A970" s="699"/>
    </row>
    <row r="971" spans="1:1" ht="15.75" x14ac:dyDescent="0.25">
      <c r="A971" s="699"/>
    </row>
    <row r="972" spans="1:1" ht="15.75" x14ac:dyDescent="0.25">
      <c r="A972" s="699"/>
    </row>
    <row r="973" spans="1:1" ht="15.75" x14ac:dyDescent="0.25">
      <c r="A973" s="699"/>
    </row>
    <row r="974" spans="1:1" ht="15.75" x14ac:dyDescent="0.25">
      <c r="A974" s="699"/>
    </row>
    <row r="975" spans="1:1" ht="15.75" x14ac:dyDescent="0.25">
      <c r="A975" s="699"/>
    </row>
    <row r="976" spans="1:1" ht="15.75" x14ac:dyDescent="0.25">
      <c r="A976" s="699"/>
    </row>
    <row r="977" spans="1:1" ht="15.75" x14ac:dyDescent="0.25">
      <c r="A977" s="699"/>
    </row>
    <row r="978" spans="1:1" ht="15.75" x14ac:dyDescent="0.25">
      <c r="A978" s="699"/>
    </row>
    <row r="979" spans="1:1" ht="15.75" x14ac:dyDescent="0.25">
      <c r="A979" s="699"/>
    </row>
    <row r="980" spans="1:1" ht="15.75" x14ac:dyDescent="0.25">
      <c r="A980" s="699"/>
    </row>
    <row r="981" spans="1:1" ht="15.75" x14ac:dyDescent="0.25">
      <c r="A981" s="699"/>
    </row>
    <row r="982" spans="1:1" ht="15.75" x14ac:dyDescent="0.25">
      <c r="A982" s="699"/>
    </row>
    <row r="983" spans="1:1" ht="15.75" x14ac:dyDescent="0.25">
      <c r="A983" s="699"/>
    </row>
    <row r="984" spans="1:1" ht="15.75" x14ac:dyDescent="0.25">
      <c r="A984" s="699"/>
    </row>
    <row r="985" spans="1:1" ht="15.75" x14ac:dyDescent="0.25">
      <c r="A985" s="699"/>
    </row>
    <row r="986" spans="1:1" ht="15.75" x14ac:dyDescent="0.25">
      <c r="A986" s="699"/>
    </row>
    <row r="987" spans="1:1" ht="15.75" x14ac:dyDescent="0.25">
      <c r="A987" s="699"/>
    </row>
    <row r="988" spans="1:1" ht="15.75" x14ac:dyDescent="0.25">
      <c r="A988" s="699"/>
    </row>
    <row r="989" spans="1:1" ht="15.75" x14ac:dyDescent="0.25">
      <c r="A989" s="699"/>
    </row>
    <row r="990" spans="1:1" ht="15.75" x14ac:dyDescent="0.25">
      <c r="A990" s="699"/>
    </row>
    <row r="991" spans="1:1" ht="15.75" x14ac:dyDescent="0.25">
      <c r="A991" s="699"/>
    </row>
    <row r="992" spans="1:1" ht="15.75" x14ac:dyDescent="0.25">
      <c r="A992" s="699"/>
    </row>
    <row r="993" spans="1:1" ht="15.75" x14ac:dyDescent="0.25">
      <c r="A993" s="699"/>
    </row>
    <row r="994" spans="1:1" ht="15.75" x14ac:dyDescent="0.25">
      <c r="A994" s="699"/>
    </row>
    <row r="995" spans="1:1" ht="15.75" x14ac:dyDescent="0.25">
      <c r="A995" s="699"/>
    </row>
    <row r="996" spans="1:1" ht="15.75" x14ac:dyDescent="0.25">
      <c r="A996" s="699"/>
    </row>
    <row r="997" spans="1:1" ht="15.75" x14ac:dyDescent="0.25">
      <c r="A997" s="699"/>
    </row>
    <row r="998" spans="1:1" ht="15.75" x14ac:dyDescent="0.25">
      <c r="A998" s="699"/>
    </row>
    <row r="999" spans="1:1" ht="15.75" x14ac:dyDescent="0.25">
      <c r="A999" s="699"/>
    </row>
    <row r="1000" spans="1:1" ht="15.75" x14ac:dyDescent="0.25">
      <c r="A1000" s="699"/>
    </row>
    <row r="1001" spans="1:1" ht="15.75" x14ac:dyDescent="0.25">
      <c r="A1001" s="699"/>
    </row>
    <row r="1002" spans="1:1" ht="15.75" x14ac:dyDescent="0.25">
      <c r="A1002" s="699"/>
    </row>
    <row r="1003" spans="1:1" ht="15.75" x14ac:dyDescent="0.25">
      <c r="A1003" s="699"/>
    </row>
    <row r="1004" spans="1:1" ht="15.75" x14ac:dyDescent="0.25">
      <c r="A1004" s="699"/>
    </row>
    <row r="1005" spans="1:1" ht="15.75" x14ac:dyDescent="0.25">
      <c r="A1005" s="699"/>
    </row>
    <row r="1006" spans="1:1" ht="15.75" x14ac:dyDescent="0.25">
      <c r="A1006" s="699"/>
    </row>
    <row r="1007" spans="1:1" ht="15.75" x14ac:dyDescent="0.25">
      <c r="A1007" s="699"/>
    </row>
    <row r="1008" spans="1:1" ht="15.75" x14ac:dyDescent="0.25">
      <c r="A1008" s="699"/>
    </row>
    <row r="1009" spans="1:1" ht="15.75" x14ac:dyDescent="0.25">
      <c r="A1009" s="699"/>
    </row>
    <row r="1010" spans="1:1" ht="15.75" x14ac:dyDescent="0.25">
      <c r="A1010" s="699"/>
    </row>
    <row r="1011" spans="1:1" ht="15.75" x14ac:dyDescent="0.25">
      <c r="A1011" s="699"/>
    </row>
    <row r="1012" spans="1:1" ht="15.75" x14ac:dyDescent="0.25">
      <c r="A1012" s="699"/>
    </row>
    <row r="1013" spans="1:1" ht="15.75" x14ac:dyDescent="0.25">
      <c r="A1013" s="699"/>
    </row>
    <row r="1014" spans="1:1" ht="15.75" x14ac:dyDescent="0.25">
      <c r="A1014" s="699"/>
    </row>
    <row r="1015" spans="1:1" ht="15.75" x14ac:dyDescent="0.25">
      <c r="A1015" s="699"/>
    </row>
    <row r="1016" spans="1:1" ht="15.75" x14ac:dyDescent="0.25">
      <c r="A1016" s="699"/>
    </row>
    <row r="1017" spans="1:1" ht="15.75" x14ac:dyDescent="0.25">
      <c r="A1017" s="699"/>
    </row>
    <row r="1018" spans="1:1" ht="15.75" x14ac:dyDescent="0.25">
      <c r="A1018" s="699"/>
    </row>
    <row r="1019" spans="1:1" ht="15.75" x14ac:dyDescent="0.25">
      <c r="A1019" s="699"/>
    </row>
    <row r="1020" spans="1:1" ht="15.75" x14ac:dyDescent="0.25">
      <c r="A1020" s="699"/>
    </row>
    <row r="1021" spans="1:1" ht="15.75" x14ac:dyDescent="0.25">
      <c r="A1021" s="699"/>
    </row>
    <row r="1022" spans="1:1" ht="15.75" x14ac:dyDescent="0.25">
      <c r="A1022" s="699"/>
    </row>
    <row r="1023" spans="1:1" ht="15.75" x14ac:dyDescent="0.25">
      <c r="A1023" s="699"/>
    </row>
    <row r="1024" spans="1:1" ht="15.75" x14ac:dyDescent="0.25">
      <c r="A1024" s="699"/>
    </row>
    <row r="1025" spans="1:1" ht="15.75" x14ac:dyDescent="0.25">
      <c r="A1025" s="699"/>
    </row>
    <row r="1026" spans="1:1" ht="15.75" x14ac:dyDescent="0.25">
      <c r="A1026" s="699"/>
    </row>
    <row r="1027" spans="1:1" ht="15.75" x14ac:dyDescent="0.25">
      <c r="A1027" s="699"/>
    </row>
    <row r="1028" spans="1:1" ht="15.75" x14ac:dyDescent="0.25">
      <c r="A1028" s="699"/>
    </row>
    <row r="1029" spans="1:1" ht="15.75" x14ac:dyDescent="0.25">
      <c r="A1029" s="699"/>
    </row>
    <row r="1030" spans="1:1" ht="15.75" x14ac:dyDescent="0.25">
      <c r="A1030" s="699"/>
    </row>
    <row r="1031" spans="1:1" ht="15.75" x14ac:dyDescent="0.25">
      <c r="A1031" s="699"/>
    </row>
    <row r="1032" spans="1:1" ht="15.75" x14ac:dyDescent="0.25">
      <c r="A1032" s="699"/>
    </row>
    <row r="1033" spans="1:1" ht="15.75" x14ac:dyDescent="0.25">
      <c r="A1033" s="699"/>
    </row>
    <row r="1034" spans="1:1" ht="15.75" x14ac:dyDescent="0.25">
      <c r="A1034" s="699"/>
    </row>
    <row r="1035" spans="1:1" ht="15.75" x14ac:dyDescent="0.25">
      <c r="A1035" s="699"/>
    </row>
    <row r="1036" spans="1:1" ht="15.75" x14ac:dyDescent="0.25">
      <c r="A1036" s="699"/>
    </row>
    <row r="1037" spans="1:1" ht="15.75" x14ac:dyDescent="0.25">
      <c r="A1037" s="699"/>
    </row>
    <row r="1038" spans="1:1" ht="15.75" x14ac:dyDescent="0.25">
      <c r="A1038" s="699"/>
    </row>
    <row r="1039" spans="1:1" ht="15.75" x14ac:dyDescent="0.25">
      <c r="A1039" s="699"/>
    </row>
    <row r="1040" spans="1:1" ht="15.75" x14ac:dyDescent="0.25">
      <c r="A1040" s="699"/>
    </row>
    <row r="1041" spans="1:1" ht="15.75" x14ac:dyDescent="0.25">
      <c r="A1041" s="699"/>
    </row>
    <row r="1042" spans="1:1" ht="15.75" x14ac:dyDescent="0.25">
      <c r="A1042" s="699"/>
    </row>
    <row r="1043" spans="1:1" ht="15.75" x14ac:dyDescent="0.25">
      <c r="A1043" s="699"/>
    </row>
    <row r="1044" spans="1:1" ht="15.75" x14ac:dyDescent="0.25">
      <c r="A1044" s="699"/>
    </row>
    <row r="1045" spans="1:1" ht="15.75" x14ac:dyDescent="0.25">
      <c r="A1045" s="699"/>
    </row>
    <row r="1046" spans="1:1" ht="15.75" x14ac:dyDescent="0.25">
      <c r="A1046" s="699"/>
    </row>
    <row r="1047" spans="1:1" ht="15.75" x14ac:dyDescent="0.25">
      <c r="A1047" s="699"/>
    </row>
    <row r="1048" spans="1:1" ht="15.75" x14ac:dyDescent="0.25">
      <c r="A1048" s="699"/>
    </row>
    <row r="1049" spans="1:1" ht="15.75" x14ac:dyDescent="0.25">
      <c r="A1049" s="699"/>
    </row>
    <row r="1050" spans="1:1" ht="15.75" x14ac:dyDescent="0.25">
      <c r="A1050" s="699"/>
    </row>
    <row r="1051" spans="1:1" ht="15.75" x14ac:dyDescent="0.25">
      <c r="A1051" s="699"/>
    </row>
    <row r="1052" spans="1:1" ht="15.75" x14ac:dyDescent="0.25">
      <c r="A1052" s="699"/>
    </row>
    <row r="1053" spans="1:1" ht="15.75" x14ac:dyDescent="0.25">
      <c r="A1053" s="699"/>
    </row>
    <row r="1054" spans="1:1" ht="15.75" x14ac:dyDescent="0.25">
      <c r="A1054" s="699"/>
    </row>
    <row r="1055" spans="1:1" ht="15.75" x14ac:dyDescent="0.25">
      <c r="A1055" s="699"/>
    </row>
    <row r="1056" spans="1:1" ht="15.75" x14ac:dyDescent="0.25">
      <c r="A1056" s="699"/>
    </row>
    <row r="1057" spans="1:1" ht="15.75" x14ac:dyDescent="0.25">
      <c r="A1057" s="699"/>
    </row>
    <row r="1058" spans="1:1" ht="15.75" x14ac:dyDescent="0.25">
      <c r="A1058" s="699"/>
    </row>
    <row r="1059" spans="1:1" ht="15.75" x14ac:dyDescent="0.25">
      <c r="A1059" s="699"/>
    </row>
    <row r="1060" spans="1:1" ht="15.75" x14ac:dyDescent="0.25">
      <c r="A1060" s="699"/>
    </row>
    <row r="1061" spans="1:1" ht="15.75" x14ac:dyDescent="0.25">
      <c r="A1061" s="699"/>
    </row>
    <row r="1062" spans="1:1" ht="15.75" x14ac:dyDescent="0.25">
      <c r="A1062" s="699"/>
    </row>
    <row r="1063" spans="1:1" ht="15.75" x14ac:dyDescent="0.25">
      <c r="A1063" s="699"/>
    </row>
    <row r="1064" spans="1:1" ht="15.75" x14ac:dyDescent="0.25">
      <c r="A1064" s="699"/>
    </row>
    <row r="1065" spans="1:1" ht="15.75" x14ac:dyDescent="0.25">
      <c r="A1065" s="699"/>
    </row>
    <row r="1066" spans="1:1" ht="15.75" x14ac:dyDescent="0.25">
      <c r="A1066" s="699"/>
    </row>
    <row r="1067" spans="1:1" ht="15.75" x14ac:dyDescent="0.25">
      <c r="A1067" s="699"/>
    </row>
    <row r="1068" spans="1:1" ht="15.75" x14ac:dyDescent="0.25">
      <c r="A1068" s="699"/>
    </row>
    <row r="1069" spans="1:1" ht="15.75" x14ac:dyDescent="0.25">
      <c r="A1069" s="699"/>
    </row>
    <row r="1070" spans="1:1" ht="15.75" x14ac:dyDescent="0.25">
      <c r="A1070" s="699"/>
    </row>
    <row r="1071" spans="1:1" ht="15.75" x14ac:dyDescent="0.25">
      <c r="A1071" s="699"/>
    </row>
    <row r="1072" spans="1:1" ht="15.75" x14ac:dyDescent="0.25">
      <c r="A1072" s="699"/>
    </row>
    <row r="1073" spans="1:1" ht="15.75" x14ac:dyDescent="0.25">
      <c r="A1073" s="699"/>
    </row>
    <row r="1074" spans="1:1" ht="15.75" x14ac:dyDescent="0.25">
      <c r="A1074" s="699"/>
    </row>
    <row r="1075" spans="1:1" ht="15.75" x14ac:dyDescent="0.25">
      <c r="A1075" s="699"/>
    </row>
    <row r="1076" spans="1:1" ht="15.75" x14ac:dyDescent="0.25">
      <c r="A1076" s="699"/>
    </row>
    <row r="1077" spans="1:1" ht="15.75" x14ac:dyDescent="0.25">
      <c r="A1077" s="699"/>
    </row>
    <row r="1078" spans="1:1" ht="15.75" x14ac:dyDescent="0.25">
      <c r="A1078" s="699"/>
    </row>
    <row r="1079" spans="1:1" ht="15.75" x14ac:dyDescent="0.25">
      <c r="A1079" s="699"/>
    </row>
    <row r="1080" spans="1:1" ht="15.75" x14ac:dyDescent="0.25">
      <c r="A1080" s="699"/>
    </row>
    <row r="1081" spans="1:1" ht="15.75" x14ac:dyDescent="0.25">
      <c r="A1081" s="699"/>
    </row>
    <row r="1082" spans="1:1" ht="15.75" x14ac:dyDescent="0.25">
      <c r="A1082" s="699"/>
    </row>
    <row r="1083" spans="1:1" ht="15.75" x14ac:dyDescent="0.25">
      <c r="A1083" s="699"/>
    </row>
    <row r="1084" spans="1:1" ht="15.75" x14ac:dyDescent="0.25">
      <c r="A1084" s="699"/>
    </row>
    <row r="1085" spans="1:1" ht="15.75" x14ac:dyDescent="0.25">
      <c r="A1085" s="699"/>
    </row>
    <row r="1086" spans="1:1" ht="15.75" x14ac:dyDescent="0.25">
      <c r="A1086" s="699"/>
    </row>
    <row r="1087" spans="1:1" ht="15.75" x14ac:dyDescent="0.25">
      <c r="A1087" s="699"/>
    </row>
    <row r="1088" spans="1:1" ht="15.75" x14ac:dyDescent="0.25">
      <c r="A1088" s="699"/>
    </row>
    <row r="1089" spans="1:1" ht="15.75" x14ac:dyDescent="0.25">
      <c r="A1089" s="699"/>
    </row>
    <row r="1090" spans="1:1" ht="15.75" x14ac:dyDescent="0.25">
      <c r="A1090" s="699"/>
    </row>
    <row r="1091" spans="1:1" ht="15.75" x14ac:dyDescent="0.25">
      <c r="A1091" s="699"/>
    </row>
    <row r="1092" spans="1:1" ht="15.75" x14ac:dyDescent="0.25">
      <c r="A1092" s="699"/>
    </row>
    <row r="1093" spans="1:1" ht="15.75" x14ac:dyDescent="0.25">
      <c r="A1093" s="699"/>
    </row>
    <row r="1094" spans="1:1" ht="15.75" x14ac:dyDescent="0.25">
      <c r="A1094" s="699"/>
    </row>
    <row r="1095" spans="1:1" ht="15.75" x14ac:dyDescent="0.25">
      <c r="A1095" s="699"/>
    </row>
    <row r="1096" spans="1:1" ht="15.75" x14ac:dyDescent="0.25">
      <c r="A1096" s="699"/>
    </row>
    <row r="1097" spans="1:1" ht="15.75" x14ac:dyDescent="0.25">
      <c r="A1097" s="699"/>
    </row>
    <row r="1098" spans="1:1" ht="15.75" x14ac:dyDescent="0.25">
      <c r="A1098" s="699"/>
    </row>
    <row r="1099" spans="1:1" ht="15.75" x14ac:dyDescent="0.25">
      <c r="A1099" s="699"/>
    </row>
    <row r="1100" spans="1:1" ht="15.75" x14ac:dyDescent="0.25">
      <c r="A1100" s="699"/>
    </row>
    <row r="1101" spans="1:1" ht="15.75" x14ac:dyDescent="0.25">
      <c r="A1101" s="699"/>
    </row>
    <row r="1102" spans="1:1" ht="15.75" x14ac:dyDescent="0.25">
      <c r="A1102" s="699"/>
    </row>
    <row r="1103" spans="1:1" ht="15.75" x14ac:dyDescent="0.25">
      <c r="A1103" s="699"/>
    </row>
    <row r="1104" spans="1:1" ht="15.75" x14ac:dyDescent="0.25">
      <c r="A1104" s="699"/>
    </row>
    <row r="1105" spans="1:1" ht="15.75" x14ac:dyDescent="0.25">
      <c r="A1105" s="699"/>
    </row>
    <row r="1106" spans="1:1" ht="15.75" x14ac:dyDescent="0.25">
      <c r="A1106" s="699"/>
    </row>
    <row r="1107" spans="1:1" ht="15.75" x14ac:dyDescent="0.25">
      <c r="A1107" s="699"/>
    </row>
    <row r="1108" spans="1:1" ht="15.75" x14ac:dyDescent="0.25">
      <c r="A1108" s="699"/>
    </row>
    <row r="1109" spans="1:1" ht="15.75" x14ac:dyDescent="0.25">
      <c r="A1109" s="699"/>
    </row>
    <row r="1110" spans="1:1" ht="15.75" x14ac:dyDescent="0.25">
      <c r="A1110" s="699"/>
    </row>
    <row r="1111" spans="1:1" ht="15.75" x14ac:dyDescent="0.25">
      <c r="A1111" s="699"/>
    </row>
    <row r="1112" spans="1:1" ht="15.75" x14ac:dyDescent="0.25">
      <c r="A1112" s="699"/>
    </row>
    <row r="1113" spans="1:1" ht="15.75" x14ac:dyDescent="0.25">
      <c r="A1113" s="699"/>
    </row>
    <row r="1114" spans="1:1" ht="15.75" x14ac:dyDescent="0.25">
      <c r="A1114" s="699"/>
    </row>
    <row r="1115" spans="1:1" ht="15.75" x14ac:dyDescent="0.25">
      <c r="A1115" s="699"/>
    </row>
    <row r="1116" spans="1:1" ht="15.75" x14ac:dyDescent="0.25">
      <c r="A1116" s="699"/>
    </row>
    <row r="1117" spans="1:1" ht="15.75" x14ac:dyDescent="0.25">
      <c r="A1117" s="699"/>
    </row>
    <row r="1118" spans="1:1" ht="15.75" x14ac:dyDescent="0.25">
      <c r="A1118" s="699"/>
    </row>
    <row r="1119" spans="1:1" ht="15.75" x14ac:dyDescent="0.25">
      <c r="A1119" s="699"/>
    </row>
    <row r="1120" spans="1:1" ht="15.75" x14ac:dyDescent="0.25">
      <c r="A1120" s="699"/>
    </row>
    <row r="1121" spans="1:1" ht="15.75" x14ac:dyDescent="0.25">
      <c r="A1121" s="699"/>
    </row>
    <row r="1122" spans="1:1" ht="15.75" x14ac:dyDescent="0.25">
      <c r="A1122" s="699"/>
    </row>
    <row r="1123" spans="1:1" ht="15.75" x14ac:dyDescent="0.25">
      <c r="A1123" s="699"/>
    </row>
    <row r="1124" spans="1:1" ht="15.75" x14ac:dyDescent="0.25">
      <c r="A1124" s="699"/>
    </row>
    <row r="1125" spans="1:1" ht="15.75" x14ac:dyDescent="0.25">
      <c r="A1125" s="699"/>
    </row>
    <row r="1126" spans="1:1" ht="15.75" x14ac:dyDescent="0.25">
      <c r="A1126" s="699"/>
    </row>
    <row r="1127" spans="1:1" ht="15.75" x14ac:dyDescent="0.25">
      <c r="A1127" s="699"/>
    </row>
    <row r="1128" spans="1:1" ht="15.75" x14ac:dyDescent="0.25">
      <c r="A1128" s="699"/>
    </row>
    <row r="1129" spans="1:1" ht="15.75" x14ac:dyDescent="0.25">
      <c r="A1129" s="699"/>
    </row>
    <row r="1130" spans="1:1" ht="15.75" x14ac:dyDescent="0.25">
      <c r="A1130" s="699"/>
    </row>
    <row r="1131" spans="1:1" ht="15.75" x14ac:dyDescent="0.25">
      <c r="A1131" s="699"/>
    </row>
    <row r="1132" spans="1:1" ht="15.75" x14ac:dyDescent="0.25">
      <c r="A1132" s="699"/>
    </row>
    <row r="1133" spans="1:1" ht="15.75" x14ac:dyDescent="0.25">
      <c r="A1133" s="699"/>
    </row>
    <row r="1134" spans="1:1" ht="15.75" x14ac:dyDescent="0.25">
      <c r="A1134" s="699"/>
    </row>
    <row r="1135" spans="1:1" ht="15.75" x14ac:dyDescent="0.25">
      <c r="A1135" s="699"/>
    </row>
    <row r="1136" spans="1:1" ht="15.75" x14ac:dyDescent="0.25">
      <c r="A1136" s="699"/>
    </row>
    <row r="1137" spans="1:1" ht="15.75" x14ac:dyDescent="0.25">
      <c r="A1137" s="699"/>
    </row>
    <row r="1138" spans="1:1" ht="15.75" x14ac:dyDescent="0.25">
      <c r="A1138" s="699"/>
    </row>
    <row r="1139" spans="1:1" ht="15.75" x14ac:dyDescent="0.25">
      <c r="A1139" s="699"/>
    </row>
    <row r="1140" spans="1:1" ht="15.75" x14ac:dyDescent="0.25">
      <c r="A1140" s="699"/>
    </row>
    <row r="1141" spans="1:1" ht="15.75" x14ac:dyDescent="0.25">
      <c r="A1141" s="699"/>
    </row>
    <row r="1142" spans="1:1" ht="15.75" x14ac:dyDescent="0.25">
      <c r="A1142" s="699"/>
    </row>
    <row r="1143" spans="1:1" ht="15.75" x14ac:dyDescent="0.25">
      <c r="A1143" s="699"/>
    </row>
    <row r="1144" spans="1:1" ht="15.75" x14ac:dyDescent="0.25">
      <c r="A1144" s="699"/>
    </row>
    <row r="1145" spans="1:1" ht="15.75" x14ac:dyDescent="0.25">
      <c r="A1145" s="699"/>
    </row>
    <row r="1146" spans="1:1" ht="15.75" x14ac:dyDescent="0.25">
      <c r="A1146" s="699"/>
    </row>
    <row r="1147" spans="1:1" ht="15.75" x14ac:dyDescent="0.25">
      <c r="A1147" s="699"/>
    </row>
    <row r="1148" spans="1:1" ht="15.75" x14ac:dyDescent="0.25">
      <c r="A1148" s="699"/>
    </row>
    <row r="1149" spans="1:1" ht="15.75" x14ac:dyDescent="0.25">
      <c r="A1149" s="699"/>
    </row>
    <row r="1150" spans="1:1" ht="15.75" x14ac:dyDescent="0.25">
      <c r="A1150" s="699"/>
    </row>
    <row r="1151" spans="1:1" ht="15.75" x14ac:dyDescent="0.25">
      <c r="A1151" s="699"/>
    </row>
    <row r="1152" spans="1:1" ht="15.75" x14ac:dyDescent="0.25">
      <c r="A1152" s="699"/>
    </row>
    <row r="1153" spans="1:1" ht="15.75" x14ac:dyDescent="0.25">
      <c r="A1153" s="699"/>
    </row>
    <row r="1154" spans="1:1" ht="15.75" x14ac:dyDescent="0.25">
      <c r="A1154" s="699"/>
    </row>
    <row r="1155" spans="1:1" ht="15.75" x14ac:dyDescent="0.25">
      <c r="A1155" s="699"/>
    </row>
    <row r="1156" spans="1:1" ht="15.75" x14ac:dyDescent="0.25">
      <c r="A1156" s="699"/>
    </row>
    <row r="1157" spans="1:1" ht="15.75" x14ac:dyDescent="0.25">
      <c r="A1157" s="699"/>
    </row>
    <row r="1158" spans="1:1" ht="15.75" x14ac:dyDescent="0.25">
      <c r="A1158" s="699"/>
    </row>
    <row r="1159" spans="1:1" ht="15.75" x14ac:dyDescent="0.25">
      <c r="A1159" s="699"/>
    </row>
    <row r="1160" spans="1:1" ht="15.75" x14ac:dyDescent="0.25">
      <c r="A1160" s="699"/>
    </row>
    <row r="1161" spans="1:1" ht="15.75" x14ac:dyDescent="0.25">
      <c r="A1161" s="699"/>
    </row>
    <row r="1162" spans="1:1" ht="15.75" x14ac:dyDescent="0.25">
      <c r="A1162" s="699"/>
    </row>
    <row r="1163" spans="1:1" ht="15.75" x14ac:dyDescent="0.25">
      <c r="A1163" s="699"/>
    </row>
    <row r="1164" spans="1:1" ht="15.75" x14ac:dyDescent="0.25">
      <c r="A1164" s="699"/>
    </row>
    <row r="1165" spans="1:1" ht="15.75" x14ac:dyDescent="0.25">
      <c r="A1165" s="699"/>
    </row>
    <row r="1166" spans="1:1" ht="15.75" x14ac:dyDescent="0.25">
      <c r="A1166" s="699"/>
    </row>
    <row r="1167" spans="1:1" ht="15.75" x14ac:dyDescent="0.25">
      <c r="A1167" s="699"/>
    </row>
    <row r="1168" spans="1:1" ht="15.75" x14ac:dyDescent="0.25">
      <c r="A1168" s="699"/>
    </row>
    <row r="1169" spans="1:1" ht="15.75" x14ac:dyDescent="0.25">
      <c r="A1169" s="699"/>
    </row>
    <row r="1170" spans="1:1" ht="15.75" x14ac:dyDescent="0.25">
      <c r="A1170" s="699"/>
    </row>
    <row r="1171" spans="1:1" ht="15.75" x14ac:dyDescent="0.25">
      <c r="A1171" s="699"/>
    </row>
    <row r="1172" spans="1:1" ht="15.75" x14ac:dyDescent="0.25">
      <c r="A1172" s="699"/>
    </row>
    <row r="1173" spans="1:1" ht="15.75" x14ac:dyDescent="0.25">
      <c r="A1173" s="699"/>
    </row>
    <row r="1174" spans="1:1" ht="15.75" x14ac:dyDescent="0.25">
      <c r="A1174" s="699"/>
    </row>
    <row r="1175" spans="1:1" ht="15.75" x14ac:dyDescent="0.25">
      <c r="A1175" s="699"/>
    </row>
    <row r="1176" spans="1:1" ht="15.75" x14ac:dyDescent="0.25">
      <c r="A1176" s="699"/>
    </row>
    <row r="1177" spans="1:1" ht="15.75" x14ac:dyDescent="0.25">
      <c r="A1177" s="699"/>
    </row>
    <row r="1178" spans="1:1" ht="15.75" x14ac:dyDescent="0.25">
      <c r="A1178" s="699"/>
    </row>
    <row r="1179" spans="1:1" ht="15.75" x14ac:dyDescent="0.25">
      <c r="A1179" s="699"/>
    </row>
    <row r="1180" spans="1:1" ht="15.75" x14ac:dyDescent="0.25">
      <c r="A1180" s="699"/>
    </row>
    <row r="1181" spans="1:1" ht="15.75" x14ac:dyDescent="0.25">
      <c r="A1181" s="699"/>
    </row>
    <row r="1182" spans="1:1" ht="15.75" x14ac:dyDescent="0.25">
      <c r="A1182" s="699"/>
    </row>
    <row r="1183" spans="1:1" ht="15.75" x14ac:dyDescent="0.25">
      <c r="A1183" s="699"/>
    </row>
    <row r="1184" spans="1:1" ht="15.75" x14ac:dyDescent="0.25">
      <c r="A1184" s="699"/>
    </row>
    <row r="1185" spans="1:1" ht="15.75" x14ac:dyDescent="0.25">
      <c r="A1185" s="699"/>
    </row>
    <row r="1186" spans="1:1" ht="15.75" x14ac:dyDescent="0.25">
      <c r="A1186" s="699"/>
    </row>
    <row r="1187" spans="1:1" ht="15.75" x14ac:dyDescent="0.25">
      <c r="A1187" s="699"/>
    </row>
    <row r="1188" spans="1:1" ht="15.75" x14ac:dyDescent="0.25">
      <c r="A1188" s="699"/>
    </row>
    <row r="1189" spans="1:1" ht="15.75" x14ac:dyDescent="0.25">
      <c r="A1189" s="699"/>
    </row>
    <row r="1190" spans="1:1" ht="15.75" x14ac:dyDescent="0.25">
      <c r="A1190" s="699"/>
    </row>
    <row r="1191" spans="1:1" ht="15.75" x14ac:dyDescent="0.25">
      <c r="A1191" s="699"/>
    </row>
    <row r="1192" spans="1:1" ht="15.75" x14ac:dyDescent="0.25">
      <c r="A1192" s="699"/>
    </row>
    <row r="1193" spans="1:1" ht="15.75" x14ac:dyDescent="0.25">
      <c r="A1193" s="699"/>
    </row>
    <row r="1194" spans="1:1" ht="15.75" x14ac:dyDescent="0.25">
      <c r="A1194" s="699"/>
    </row>
    <row r="1195" spans="1:1" ht="15.75" x14ac:dyDescent="0.25">
      <c r="A1195" s="699"/>
    </row>
    <row r="1196" spans="1:1" ht="15.75" x14ac:dyDescent="0.25">
      <c r="A1196" s="699"/>
    </row>
    <row r="1197" spans="1:1" ht="15.75" x14ac:dyDescent="0.25">
      <c r="A1197" s="699"/>
    </row>
    <row r="1198" spans="1:1" ht="15.75" x14ac:dyDescent="0.25">
      <c r="A1198" s="699"/>
    </row>
    <row r="1199" spans="1:1" ht="15.75" x14ac:dyDescent="0.25">
      <c r="A1199" s="699"/>
    </row>
    <row r="1200" spans="1:1" ht="15.75" x14ac:dyDescent="0.25">
      <c r="A1200" s="699"/>
    </row>
    <row r="1201" spans="1:1" ht="15.75" x14ac:dyDescent="0.25">
      <c r="A1201" s="699"/>
    </row>
    <row r="1202" spans="1:1" ht="15.75" x14ac:dyDescent="0.25">
      <c r="A1202" s="699"/>
    </row>
    <row r="1203" spans="1:1" ht="15.75" x14ac:dyDescent="0.25">
      <c r="A1203" s="699"/>
    </row>
    <row r="1204" spans="1:1" ht="15.75" x14ac:dyDescent="0.25">
      <c r="A1204" s="699"/>
    </row>
    <row r="1205" spans="1:1" ht="15.75" x14ac:dyDescent="0.25">
      <c r="A1205" s="699"/>
    </row>
    <row r="1206" spans="1:1" ht="15.75" x14ac:dyDescent="0.25">
      <c r="A1206" s="699"/>
    </row>
    <row r="1207" spans="1:1" ht="15.75" x14ac:dyDescent="0.25">
      <c r="A1207" s="699"/>
    </row>
    <row r="1208" spans="1:1" ht="15.75" x14ac:dyDescent="0.25">
      <c r="A1208" s="699"/>
    </row>
    <row r="1209" spans="1:1" ht="15.75" x14ac:dyDescent="0.25">
      <c r="A1209" s="699"/>
    </row>
    <row r="1210" spans="1:1" ht="15.75" x14ac:dyDescent="0.25">
      <c r="A1210" s="699"/>
    </row>
    <row r="1211" spans="1:1" ht="15.75" x14ac:dyDescent="0.25">
      <c r="A1211" s="699"/>
    </row>
    <row r="1212" spans="1:1" ht="15.75" x14ac:dyDescent="0.25">
      <c r="A1212" s="699"/>
    </row>
    <row r="1213" spans="1:1" ht="15.75" x14ac:dyDescent="0.25">
      <c r="A1213" s="699"/>
    </row>
    <row r="1214" spans="1:1" ht="15.75" x14ac:dyDescent="0.25">
      <c r="A1214" s="699"/>
    </row>
    <row r="1215" spans="1:1" ht="15.75" x14ac:dyDescent="0.25">
      <c r="A1215" s="699"/>
    </row>
    <row r="1216" spans="1:1" ht="15.75" x14ac:dyDescent="0.25">
      <c r="A1216" s="699"/>
    </row>
    <row r="1217" spans="1:1" ht="15.75" x14ac:dyDescent="0.25">
      <c r="A1217" s="699"/>
    </row>
    <row r="1218" spans="1:1" ht="15.75" x14ac:dyDescent="0.25">
      <c r="A1218" s="699"/>
    </row>
    <row r="1219" spans="1:1" ht="15.75" x14ac:dyDescent="0.25">
      <c r="A1219" s="699"/>
    </row>
    <row r="1220" spans="1:1" ht="15.75" x14ac:dyDescent="0.25">
      <c r="A1220" s="699"/>
    </row>
    <row r="1221" spans="1:1" ht="15.75" x14ac:dyDescent="0.25">
      <c r="A1221" s="699"/>
    </row>
    <row r="1222" spans="1:1" ht="15.75" x14ac:dyDescent="0.25">
      <c r="A1222" s="699"/>
    </row>
    <row r="1223" spans="1:1" ht="15.75" x14ac:dyDescent="0.25">
      <c r="A1223" s="699"/>
    </row>
    <row r="1224" spans="1:1" ht="15.75" x14ac:dyDescent="0.25">
      <c r="A1224" s="699"/>
    </row>
    <row r="1225" spans="1:1" ht="15.75" x14ac:dyDescent="0.25">
      <c r="A1225" s="699"/>
    </row>
    <row r="1226" spans="1:1" ht="15.75" x14ac:dyDescent="0.25">
      <c r="A1226" s="699"/>
    </row>
    <row r="1227" spans="1:1" ht="15.75" x14ac:dyDescent="0.25">
      <c r="A1227" s="699"/>
    </row>
    <row r="1228" spans="1:1" ht="15.75" x14ac:dyDescent="0.25">
      <c r="A1228" s="699"/>
    </row>
    <row r="1229" spans="1:1" ht="15.75" x14ac:dyDescent="0.25">
      <c r="A1229" s="699"/>
    </row>
    <row r="1230" spans="1:1" ht="15.75" x14ac:dyDescent="0.25">
      <c r="A1230" s="699"/>
    </row>
    <row r="1231" spans="1:1" ht="15.75" x14ac:dyDescent="0.25">
      <c r="A1231" s="699"/>
    </row>
    <row r="1232" spans="1:1" ht="15.75" x14ac:dyDescent="0.25">
      <c r="A1232" s="699"/>
    </row>
    <row r="1233" spans="1:1" ht="15.75" x14ac:dyDescent="0.25">
      <c r="A1233" s="699"/>
    </row>
    <row r="1234" spans="1:1" ht="15.75" x14ac:dyDescent="0.25">
      <c r="A1234" s="699"/>
    </row>
    <row r="1235" spans="1:1" ht="15.75" x14ac:dyDescent="0.25">
      <c r="A1235" s="699"/>
    </row>
    <row r="1236" spans="1:1" ht="15.75" x14ac:dyDescent="0.25">
      <c r="A1236" s="699"/>
    </row>
    <row r="1237" spans="1:1" ht="15.75" x14ac:dyDescent="0.25">
      <c r="A1237" s="699"/>
    </row>
    <row r="1238" spans="1:1" ht="15.75" x14ac:dyDescent="0.25">
      <c r="A1238" s="699"/>
    </row>
    <row r="1239" spans="1:1" ht="15.75" x14ac:dyDescent="0.25">
      <c r="A1239" s="699"/>
    </row>
    <row r="1240" spans="1:1" ht="15.75" x14ac:dyDescent="0.25">
      <c r="A1240" s="699"/>
    </row>
    <row r="1241" spans="1:1" ht="15.75" x14ac:dyDescent="0.25">
      <c r="A1241" s="699"/>
    </row>
    <row r="1242" spans="1:1" ht="15.75" x14ac:dyDescent="0.25">
      <c r="A1242" s="699"/>
    </row>
    <row r="1243" spans="1:1" ht="15.75" x14ac:dyDescent="0.25">
      <c r="A1243" s="699"/>
    </row>
    <row r="1244" spans="1:1" ht="15.75" x14ac:dyDescent="0.25">
      <c r="A1244" s="699"/>
    </row>
    <row r="1245" spans="1:1" ht="15.75" x14ac:dyDescent="0.25">
      <c r="A1245" s="699"/>
    </row>
    <row r="1246" spans="1:1" ht="15.75" x14ac:dyDescent="0.25">
      <c r="A1246" s="699"/>
    </row>
    <row r="1247" spans="1:1" ht="15.75" x14ac:dyDescent="0.25">
      <c r="A1247" s="699"/>
    </row>
    <row r="1248" spans="1:1" ht="15.75" x14ac:dyDescent="0.25">
      <c r="A1248" s="699"/>
    </row>
    <row r="1249" spans="1:1" ht="15.75" x14ac:dyDescent="0.25">
      <c r="A1249" s="699"/>
    </row>
    <row r="1250" spans="1:1" ht="15.75" x14ac:dyDescent="0.25">
      <c r="A1250" s="699"/>
    </row>
    <row r="1251" spans="1:1" ht="15.75" x14ac:dyDescent="0.25">
      <c r="A1251" s="699"/>
    </row>
    <row r="1252" spans="1:1" ht="15.75" x14ac:dyDescent="0.25">
      <c r="A1252" s="699"/>
    </row>
    <row r="1253" spans="1:1" ht="15.75" x14ac:dyDescent="0.25">
      <c r="A1253" s="699"/>
    </row>
    <row r="1254" spans="1:1" ht="15.75" x14ac:dyDescent="0.25">
      <c r="A1254" s="699"/>
    </row>
    <row r="1255" spans="1:1" ht="15.75" x14ac:dyDescent="0.25">
      <c r="A1255" s="699"/>
    </row>
    <row r="1256" spans="1:1" ht="15.75" x14ac:dyDescent="0.25">
      <c r="A1256" s="699"/>
    </row>
    <row r="1257" spans="1:1" ht="15.75" x14ac:dyDescent="0.25">
      <c r="A1257" s="699"/>
    </row>
    <row r="1258" spans="1:1" ht="15.75" x14ac:dyDescent="0.25">
      <c r="A1258" s="699"/>
    </row>
    <row r="1259" spans="1:1" ht="15.75" x14ac:dyDescent="0.25">
      <c r="A1259" s="699"/>
    </row>
    <row r="1260" spans="1:1" ht="15.75" x14ac:dyDescent="0.25">
      <c r="A1260" s="699"/>
    </row>
    <row r="1261" spans="1:1" ht="15.75" x14ac:dyDescent="0.25">
      <c r="A1261" s="699"/>
    </row>
    <row r="1262" spans="1:1" ht="15.75" x14ac:dyDescent="0.25">
      <c r="A1262" s="699"/>
    </row>
    <row r="1263" spans="1:1" ht="15.75" x14ac:dyDescent="0.25">
      <c r="A1263" s="699"/>
    </row>
    <row r="1264" spans="1:1" ht="15.75" x14ac:dyDescent="0.25">
      <c r="A1264" s="699"/>
    </row>
    <row r="1265" spans="1:1" ht="15.75" x14ac:dyDescent="0.25">
      <c r="A1265" s="699"/>
    </row>
    <row r="1266" spans="1:1" ht="15.75" x14ac:dyDescent="0.25">
      <c r="A1266" s="699"/>
    </row>
    <row r="1267" spans="1:1" ht="15.75" x14ac:dyDescent="0.25">
      <c r="A1267" s="699"/>
    </row>
    <row r="1268" spans="1:1" ht="15.75" x14ac:dyDescent="0.25">
      <c r="A1268" s="699"/>
    </row>
    <row r="1269" spans="1:1" ht="15.75" x14ac:dyDescent="0.25">
      <c r="A1269" s="699"/>
    </row>
    <row r="1270" spans="1:1" ht="15.75" x14ac:dyDescent="0.25">
      <c r="A1270" s="699"/>
    </row>
    <row r="1271" spans="1:1" ht="15.75" x14ac:dyDescent="0.25">
      <c r="A1271" s="699"/>
    </row>
    <row r="1272" spans="1:1" ht="15.75" x14ac:dyDescent="0.25">
      <c r="A1272" s="699"/>
    </row>
    <row r="1273" spans="1:1" ht="15.75" x14ac:dyDescent="0.25">
      <c r="A1273" s="699"/>
    </row>
    <row r="1274" spans="1:1" ht="15.75" x14ac:dyDescent="0.25">
      <c r="A1274" s="699"/>
    </row>
    <row r="1275" spans="1:1" ht="15.75" x14ac:dyDescent="0.25">
      <c r="A1275" s="699"/>
    </row>
    <row r="1276" spans="1:1" ht="15.75" x14ac:dyDescent="0.25">
      <c r="A1276" s="699"/>
    </row>
    <row r="1277" spans="1:1" ht="15.75" x14ac:dyDescent="0.25">
      <c r="A1277" s="699"/>
    </row>
    <row r="1278" spans="1:1" ht="15.75" x14ac:dyDescent="0.25">
      <c r="A1278" s="699"/>
    </row>
    <row r="1279" spans="1:1" ht="15.75" x14ac:dyDescent="0.25">
      <c r="A1279" s="699"/>
    </row>
    <row r="1280" spans="1:1" ht="15.75" x14ac:dyDescent="0.25">
      <c r="A1280" s="699"/>
    </row>
    <row r="1281" spans="1:1" ht="15.75" x14ac:dyDescent="0.25">
      <c r="A1281" s="699"/>
    </row>
    <row r="1282" spans="1:1" ht="15.75" x14ac:dyDescent="0.25">
      <c r="A1282" s="699"/>
    </row>
    <row r="1283" spans="1:1" ht="15.75" x14ac:dyDescent="0.25">
      <c r="A1283" s="699"/>
    </row>
    <row r="1284" spans="1:1" ht="15.75" x14ac:dyDescent="0.25">
      <c r="A1284" s="699"/>
    </row>
    <row r="1285" spans="1:1" ht="15.75" x14ac:dyDescent="0.25">
      <c r="A1285" s="699"/>
    </row>
    <row r="1286" spans="1:1" ht="15.75" x14ac:dyDescent="0.25">
      <c r="A1286" s="699"/>
    </row>
    <row r="1287" spans="1:1" ht="15.75" x14ac:dyDescent="0.25">
      <c r="A1287" s="699"/>
    </row>
    <row r="1288" spans="1:1" ht="15.75" x14ac:dyDescent="0.25">
      <c r="A1288" s="699"/>
    </row>
    <row r="1289" spans="1:1" ht="15.75" x14ac:dyDescent="0.25">
      <c r="A1289" s="699"/>
    </row>
    <row r="1290" spans="1:1" ht="15.75" x14ac:dyDescent="0.25">
      <c r="A1290" s="699"/>
    </row>
    <row r="1291" spans="1:1" ht="15.75" x14ac:dyDescent="0.25">
      <c r="A1291" s="699"/>
    </row>
    <row r="1292" spans="1:1" ht="15.75" x14ac:dyDescent="0.25">
      <c r="A1292" s="699"/>
    </row>
    <row r="1293" spans="1:1" ht="15.75" x14ac:dyDescent="0.25">
      <c r="A1293" s="699"/>
    </row>
    <row r="1294" spans="1:1" ht="15.75" x14ac:dyDescent="0.25">
      <c r="A1294" s="699"/>
    </row>
    <row r="1295" spans="1:1" ht="15.75" x14ac:dyDescent="0.25">
      <c r="A1295" s="699"/>
    </row>
    <row r="1296" spans="1:1" ht="15.75" x14ac:dyDescent="0.25">
      <c r="A1296" s="699"/>
    </row>
    <row r="1297" spans="1:1" ht="15.75" x14ac:dyDescent="0.25">
      <c r="A1297" s="699"/>
    </row>
    <row r="1298" spans="1:1" ht="15.75" x14ac:dyDescent="0.25">
      <c r="A1298" s="699"/>
    </row>
    <row r="1299" spans="1:1" ht="15.75" x14ac:dyDescent="0.25">
      <c r="A1299" s="699"/>
    </row>
    <row r="1300" spans="1:1" ht="15.75" x14ac:dyDescent="0.25">
      <c r="A1300" s="699"/>
    </row>
    <row r="1301" spans="1:1" ht="15.75" x14ac:dyDescent="0.25">
      <c r="A1301" s="699"/>
    </row>
    <row r="1302" spans="1:1" ht="15.75" x14ac:dyDescent="0.25">
      <c r="A1302" s="699"/>
    </row>
    <row r="1303" spans="1:1" ht="15.75" x14ac:dyDescent="0.25">
      <c r="A1303" s="699"/>
    </row>
    <row r="1304" spans="1:1" ht="15.75" x14ac:dyDescent="0.25">
      <c r="A1304" s="699"/>
    </row>
    <row r="1305" spans="1:1" ht="15.75" x14ac:dyDescent="0.25">
      <c r="A1305" s="699"/>
    </row>
    <row r="1306" spans="1:1" ht="15.75" x14ac:dyDescent="0.25">
      <c r="A1306" s="699"/>
    </row>
    <row r="1307" spans="1:1" ht="15.75" x14ac:dyDescent="0.25">
      <c r="A1307" s="699"/>
    </row>
    <row r="1308" spans="1:1" ht="15.75" x14ac:dyDescent="0.25">
      <c r="A1308" s="699"/>
    </row>
    <row r="1309" spans="1:1" ht="15.75" x14ac:dyDescent="0.25">
      <c r="A1309" s="699"/>
    </row>
    <row r="1310" spans="1:1" ht="15.75" x14ac:dyDescent="0.25">
      <c r="A1310" s="699"/>
    </row>
    <row r="1311" spans="1:1" ht="15.75" x14ac:dyDescent="0.25">
      <c r="A1311" s="699"/>
    </row>
    <row r="1312" spans="1:1" ht="15.75" x14ac:dyDescent="0.25">
      <c r="A1312" s="699"/>
    </row>
    <row r="1313" spans="1:1" ht="15.75" x14ac:dyDescent="0.25">
      <c r="A1313" s="699"/>
    </row>
    <row r="1314" spans="1:1" ht="15.75" x14ac:dyDescent="0.25">
      <c r="A1314" s="699"/>
    </row>
    <row r="1315" spans="1:1" ht="15.75" x14ac:dyDescent="0.25">
      <c r="A1315" s="699"/>
    </row>
    <row r="1316" spans="1:1" ht="15.75" x14ac:dyDescent="0.25">
      <c r="A1316" s="699"/>
    </row>
    <row r="1317" spans="1:1" ht="15.75" x14ac:dyDescent="0.25">
      <c r="A1317" s="699"/>
    </row>
    <row r="1318" spans="1:1" ht="15.75" x14ac:dyDescent="0.25">
      <c r="A1318" s="699"/>
    </row>
    <row r="1319" spans="1:1" ht="15.75" x14ac:dyDescent="0.25">
      <c r="A1319" s="699"/>
    </row>
    <row r="1320" spans="1:1" ht="15.75" x14ac:dyDescent="0.25">
      <c r="A1320" s="699"/>
    </row>
    <row r="1321" spans="1:1" ht="15.75" x14ac:dyDescent="0.25">
      <c r="A1321" s="699"/>
    </row>
    <row r="1322" spans="1:1" ht="15.75" x14ac:dyDescent="0.25">
      <c r="A1322" s="699"/>
    </row>
    <row r="1323" spans="1:1" ht="15.75" x14ac:dyDescent="0.25">
      <c r="A1323" s="699"/>
    </row>
    <row r="1324" spans="1:1" ht="15.75" x14ac:dyDescent="0.25">
      <c r="A1324" s="699"/>
    </row>
    <row r="1325" spans="1:1" ht="15.75" x14ac:dyDescent="0.25">
      <c r="A1325" s="699"/>
    </row>
    <row r="1326" spans="1:1" ht="15.75" x14ac:dyDescent="0.25">
      <c r="A1326" s="699"/>
    </row>
    <row r="1327" spans="1:1" ht="15.75" x14ac:dyDescent="0.25">
      <c r="A1327" s="699"/>
    </row>
    <row r="1328" spans="1:1" ht="15.75" x14ac:dyDescent="0.25">
      <c r="A1328" s="699"/>
    </row>
    <row r="1329" spans="1:1" ht="15.75" x14ac:dyDescent="0.25">
      <c r="A1329" s="699"/>
    </row>
    <row r="1330" spans="1:1" ht="15.75" x14ac:dyDescent="0.25">
      <c r="A1330" s="699"/>
    </row>
    <row r="1331" spans="1:1" ht="15.75" x14ac:dyDescent="0.25">
      <c r="A1331" s="699"/>
    </row>
    <row r="1332" spans="1:1" ht="15.75" x14ac:dyDescent="0.25">
      <c r="A1332" s="699"/>
    </row>
    <row r="1333" spans="1:1" ht="15.75" x14ac:dyDescent="0.25">
      <c r="A1333" s="699"/>
    </row>
    <row r="1334" spans="1:1" ht="15.75" x14ac:dyDescent="0.25">
      <c r="A1334" s="699"/>
    </row>
    <row r="1335" spans="1:1" ht="15.75" x14ac:dyDescent="0.25">
      <c r="A1335" s="699"/>
    </row>
    <row r="1336" spans="1:1" ht="15.75" x14ac:dyDescent="0.25">
      <c r="A1336" s="699"/>
    </row>
    <row r="1337" spans="1:1" ht="15.75" x14ac:dyDescent="0.25">
      <c r="A1337" s="699"/>
    </row>
    <row r="1338" spans="1:1" ht="15.75" x14ac:dyDescent="0.25">
      <c r="A1338" s="699"/>
    </row>
    <row r="1339" spans="1:1" ht="15.75" x14ac:dyDescent="0.25">
      <c r="A1339" s="699"/>
    </row>
    <row r="1340" spans="1:1" ht="15.75" x14ac:dyDescent="0.25">
      <c r="A1340" s="699"/>
    </row>
    <row r="1341" spans="1:1" ht="15.75" x14ac:dyDescent="0.25">
      <c r="A1341" s="699"/>
    </row>
    <row r="1342" spans="1:1" ht="15.75" x14ac:dyDescent="0.25">
      <c r="A1342" s="699"/>
    </row>
    <row r="1343" spans="1:1" ht="15.75" x14ac:dyDescent="0.25">
      <c r="A1343" s="699"/>
    </row>
    <row r="1344" spans="1:1" ht="15.75" x14ac:dyDescent="0.25">
      <c r="A1344" s="699"/>
    </row>
    <row r="1345" spans="1:1" ht="15.75" x14ac:dyDescent="0.25">
      <c r="A1345" s="699"/>
    </row>
    <row r="1346" spans="1:1" ht="15.75" x14ac:dyDescent="0.25">
      <c r="A1346" s="699"/>
    </row>
    <row r="1347" spans="1:1" ht="15.75" x14ac:dyDescent="0.25">
      <c r="A1347" s="699"/>
    </row>
    <row r="1348" spans="1:1" ht="15.75" x14ac:dyDescent="0.25">
      <c r="A1348" s="699"/>
    </row>
    <row r="1349" spans="1:1" ht="15.75" x14ac:dyDescent="0.25">
      <c r="A1349" s="699"/>
    </row>
    <row r="1350" spans="1:1" ht="15.75" x14ac:dyDescent="0.25">
      <c r="A1350" s="699"/>
    </row>
    <row r="1351" spans="1:1" ht="15.75" x14ac:dyDescent="0.25">
      <c r="A1351" s="699"/>
    </row>
    <row r="1352" spans="1:1" ht="15.75" x14ac:dyDescent="0.25">
      <c r="A1352" s="699"/>
    </row>
    <row r="1353" spans="1:1" ht="15.75" x14ac:dyDescent="0.25">
      <c r="A1353" s="699"/>
    </row>
    <row r="1354" spans="1:1" ht="15.75" x14ac:dyDescent="0.25">
      <c r="A1354" s="699"/>
    </row>
    <row r="1355" spans="1:1" ht="15.75" x14ac:dyDescent="0.25">
      <c r="A1355" s="699"/>
    </row>
    <row r="1356" spans="1:1" ht="15.75" x14ac:dyDescent="0.25">
      <c r="A1356" s="699"/>
    </row>
    <row r="1357" spans="1:1" ht="15.75" x14ac:dyDescent="0.25">
      <c r="A1357" s="699"/>
    </row>
    <row r="1358" spans="1:1" ht="15.75" x14ac:dyDescent="0.25">
      <c r="A1358" s="699"/>
    </row>
    <row r="1359" spans="1:1" ht="15.75" x14ac:dyDescent="0.25">
      <c r="A1359" s="699"/>
    </row>
    <row r="1360" spans="1:1" ht="15.75" x14ac:dyDescent="0.25">
      <c r="A1360" s="699"/>
    </row>
    <row r="1361" spans="1:1" ht="15.75" x14ac:dyDescent="0.25">
      <c r="A1361" s="699"/>
    </row>
    <row r="1362" spans="1:1" ht="15.75" x14ac:dyDescent="0.25">
      <c r="A1362" s="699"/>
    </row>
    <row r="1363" spans="1:1" ht="15.75" x14ac:dyDescent="0.25">
      <c r="A1363" s="699"/>
    </row>
    <row r="1364" spans="1:1" ht="15.75" x14ac:dyDescent="0.25">
      <c r="A1364" s="699"/>
    </row>
    <row r="1365" spans="1:1" ht="15.75" x14ac:dyDescent="0.25">
      <c r="A1365" s="699"/>
    </row>
    <row r="1366" spans="1:1" ht="15.75" x14ac:dyDescent="0.25">
      <c r="A1366" s="699"/>
    </row>
    <row r="1367" spans="1:1" ht="15.75" x14ac:dyDescent="0.25">
      <c r="A1367" s="699"/>
    </row>
    <row r="1368" spans="1:1" ht="15.75" x14ac:dyDescent="0.25">
      <c r="A1368" s="699"/>
    </row>
    <row r="1369" spans="1:1" ht="15.75" x14ac:dyDescent="0.25">
      <c r="A1369" s="699"/>
    </row>
    <row r="1370" spans="1:1" ht="15.75" x14ac:dyDescent="0.25">
      <c r="A1370" s="699"/>
    </row>
    <row r="1371" spans="1:1" ht="15.75" x14ac:dyDescent="0.25">
      <c r="A1371" s="699"/>
    </row>
    <row r="1372" spans="1:1" ht="15.75" x14ac:dyDescent="0.25">
      <c r="A1372" s="699"/>
    </row>
    <row r="1373" spans="1:1" ht="15.75" x14ac:dyDescent="0.25">
      <c r="A1373" s="699"/>
    </row>
    <row r="1374" spans="1:1" ht="15.75" x14ac:dyDescent="0.25">
      <c r="A1374" s="699"/>
    </row>
    <row r="1375" spans="1:1" ht="15.75" x14ac:dyDescent="0.25">
      <c r="A1375" s="699"/>
    </row>
    <row r="1376" spans="1:1" ht="15.75" x14ac:dyDescent="0.25">
      <c r="A1376" s="699"/>
    </row>
    <row r="1377" spans="1:1" ht="15.75" x14ac:dyDescent="0.25">
      <c r="A1377" s="699"/>
    </row>
    <row r="1378" spans="1:1" ht="15.75" x14ac:dyDescent="0.25">
      <c r="A1378" s="699"/>
    </row>
    <row r="1379" spans="1:1" ht="15.75" x14ac:dyDescent="0.25">
      <c r="A1379" s="699"/>
    </row>
    <row r="1380" spans="1:1" ht="15.75" x14ac:dyDescent="0.25">
      <c r="A1380" s="699"/>
    </row>
    <row r="1381" spans="1:1" ht="15.75" x14ac:dyDescent="0.25">
      <c r="A1381" s="699"/>
    </row>
    <row r="1382" spans="1:1" ht="15.75" x14ac:dyDescent="0.25">
      <c r="A1382" s="699"/>
    </row>
    <row r="1383" spans="1:1" ht="15.75" x14ac:dyDescent="0.25">
      <c r="A1383" s="699"/>
    </row>
    <row r="1384" spans="1:1" ht="15.75" x14ac:dyDescent="0.25">
      <c r="A1384" s="699"/>
    </row>
    <row r="1385" spans="1:1" ht="15.75" x14ac:dyDescent="0.25">
      <c r="A1385" s="699"/>
    </row>
    <row r="1386" spans="1:1" ht="15.75" x14ac:dyDescent="0.25">
      <c r="A1386" s="699"/>
    </row>
    <row r="1387" spans="1:1" ht="15.75" x14ac:dyDescent="0.25">
      <c r="A1387" s="699"/>
    </row>
    <row r="1388" spans="1:1" ht="15.75" x14ac:dyDescent="0.25">
      <c r="A1388" s="699"/>
    </row>
    <row r="1389" spans="1:1" ht="15.75" x14ac:dyDescent="0.25">
      <c r="A1389" s="699"/>
    </row>
    <row r="1390" spans="1:1" ht="15.75" x14ac:dyDescent="0.25">
      <c r="A1390" s="699"/>
    </row>
    <row r="1391" spans="1:1" ht="15.75" x14ac:dyDescent="0.25">
      <c r="A1391" s="699"/>
    </row>
    <row r="1392" spans="1:1" ht="15.75" x14ac:dyDescent="0.25">
      <c r="A1392" s="699"/>
    </row>
    <row r="1393" spans="1:1" ht="15.75" x14ac:dyDescent="0.25">
      <c r="A1393" s="699"/>
    </row>
    <row r="1394" spans="1:1" ht="15.75" x14ac:dyDescent="0.25">
      <c r="A1394" s="699"/>
    </row>
    <row r="1395" spans="1:1" ht="15.75" x14ac:dyDescent="0.25">
      <c r="A1395" s="699"/>
    </row>
    <row r="1396" spans="1:1" ht="15.75" x14ac:dyDescent="0.25">
      <c r="A1396" s="699"/>
    </row>
    <row r="1397" spans="1:1" ht="15.75" x14ac:dyDescent="0.25">
      <c r="A1397" s="699"/>
    </row>
    <row r="1398" spans="1:1" ht="15.75" x14ac:dyDescent="0.25">
      <c r="A1398" s="699"/>
    </row>
    <row r="1399" spans="1:1" ht="15.75" x14ac:dyDescent="0.25">
      <c r="A1399" s="699"/>
    </row>
    <row r="1400" spans="1:1" ht="15.75" x14ac:dyDescent="0.25">
      <c r="A1400" s="699"/>
    </row>
    <row r="1401" spans="1:1" ht="15.75" x14ac:dyDescent="0.25">
      <c r="A1401" s="699"/>
    </row>
    <row r="1402" spans="1:1" ht="15.75" x14ac:dyDescent="0.25">
      <c r="A1402" s="699"/>
    </row>
    <row r="1403" spans="1:1" ht="15.75" x14ac:dyDescent="0.25">
      <c r="A1403" s="699"/>
    </row>
    <row r="1404" spans="1:1" ht="15.75" x14ac:dyDescent="0.25">
      <c r="A1404" s="699"/>
    </row>
    <row r="1405" spans="1:1" ht="15.75" x14ac:dyDescent="0.25">
      <c r="A1405" s="699"/>
    </row>
    <row r="1406" spans="1:1" ht="15.75" x14ac:dyDescent="0.25">
      <c r="A1406" s="699"/>
    </row>
    <row r="1407" spans="1:1" ht="15.75" x14ac:dyDescent="0.25">
      <c r="A1407" s="699"/>
    </row>
    <row r="1408" spans="1:1" ht="15.75" x14ac:dyDescent="0.25">
      <c r="A1408" s="699"/>
    </row>
    <row r="1409" spans="1:1" ht="15.75" x14ac:dyDescent="0.25">
      <c r="A1409" s="699"/>
    </row>
    <row r="1410" spans="1:1" ht="15.75" x14ac:dyDescent="0.25">
      <c r="A1410" s="699"/>
    </row>
    <row r="1411" spans="1:1" ht="15.75" x14ac:dyDescent="0.25">
      <c r="A1411" s="699"/>
    </row>
    <row r="1412" spans="1:1" ht="15.75" x14ac:dyDescent="0.25">
      <c r="A1412" s="699"/>
    </row>
    <row r="1413" spans="1:1" ht="15.75" x14ac:dyDescent="0.25">
      <c r="A1413" s="699"/>
    </row>
    <row r="1414" spans="1:1" ht="15.75" x14ac:dyDescent="0.25">
      <c r="A1414" s="699"/>
    </row>
    <row r="1415" spans="1:1" ht="15.75" x14ac:dyDescent="0.25">
      <c r="A1415" s="699"/>
    </row>
    <row r="1416" spans="1:1" ht="15.75" x14ac:dyDescent="0.25">
      <c r="A1416" s="699"/>
    </row>
    <row r="1417" spans="1:1" ht="15.75" x14ac:dyDescent="0.25">
      <c r="A1417" s="699"/>
    </row>
    <row r="1418" spans="1:1" ht="15.75" x14ac:dyDescent="0.25">
      <c r="A1418" s="699"/>
    </row>
    <row r="1419" spans="1:1" ht="15.75" x14ac:dyDescent="0.25">
      <c r="A1419" s="699"/>
    </row>
    <row r="1420" spans="1:1" ht="15.75" x14ac:dyDescent="0.25">
      <c r="A1420" s="699"/>
    </row>
    <row r="1421" spans="1:1" ht="15.75" x14ac:dyDescent="0.25">
      <c r="A1421" s="699"/>
    </row>
    <row r="1422" spans="1:1" ht="15.75" x14ac:dyDescent="0.25">
      <c r="A1422" s="699"/>
    </row>
    <row r="1423" spans="1:1" ht="15.75" x14ac:dyDescent="0.25">
      <c r="A1423" s="699"/>
    </row>
    <row r="1424" spans="1:1" ht="15.75" x14ac:dyDescent="0.25">
      <c r="A1424" s="699"/>
    </row>
    <row r="1425" spans="1:1" ht="15.75" x14ac:dyDescent="0.25">
      <c r="A1425" s="699"/>
    </row>
    <row r="1426" spans="1:1" ht="15.75" x14ac:dyDescent="0.25">
      <c r="A1426" s="699"/>
    </row>
    <row r="1427" spans="1:1" ht="15.75" x14ac:dyDescent="0.25">
      <c r="A1427" s="699"/>
    </row>
    <row r="1428" spans="1:1" ht="15.75" x14ac:dyDescent="0.25">
      <c r="A1428" s="699"/>
    </row>
    <row r="1429" spans="1:1" ht="15.75" x14ac:dyDescent="0.25">
      <c r="A1429" s="699"/>
    </row>
    <row r="1430" spans="1:1" ht="15.75" x14ac:dyDescent="0.25">
      <c r="A1430" s="699"/>
    </row>
    <row r="1431" spans="1:1" ht="15.75" x14ac:dyDescent="0.25">
      <c r="A1431" s="699"/>
    </row>
    <row r="1432" spans="1:1" ht="15.75" x14ac:dyDescent="0.25">
      <c r="A1432" s="699"/>
    </row>
    <row r="1433" spans="1:1" ht="15.75" x14ac:dyDescent="0.25">
      <c r="A1433" s="699"/>
    </row>
    <row r="1434" spans="1:1" ht="15.75" x14ac:dyDescent="0.25">
      <c r="A1434" s="699"/>
    </row>
    <row r="1435" spans="1:1" ht="15.75" x14ac:dyDescent="0.25">
      <c r="A1435" s="699"/>
    </row>
    <row r="1436" spans="1:1" ht="15.75" x14ac:dyDescent="0.25">
      <c r="A1436" s="699"/>
    </row>
    <row r="1437" spans="1:1" ht="15.75" x14ac:dyDescent="0.25">
      <c r="A1437" s="699"/>
    </row>
    <row r="1438" spans="1:1" ht="15.75" x14ac:dyDescent="0.25">
      <c r="A1438" s="699"/>
    </row>
    <row r="1439" spans="1:1" ht="15.75" x14ac:dyDescent="0.25">
      <c r="A1439" s="699"/>
    </row>
    <row r="1440" spans="1:1" ht="15.75" x14ac:dyDescent="0.25">
      <c r="A1440" s="699"/>
    </row>
    <row r="1441" spans="1:1" ht="15.75" x14ac:dyDescent="0.25">
      <c r="A1441" s="699"/>
    </row>
    <row r="1442" spans="1:1" ht="15.75" x14ac:dyDescent="0.25">
      <c r="A1442" s="699"/>
    </row>
    <row r="1443" spans="1:1" ht="15.75" x14ac:dyDescent="0.25">
      <c r="A1443" s="699"/>
    </row>
    <row r="1444" spans="1:1" ht="15.75" x14ac:dyDescent="0.25">
      <c r="A1444" s="699"/>
    </row>
    <row r="1445" spans="1:1" ht="15.75" x14ac:dyDescent="0.25">
      <c r="A1445" s="699"/>
    </row>
    <row r="1446" spans="1:1" ht="15.75" x14ac:dyDescent="0.25">
      <c r="A1446" s="699"/>
    </row>
    <row r="1447" spans="1:1" ht="15.75" x14ac:dyDescent="0.25">
      <c r="A1447" s="699"/>
    </row>
    <row r="1448" spans="1:1" ht="15.75" x14ac:dyDescent="0.25">
      <c r="A1448" s="699"/>
    </row>
    <row r="1449" spans="1:1" ht="15.75" x14ac:dyDescent="0.25">
      <c r="A1449" s="699"/>
    </row>
    <row r="1450" spans="1:1" ht="15.75" x14ac:dyDescent="0.25">
      <c r="A1450" s="699"/>
    </row>
    <row r="1451" spans="1:1" ht="15.75" x14ac:dyDescent="0.25">
      <c r="A1451" s="699"/>
    </row>
    <row r="1452" spans="1:1" ht="15.75" x14ac:dyDescent="0.25">
      <c r="A1452" s="699"/>
    </row>
    <row r="1453" spans="1:1" ht="15.75" x14ac:dyDescent="0.25">
      <c r="A1453" s="699"/>
    </row>
    <row r="1454" spans="1:1" ht="15.75" x14ac:dyDescent="0.25">
      <c r="A1454" s="699"/>
    </row>
    <row r="1455" spans="1:1" ht="15.75" x14ac:dyDescent="0.25">
      <c r="A1455" s="699"/>
    </row>
    <row r="1456" spans="1:1" ht="15.75" x14ac:dyDescent="0.25">
      <c r="A1456" s="699"/>
    </row>
    <row r="1457" spans="1:1" ht="15.75" x14ac:dyDescent="0.25">
      <c r="A1457" s="699"/>
    </row>
    <row r="1458" spans="1:1" ht="15.75" x14ac:dyDescent="0.25">
      <c r="A1458" s="699"/>
    </row>
    <row r="1459" spans="1:1" ht="15.75" x14ac:dyDescent="0.25">
      <c r="A1459" s="699"/>
    </row>
    <row r="1460" spans="1:1" ht="15.75" x14ac:dyDescent="0.25">
      <c r="A1460" s="699"/>
    </row>
    <row r="1461" spans="1:1" ht="15.75" x14ac:dyDescent="0.25">
      <c r="A1461" s="699"/>
    </row>
    <row r="1462" spans="1:1" ht="15.75" x14ac:dyDescent="0.25">
      <c r="A1462" s="699"/>
    </row>
    <row r="1463" spans="1:1" ht="15.75" x14ac:dyDescent="0.25">
      <c r="A1463" s="699"/>
    </row>
    <row r="1464" spans="1:1" ht="15.75" x14ac:dyDescent="0.25">
      <c r="A1464" s="699"/>
    </row>
    <row r="1465" spans="1:1" ht="15.75" x14ac:dyDescent="0.25">
      <c r="A1465" s="699"/>
    </row>
    <row r="1466" spans="1:1" ht="15.75" x14ac:dyDescent="0.25">
      <c r="A1466" s="699"/>
    </row>
    <row r="1467" spans="1:1" ht="15.75" x14ac:dyDescent="0.25">
      <c r="A1467" s="699"/>
    </row>
    <row r="1468" spans="1:1" ht="15.75" x14ac:dyDescent="0.25">
      <c r="A1468" s="699"/>
    </row>
    <row r="1469" spans="1:1" ht="15.75" x14ac:dyDescent="0.25">
      <c r="A1469" s="699"/>
    </row>
    <row r="1470" spans="1:1" ht="15.75" x14ac:dyDescent="0.25">
      <c r="A1470" s="699"/>
    </row>
    <row r="1471" spans="1:1" ht="15.75" x14ac:dyDescent="0.25">
      <c r="A1471" s="699"/>
    </row>
    <row r="1472" spans="1:1" ht="15.75" x14ac:dyDescent="0.25">
      <c r="A1472" s="699"/>
    </row>
    <row r="1473" spans="1:1" ht="15.75" x14ac:dyDescent="0.25">
      <c r="A1473" s="699"/>
    </row>
    <row r="1474" spans="1:1" ht="15.75" x14ac:dyDescent="0.25">
      <c r="A1474" s="699"/>
    </row>
    <row r="1475" spans="1:1" ht="15.75" x14ac:dyDescent="0.25">
      <c r="A1475" s="699"/>
    </row>
    <row r="1476" spans="1:1" ht="15.75" x14ac:dyDescent="0.25">
      <c r="A1476" s="699"/>
    </row>
    <row r="1477" spans="1:1" ht="15.75" x14ac:dyDescent="0.25">
      <c r="A1477" s="699"/>
    </row>
    <row r="1478" spans="1:1" ht="15.75" x14ac:dyDescent="0.25">
      <c r="A1478" s="699"/>
    </row>
    <row r="1479" spans="1:1" ht="15.75" x14ac:dyDescent="0.25">
      <c r="A1479" s="699"/>
    </row>
    <row r="1480" spans="1:1" ht="15.75" x14ac:dyDescent="0.25">
      <c r="A1480" s="699"/>
    </row>
    <row r="1481" spans="1:1" ht="15.75" x14ac:dyDescent="0.25">
      <c r="A1481" s="699"/>
    </row>
    <row r="1482" spans="1:1" ht="15.75" x14ac:dyDescent="0.25">
      <c r="A1482" s="699"/>
    </row>
    <row r="1483" spans="1:1" ht="15.75" x14ac:dyDescent="0.25">
      <c r="A1483" s="699"/>
    </row>
    <row r="1484" spans="1:1" ht="15.75" x14ac:dyDescent="0.25">
      <c r="A1484" s="699"/>
    </row>
    <row r="1485" spans="1:1" ht="15.75" x14ac:dyDescent="0.25">
      <c r="A1485" s="699"/>
    </row>
    <row r="1486" spans="1:1" ht="15.75" x14ac:dyDescent="0.25">
      <c r="A1486" s="699"/>
    </row>
    <row r="1487" spans="1:1" ht="15.75" x14ac:dyDescent="0.25">
      <c r="A1487" s="699"/>
    </row>
    <row r="1488" spans="1:1" ht="15.75" x14ac:dyDescent="0.25">
      <c r="A1488" s="699"/>
    </row>
    <row r="1489" spans="1:1" ht="15.75" x14ac:dyDescent="0.25">
      <c r="A1489" s="699"/>
    </row>
    <row r="1490" spans="1:1" ht="15.75" x14ac:dyDescent="0.25">
      <c r="A1490" s="699"/>
    </row>
    <row r="1491" spans="1:1" ht="15.75" x14ac:dyDescent="0.25">
      <c r="A1491" s="699"/>
    </row>
    <row r="1492" spans="1:1" ht="15.75" x14ac:dyDescent="0.25">
      <c r="A1492" s="699"/>
    </row>
    <row r="1493" spans="1:1" ht="15.75" x14ac:dyDescent="0.25">
      <c r="A1493" s="699"/>
    </row>
    <row r="1494" spans="1:1" ht="15.75" x14ac:dyDescent="0.25">
      <c r="A1494" s="699"/>
    </row>
    <row r="1495" spans="1:1" ht="15.75" x14ac:dyDescent="0.25">
      <c r="A1495" s="699"/>
    </row>
    <row r="1496" spans="1:1" ht="15.75" x14ac:dyDescent="0.25">
      <c r="A1496" s="699"/>
    </row>
    <row r="1497" spans="1:1" ht="15.75" x14ac:dyDescent="0.25">
      <c r="A1497" s="699"/>
    </row>
    <row r="1498" spans="1:1" ht="15.75" x14ac:dyDescent="0.25">
      <c r="A1498" s="699"/>
    </row>
    <row r="1499" spans="1:1" ht="15.75" x14ac:dyDescent="0.25">
      <c r="A1499" s="699"/>
    </row>
    <row r="1500" spans="1:1" ht="15.75" x14ac:dyDescent="0.25">
      <c r="A1500" s="699"/>
    </row>
    <row r="1501" spans="1:1" ht="15.75" x14ac:dyDescent="0.25">
      <c r="A1501" s="699"/>
    </row>
    <row r="1502" spans="1:1" ht="15.75" x14ac:dyDescent="0.25">
      <c r="A1502" s="699"/>
    </row>
    <row r="1503" spans="1:1" ht="15.75" x14ac:dyDescent="0.25">
      <c r="A1503" s="699"/>
    </row>
    <row r="1504" spans="1:1" ht="15.75" x14ac:dyDescent="0.25">
      <c r="A1504" s="699"/>
    </row>
    <row r="1505" spans="1:1" ht="15.75" x14ac:dyDescent="0.25">
      <c r="A1505" s="699"/>
    </row>
    <row r="1506" spans="1:1" ht="15.75" x14ac:dyDescent="0.25">
      <c r="A1506" s="699"/>
    </row>
    <row r="1507" spans="1:1" ht="15.75" x14ac:dyDescent="0.25">
      <c r="A1507" s="699"/>
    </row>
    <row r="1508" spans="1:1" ht="15.75" x14ac:dyDescent="0.25">
      <c r="A1508" s="699"/>
    </row>
    <row r="1509" spans="1:1" ht="15.75" x14ac:dyDescent="0.25">
      <c r="A1509" s="699"/>
    </row>
    <row r="1510" spans="1:1" ht="15.75" x14ac:dyDescent="0.25">
      <c r="A1510" s="699"/>
    </row>
    <row r="1511" spans="1:1" ht="15.75" x14ac:dyDescent="0.25">
      <c r="A1511" s="699"/>
    </row>
    <row r="1512" spans="1:1" ht="15.75" x14ac:dyDescent="0.25">
      <c r="A1512" s="699"/>
    </row>
    <row r="1513" spans="1:1" ht="15.75" x14ac:dyDescent="0.25">
      <c r="A1513" s="699"/>
    </row>
    <row r="1514" spans="1:1" ht="15.75" x14ac:dyDescent="0.25">
      <c r="A1514" s="699"/>
    </row>
    <row r="1515" spans="1:1" ht="15.75" x14ac:dyDescent="0.25">
      <c r="A1515" s="699"/>
    </row>
    <row r="1516" spans="1:1" ht="15.75" x14ac:dyDescent="0.25">
      <c r="A1516" s="699"/>
    </row>
    <row r="1517" spans="1:1" ht="15.75" x14ac:dyDescent="0.25">
      <c r="A1517" s="699"/>
    </row>
    <row r="1518" spans="1:1" ht="15.75" x14ac:dyDescent="0.25">
      <c r="A1518" s="699"/>
    </row>
    <row r="1519" spans="1:1" ht="15.75" x14ac:dyDescent="0.25">
      <c r="A1519" s="699"/>
    </row>
    <row r="1520" spans="1:1" ht="15.75" x14ac:dyDescent="0.25">
      <c r="A1520" s="699"/>
    </row>
    <row r="1521" spans="1:1" ht="15.75" x14ac:dyDescent="0.25">
      <c r="A1521" s="699"/>
    </row>
    <row r="1522" spans="1:1" ht="15.75" x14ac:dyDescent="0.25">
      <c r="A1522" s="699"/>
    </row>
    <row r="1523" spans="1:1" ht="15.75" x14ac:dyDescent="0.25">
      <c r="A1523" s="699"/>
    </row>
    <row r="1524" spans="1:1" ht="15.75" x14ac:dyDescent="0.25">
      <c r="A1524" s="699"/>
    </row>
    <row r="1525" spans="1:1" ht="15.75" x14ac:dyDescent="0.25">
      <c r="A1525" s="699"/>
    </row>
    <row r="1526" spans="1:1" ht="15.75" x14ac:dyDescent="0.25">
      <c r="A1526" s="699"/>
    </row>
    <row r="1527" spans="1:1" ht="15.75" x14ac:dyDescent="0.25">
      <c r="A1527" s="699"/>
    </row>
    <row r="1528" spans="1:1" ht="15.75" x14ac:dyDescent="0.25">
      <c r="A1528" s="699"/>
    </row>
    <row r="1529" spans="1:1" ht="15.75" x14ac:dyDescent="0.25">
      <c r="A1529" s="699"/>
    </row>
    <row r="1530" spans="1:1" ht="15.75" x14ac:dyDescent="0.25">
      <c r="A1530" s="699"/>
    </row>
    <row r="1531" spans="1:1" ht="15.75" x14ac:dyDescent="0.25">
      <c r="A1531" s="699"/>
    </row>
    <row r="1532" spans="1:1" ht="15.75" x14ac:dyDescent="0.25">
      <c r="A1532" s="699"/>
    </row>
    <row r="1533" spans="1:1" ht="15.75" x14ac:dyDescent="0.25">
      <c r="A1533" s="699"/>
    </row>
    <row r="1534" spans="1:1" ht="15.75" x14ac:dyDescent="0.25">
      <c r="A1534" s="699"/>
    </row>
    <row r="1535" spans="1:1" ht="15.75" x14ac:dyDescent="0.25">
      <c r="A1535" s="699"/>
    </row>
    <row r="1536" spans="1:1" ht="15.75" x14ac:dyDescent="0.25">
      <c r="A1536" s="699"/>
    </row>
    <row r="1537" spans="1:1" ht="15.75" x14ac:dyDescent="0.25">
      <c r="A1537" s="699"/>
    </row>
    <row r="1538" spans="1:1" ht="15.75" x14ac:dyDescent="0.25">
      <c r="A1538" s="699"/>
    </row>
    <row r="1539" spans="1:1" ht="15.75" x14ac:dyDescent="0.25">
      <c r="A1539" s="699"/>
    </row>
    <row r="1540" spans="1:1" ht="15.75" x14ac:dyDescent="0.25">
      <c r="A1540" s="699"/>
    </row>
    <row r="1541" spans="1:1" ht="15.75" x14ac:dyDescent="0.25">
      <c r="A1541" s="699"/>
    </row>
    <row r="1542" spans="1:1" ht="15.75" x14ac:dyDescent="0.25">
      <c r="A1542" s="699"/>
    </row>
    <row r="1543" spans="1:1" ht="15.75" x14ac:dyDescent="0.25">
      <c r="A1543" s="699"/>
    </row>
    <row r="1544" spans="1:1" ht="15.75" x14ac:dyDescent="0.25">
      <c r="A1544" s="699"/>
    </row>
    <row r="1545" spans="1:1" ht="15.75" x14ac:dyDescent="0.25">
      <c r="A1545" s="699"/>
    </row>
    <row r="1546" spans="1:1" ht="15.75" x14ac:dyDescent="0.25">
      <c r="A1546" s="699"/>
    </row>
    <row r="1547" spans="1:1" ht="15.75" x14ac:dyDescent="0.25">
      <c r="A1547" s="699"/>
    </row>
    <row r="1548" spans="1:1" ht="15.75" x14ac:dyDescent="0.25">
      <c r="A1548" s="699"/>
    </row>
    <row r="1549" spans="1:1" ht="15.75" x14ac:dyDescent="0.25">
      <c r="A1549" s="699"/>
    </row>
    <row r="1550" spans="1:1" ht="15.75" x14ac:dyDescent="0.25">
      <c r="A1550" s="699"/>
    </row>
    <row r="1551" spans="1:1" ht="15.75" x14ac:dyDescent="0.25">
      <c r="A1551" s="699"/>
    </row>
    <row r="1552" spans="1:1" ht="15.75" x14ac:dyDescent="0.25">
      <c r="A1552" s="699"/>
    </row>
    <row r="1553" spans="1:1" ht="15.75" x14ac:dyDescent="0.25">
      <c r="A1553" s="699"/>
    </row>
    <row r="1554" spans="1:1" ht="15.75" x14ac:dyDescent="0.25">
      <c r="A1554" s="699"/>
    </row>
    <row r="1555" spans="1:1" ht="15.75" x14ac:dyDescent="0.25">
      <c r="A1555" s="699"/>
    </row>
    <row r="1556" spans="1:1" ht="15.75" x14ac:dyDescent="0.25">
      <c r="A1556" s="699"/>
    </row>
    <row r="1557" spans="1:1" ht="15.75" x14ac:dyDescent="0.25">
      <c r="A1557" s="699"/>
    </row>
    <row r="1558" spans="1:1" ht="15.75" x14ac:dyDescent="0.25">
      <c r="A1558" s="699"/>
    </row>
    <row r="1559" spans="1:1" ht="15.75" x14ac:dyDescent="0.25">
      <c r="A1559" s="699"/>
    </row>
    <row r="1560" spans="1:1" ht="15.75" x14ac:dyDescent="0.25">
      <c r="A1560" s="699"/>
    </row>
    <row r="1561" spans="1:1" ht="15.75" x14ac:dyDescent="0.25">
      <c r="A1561" s="699"/>
    </row>
    <row r="1562" spans="1:1" ht="15.75" x14ac:dyDescent="0.25">
      <c r="A1562" s="699"/>
    </row>
    <row r="1563" spans="1:1" ht="15.75" x14ac:dyDescent="0.25">
      <c r="A1563" s="699"/>
    </row>
    <row r="1564" spans="1:1" ht="15.75" x14ac:dyDescent="0.25">
      <c r="A1564" s="699"/>
    </row>
    <row r="1565" spans="1:1" ht="15.75" x14ac:dyDescent="0.25">
      <c r="A1565" s="699"/>
    </row>
    <row r="1566" spans="1:1" ht="15.75" x14ac:dyDescent="0.25">
      <c r="A1566" s="699"/>
    </row>
    <row r="1567" spans="1:1" ht="15.75" x14ac:dyDescent="0.25">
      <c r="A1567" s="699"/>
    </row>
    <row r="1568" spans="1:1" ht="15.75" x14ac:dyDescent="0.25">
      <c r="A1568" s="699"/>
    </row>
    <row r="1569" spans="1:1" ht="15.75" x14ac:dyDescent="0.25">
      <c r="A1569" s="699"/>
    </row>
    <row r="1570" spans="1:1" ht="15.75" x14ac:dyDescent="0.25">
      <c r="A1570" s="699"/>
    </row>
    <row r="1571" spans="1:1" ht="15.75" x14ac:dyDescent="0.25">
      <c r="A1571" s="699"/>
    </row>
    <row r="1572" spans="1:1" ht="15.75" x14ac:dyDescent="0.25">
      <c r="A1572" s="699"/>
    </row>
    <row r="1573" spans="1:1" ht="15.75" x14ac:dyDescent="0.25">
      <c r="A1573" s="699"/>
    </row>
    <row r="1574" spans="1:1" ht="15.75" x14ac:dyDescent="0.25">
      <c r="A1574" s="699"/>
    </row>
    <row r="1575" spans="1:1" ht="15.75" x14ac:dyDescent="0.25">
      <c r="A1575" s="699"/>
    </row>
    <row r="1576" spans="1:1" ht="15.75" x14ac:dyDescent="0.25">
      <c r="A1576" s="699"/>
    </row>
    <row r="1577" spans="1:1" ht="15.75" x14ac:dyDescent="0.25">
      <c r="A1577" s="699"/>
    </row>
    <row r="1578" spans="1:1" ht="15.75" x14ac:dyDescent="0.25">
      <c r="A1578" s="699"/>
    </row>
    <row r="1579" spans="1:1" ht="15.75" x14ac:dyDescent="0.25">
      <c r="A1579" s="699"/>
    </row>
    <row r="1580" spans="1:1" ht="15.75" x14ac:dyDescent="0.25">
      <c r="A1580" s="699"/>
    </row>
    <row r="1581" spans="1:1" ht="15.75" x14ac:dyDescent="0.25">
      <c r="A1581" s="699"/>
    </row>
    <row r="1582" spans="1:1" ht="15.75" x14ac:dyDescent="0.25">
      <c r="A1582" s="699"/>
    </row>
    <row r="1583" spans="1:1" ht="15.75" x14ac:dyDescent="0.25">
      <c r="A1583" s="699"/>
    </row>
    <row r="1584" spans="1:1" ht="15.75" x14ac:dyDescent="0.25">
      <c r="A1584" s="699"/>
    </row>
    <row r="1585" spans="1:1" ht="15.75" x14ac:dyDescent="0.25">
      <c r="A1585" s="699"/>
    </row>
    <row r="1586" spans="1:1" ht="15.75" x14ac:dyDescent="0.25">
      <c r="A1586" s="699"/>
    </row>
    <row r="1587" spans="1:1" ht="15.75" x14ac:dyDescent="0.25">
      <c r="A1587" s="699"/>
    </row>
    <row r="1588" spans="1:1" ht="15.75" x14ac:dyDescent="0.25">
      <c r="A1588" s="699"/>
    </row>
    <row r="1589" spans="1:1" ht="15.75" x14ac:dyDescent="0.25">
      <c r="A1589" s="699"/>
    </row>
    <row r="1590" spans="1:1" ht="15.75" x14ac:dyDescent="0.25">
      <c r="A1590" s="699"/>
    </row>
    <row r="1591" spans="1:1" ht="15.75" x14ac:dyDescent="0.25">
      <c r="A1591" s="699"/>
    </row>
    <row r="1592" spans="1:1" ht="15.75" x14ac:dyDescent="0.25">
      <c r="A1592" s="699"/>
    </row>
    <row r="1593" spans="1:1" ht="15.75" x14ac:dyDescent="0.25">
      <c r="A1593" s="699"/>
    </row>
    <row r="1594" spans="1:1" ht="15.75" x14ac:dyDescent="0.25">
      <c r="A1594" s="699"/>
    </row>
    <row r="1595" spans="1:1" ht="15.75" x14ac:dyDescent="0.25">
      <c r="A1595" s="699"/>
    </row>
    <row r="1596" spans="1:1" ht="15.75" x14ac:dyDescent="0.25">
      <c r="A1596" s="699"/>
    </row>
    <row r="1597" spans="1:1" ht="15.75" x14ac:dyDescent="0.25">
      <c r="A1597" s="699"/>
    </row>
    <row r="1598" spans="1:1" ht="15.75" x14ac:dyDescent="0.25">
      <c r="A1598" s="699"/>
    </row>
    <row r="1599" spans="1:1" ht="15.75" x14ac:dyDescent="0.25">
      <c r="A1599" s="699"/>
    </row>
    <row r="1600" spans="1:1" ht="15.75" x14ac:dyDescent="0.25">
      <c r="A1600" s="699"/>
    </row>
    <row r="1601" spans="1:1" ht="15.75" x14ac:dyDescent="0.25">
      <c r="A1601" s="699"/>
    </row>
    <row r="1602" spans="1:1" ht="15.75" x14ac:dyDescent="0.25">
      <c r="A1602" s="699"/>
    </row>
    <row r="1603" spans="1:1" ht="15.75" x14ac:dyDescent="0.25">
      <c r="A1603" s="699"/>
    </row>
    <row r="1604" spans="1:1" ht="15.75" x14ac:dyDescent="0.25">
      <c r="A1604" s="699"/>
    </row>
    <row r="1605" spans="1:1" ht="15.75" x14ac:dyDescent="0.25">
      <c r="A1605" s="699"/>
    </row>
    <row r="1606" spans="1:1" ht="15.75" x14ac:dyDescent="0.25">
      <c r="A1606" s="699"/>
    </row>
    <row r="1607" spans="1:1" ht="15.75" x14ac:dyDescent="0.25">
      <c r="A1607" s="699"/>
    </row>
    <row r="1608" spans="1:1" ht="15.75" x14ac:dyDescent="0.25">
      <c r="A1608" s="699"/>
    </row>
    <row r="1609" spans="1:1" ht="15.75" x14ac:dyDescent="0.25">
      <c r="A1609" s="699"/>
    </row>
    <row r="1610" spans="1:1" ht="15.75" x14ac:dyDescent="0.25">
      <c r="A1610" s="699"/>
    </row>
    <row r="1611" spans="1:1" ht="15.75" x14ac:dyDescent="0.25">
      <c r="A1611" s="699"/>
    </row>
    <row r="1612" spans="1:1" ht="15.75" x14ac:dyDescent="0.25">
      <c r="A1612" s="699"/>
    </row>
    <row r="1613" spans="1:1" ht="15.75" x14ac:dyDescent="0.25">
      <c r="A1613" s="699"/>
    </row>
    <row r="1614" spans="1:1" ht="15.75" x14ac:dyDescent="0.25">
      <c r="A1614" s="699"/>
    </row>
    <row r="1615" spans="1:1" ht="15.75" x14ac:dyDescent="0.25">
      <c r="A1615" s="699"/>
    </row>
    <row r="1616" spans="1:1" ht="15.75" x14ac:dyDescent="0.25">
      <c r="A1616" s="699"/>
    </row>
    <row r="1617" spans="1:1" ht="15.75" x14ac:dyDescent="0.25">
      <c r="A1617" s="699"/>
    </row>
    <row r="1618" spans="1:1" ht="15.75" x14ac:dyDescent="0.25">
      <c r="A1618" s="699"/>
    </row>
    <row r="1619" spans="1:1" ht="15.75" x14ac:dyDescent="0.25">
      <c r="A1619" s="699"/>
    </row>
    <row r="1620" spans="1:1" ht="15.75" x14ac:dyDescent="0.25">
      <c r="A1620" s="699"/>
    </row>
    <row r="1621" spans="1:1" ht="15.75" x14ac:dyDescent="0.25">
      <c r="A1621" s="699"/>
    </row>
    <row r="1622" spans="1:1" ht="15.75" x14ac:dyDescent="0.25">
      <c r="A1622" s="699"/>
    </row>
    <row r="1623" spans="1:1" ht="15.75" x14ac:dyDescent="0.25">
      <c r="A1623" s="699"/>
    </row>
    <row r="1624" spans="1:1" ht="15.75" x14ac:dyDescent="0.25">
      <c r="A1624" s="699"/>
    </row>
    <row r="1625" spans="1:1" ht="15.75" x14ac:dyDescent="0.25">
      <c r="A1625" s="699"/>
    </row>
    <row r="1626" spans="1:1" ht="15.75" x14ac:dyDescent="0.25">
      <c r="A1626" s="699"/>
    </row>
    <row r="1627" spans="1:1" ht="15.75" x14ac:dyDescent="0.25">
      <c r="A1627" s="699"/>
    </row>
    <row r="1628" spans="1:1" ht="15.75" x14ac:dyDescent="0.25">
      <c r="A1628" s="699"/>
    </row>
    <row r="1629" spans="1:1" ht="15.75" x14ac:dyDescent="0.25">
      <c r="A1629" s="699"/>
    </row>
    <row r="1630" spans="1:1" ht="15.75" x14ac:dyDescent="0.25">
      <c r="A1630" s="699"/>
    </row>
    <row r="1631" spans="1:1" ht="15.75" x14ac:dyDescent="0.25">
      <c r="A1631" s="699"/>
    </row>
    <row r="1632" spans="1:1" ht="15.75" x14ac:dyDescent="0.25">
      <c r="A1632" s="699"/>
    </row>
    <row r="1633" spans="1:1" ht="15.75" x14ac:dyDescent="0.25">
      <c r="A1633" s="699"/>
    </row>
    <row r="1634" spans="1:1" ht="15.75" x14ac:dyDescent="0.25">
      <c r="A1634" s="699"/>
    </row>
    <row r="1635" spans="1:1" ht="15.75" x14ac:dyDescent="0.25">
      <c r="A1635" s="699"/>
    </row>
    <row r="1636" spans="1:1" ht="15.75" x14ac:dyDescent="0.25">
      <c r="A1636" s="699"/>
    </row>
    <row r="1637" spans="1:1" ht="15.75" x14ac:dyDescent="0.25">
      <c r="A1637" s="699"/>
    </row>
    <row r="1638" spans="1:1" ht="15.75" x14ac:dyDescent="0.25">
      <c r="A1638" s="699"/>
    </row>
    <row r="1639" spans="1:1" ht="15.75" x14ac:dyDescent="0.25">
      <c r="A1639" s="699"/>
    </row>
    <row r="1640" spans="1:1" ht="15.75" x14ac:dyDescent="0.25">
      <c r="A1640" s="699"/>
    </row>
    <row r="1641" spans="1:1" ht="15.75" x14ac:dyDescent="0.25">
      <c r="A1641" s="699"/>
    </row>
    <row r="1642" spans="1:1" ht="15.75" x14ac:dyDescent="0.25">
      <c r="A1642" s="699"/>
    </row>
    <row r="1643" spans="1:1" ht="15.75" x14ac:dyDescent="0.25">
      <c r="A1643" s="699"/>
    </row>
    <row r="1644" spans="1:1" ht="15.75" x14ac:dyDescent="0.25">
      <c r="A1644" s="699"/>
    </row>
    <row r="1645" spans="1:1" ht="15.75" x14ac:dyDescent="0.25">
      <c r="A1645" s="699"/>
    </row>
    <row r="1646" spans="1:1" ht="15.75" x14ac:dyDescent="0.25">
      <c r="A1646" s="699"/>
    </row>
    <row r="1647" spans="1:1" ht="15.75" x14ac:dyDescent="0.25">
      <c r="A1647" s="699"/>
    </row>
    <row r="1648" spans="1:1" ht="15.75" x14ac:dyDescent="0.25">
      <c r="A1648" s="699"/>
    </row>
    <row r="1649" spans="1:1" ht="15.75" x14ac:dyDescent="0.25">
      <c r="A1649" s="699"/>
    </row>
    <row r="1650" spans="1:1" ht="15.75" x14ac:dyDescent="0.25">
      <c r="A1650" s="699"/>
    </row>
    <row r="1651" spans="1:1" ht="15.75" x14ac:dyDescent="0.25">
      <c r="A1651" s="699"/>
    </row>
    <row r="1652" spans="1:1" ht="15.75" x14ac:dyDescent="0.25">
      <c r="A1652" s="699"/>
    </row>
    <row r="1653" spans="1:1" ht="15.75" x14ac:dyDescent="0.25">
      <c r="A1653" s="699"/>
    </row>
    <row r="1654" spans="1:1" ht="15.75" x14ac:dyDescent="0.25">
      <c r="A1654" s="699"/>
    </row>
    <row r="1655" spans="1:1" ht="15.75" x14ac:dyDescent="0.25">
      <c r="A1655" s="699"/>
    </row>
    <row r="1656" spans="1:1" ht="15.75" x14ac:dyDescent="0.25">
      <c r="A1656" s="699"/>
    </row>
    <row r="1657" spans="1:1" ht="15.75" x14ac:dyDescent="0.25">
      <c r="A1657" s="699"/>
    </row>
    <row r="1658" spans="1:1" ht="15.75" x14ac:dyDescent="0.25">
      <c r="A1658" s="699"/>
    </row>
    <row r="1659" spans="1:1" ht="15.75" x14ac:dyDescent="0.25">
      <c r="A1659" s="699"/>
    </row>
    <row r="1660" spans="1:1" ht="15.75" x14ac:dyDescent="0.25">
      <c r="A1660" s="699"/>
    </row>
    <row r="1661" spans="1:1" ht="15.75" x14ac:dyDescent="0.25">
      <c r="A1661" s="699"/>
    </row>
    <row r="1662" spans="1:1" ht="15.75" x14ac:dyDescent="0.25">
      <c r="A1662" s="699"/>
    </row>
    <row r="1663" spans="1:1" ht="15.75" x14ac:dyDescent="0.25">
      <c r="A1663" s="699"/>
    </row>
    <row r="1664" spans="1:1" ht="15.75" x14ac:dyDescent="0.25">
      <c r="A1664" s="699"/>
    </row>
    <row r="1665" spans="1:1" ht="15.75" x14ac:dyDescent="0.25">
      <c r="A1665" s="699"/>
    </row>
    <row r="1666" spans="1:1" ht="15.75" x14ac:dyDescent="0.25">
      <c r="A1666" s="699"/>
    </row>
    <row r="1667" spans="1:1" ht="15.75" x14ac:dyDescent="0.25">
      <c r="A1667" s="699"/>
    </row>
    <row r="1668" spans="1:1" ht="15.75" x14ac:dyDescent="0.25">
      <c r="A1668" s="699"/>
    </row>
    <row r="1669" spans="1:1" ht="15.75" x14ac:dyDescent="0.25">
      <c r="A1669" s="699"/>
    </row>
    <row r="1670" spans="1:1" ht="15.75" x14ac:dyDescent="0.25">
      <c r="A1670" s="699"/>
    </row>
    <row r="1671" spans="1:1" ht="15.75" x14ac:dyDescent="0.25">
      <c r="A1671" s="699"/>
    </row>
    <row r="1672" spans="1:1" ht="15.75" x14ac:dyDescent="0.25">
      <c r="A1672" s="699"/>
    </row>
    <row r="1673" spans="1:1" ht="15.75" x14ac:dyDescent="0.25">
      <c r="A1673" s="699"/>
    </row>
    <row r="1674" spans="1:1" ht="15.75" x14ac:dyDescent="0.25">
      <c r="A1674" s="699"/>
    </row>
    <row r="1675" spans="1:1" ht="15.75" x14ac:dyDescent="0.25">
      <c r="A1675" s="699"/>
    </row>
    <row r="1676" spans="1:1" ht="15.75" x14ac:dyDescent="0.25">
      <c r="A1676" s="699"/>
    </row>
    <row r="1677" spans="1:1" ht="15.75" x14ac:dyDescent="0.25">
      <c r="A1677" s="699"/>
    </row>
    <row r="1678" spans="1:1" ht="15.75" x14ac:dyDescent="0.25">
      <c r="A1678" s="699"/>
    </row>
    <row r="1679" spans="1:1" ht="15.75" x14ac:dyDescent="0.25">
      <c r="A1679" s="699"/>
    </row>
    <row r="1680" spans="1:1" ht="15.75" x14ac:dyDescent="0.25">
      <c r="A1680" s="699"/>
    </row>
    <row r="1681" spans="1:1" ht="15.75" x14ac:dyDescent="0.25">
      <c r="A1681" s="699"/>
    </row>
    <row r="1682" spans="1:1" ht="15.75" x14ac:dyDescent="0.25">
      <c r="A1682" s="699"/>
    </row>
    <row r="1683" spans="1:1" ht="15.75" x14ac:dyDescent="0.25">
      <c r="A1683" s="699"/>
    </row>
    <row r="1684" spans="1:1" ht="15.75" x14ac:dyDescent="0.25">
      <c r="A1684" s="699"/>
    </row>
    <row r="1685" spans="1:1" ht="15.75" x14ac:dyDescent="0.25">
      <c r="A1685" s="699"/>
    </row>
    <row r="1686" spans="1:1" ht="15.75" x14ac:dyDescent="0.25">
      <c r="A1686" s="699"/>
    </row>
    <row r="1687" spans="1:1" ht="15.75" x14ac:dyDescent="0.25">
      <c r="A1687" s="699"/>
    </row>
    <row r="1688" spans="1:1" ht="15.75" x14ac:dyDescent="0.25">
      <c r="A1688" s="699"/>
    </row>
    <row r="1689" spans="1:1" ht="15.75" x14ac:dyDescent="0.25">
      <c r="A1689" s="699"/>
    </row>
    <row r="1690" spans="1:1" ht="15.75" x14ac:dyDescent="0.25">
      <c r="A1690" s="699"/>
    </row>
    <row r="1691" spans="1:1" ht="15.75" x14ac:dyDescent="0.25">
      <c r="A1691" s="699"/>
    </row>
    <row r="1692" spans="1:1" ht="15.75" x14ac:dyDescent="0.25">
      <c r="A1692" s="699"/>
    </row>
    <row r="1693" spans="1:1" ht="15.75" x14ac:dyDescent="0.25">
      <c r="A1693" s="699"/>
    </row>
    <row r="1694" spans="1:1" ht="15.75" x14ac:dyDescent="0.25">
      <c r="A1694" s="699"/>
    </row>
    <row r="1695" spans="1:1" ht="15.75" x14ac:dyDescent="0.25">
      <c r="A1695" s="699"/>
    </row>
    <row r="1696" spans="1:1" ht="15.75" x14ac:dyDescent="0.25">
      <c r="A1696" s="699"/>
    </row>
    <row r="1697" spans="1:1" ht="15.75" x14ac:dyDescent="0.25">
      <c r="A1697" s="699"/>
    </row>
    <row r="1698" spans="1:1" ht="15.75" x14ac:dyDescent="0.25">
      <c r="A1698" s="699"/>
    </row>
    <row r="1699" spans="1:1" ht="15.75" x14ac:dyDescent="0.25">
      <c r="A1699" s="699"/>
    </row>
    <row r="1700" spans="1:1" ht="15.75" x14ac:dyDescent="0.25">
      <c r="A1700" s="699"/>
    </row>
    <row r="1701" spans="1:1" ht="15.75" x14ac:dyDescent="0.25">
      <c r="A1701" s="699"/>
    </row>
    <row r="1702" spans="1:1" ht="15.75" x14ac:dyDescent="0.25">
      <c r="A1702" s="699"/>
    </row>
    <row r="1703" spans="1:1" ht="15.75" x14ac:dyDescent="0.25">
      <c r="A1703" s="699"/>
    </row>
    <row r="1704" spans="1:1" ht="15.75" x14ac:dyDescent="0.25">
      <c r="A1704" s="699"/>
    </row>
    <row r="1705" spans="1:1" ht="15.75" x14ac:dyDescent="0.25">
      <c r="A1705" s="699"/>
    </row>
    <row r="1706" spans="1:1" ht="15.75" x14ac:dyDescent="0.25">
      <c r="A1706" s="699"/>
    </row>
    <row r="1707" spans="1:1" ht="15.75" x14ac:dyDescent="0.25">
      <c r="A1707" s="699"/>
    </row>
    <row r="1708" spans="1:1" ht="15.75" x14ac:dyDescent="0.25">
      <c r="A1708" s="699"/>
    </row>
    <row r="1709" spans="1:1" ht="15.75" x14ac:dyDescent="0.25">
      <c r="A1709" s="699"/>
    </row>
    <row r="1710" spans="1:1" ht="15.75" x14ac:dyDescent="0.25">
      <c r="A1710" s="699"/>
    </row>
    <row r="1711" spans="1:1" ht="15.75" x14ac:dyDescent="0.25">
      <c r="A1711" s="699"/>
    </row>
    <row r="1712" spans="1:1" ht="15.75" x14ac:dyDescent="0.25">
      <c r="A1712" s="699"/>
    </row>
    <row r="1713" spans="1:1" ht="15.75" x14ac:dyDescent="0.25">
      <c r="A1713" s="699"/>
    </row>
    <row r="1714" spans="1:1" ht="15.75" x14ac:dyDescent="0.25">
      <c r="A1714" s="699"/>
    </row>
    <row r="1715" spans="1:1" ht="15.75" x14ac:dyDescent="0.25">
      <c r="A1715" s="699"/>
    </row>
    <row r="1716" spans="1:1" ht="15.75" x14ac:dyDescent="0.25">
      <c r="A1716" s="699"/>
    </row>
    <row r="1717" spans="1:1" ht="15.75" x14ac:dyDescent="0.25">
      <c r="A1717" s="699"/>
    </row>
    <row r="1718" spans="1:1" ht="15.75" x14ac:dyDescent="0.25">
      <c r="A1718" s="699"/>
    </row>
    <row r="1719" spans="1:1" ht="15.75" x14ac:dyDescent="0.25">
      <c r="A1719" s="699"/>
    </row>
    <row r="1720" spans="1:1" ht="15.75" x14ac:dyDescent="0.25">
      <c r="A1720" s="699"/>
    </row>
    <row r="1721" spans="1:1" ht="15.75" x14ac:dyDescent="0.25">
      <c r="A1721" s="699"/>
    </row>
    <row r="1722" spans="1:1" ht="15.75" x14ac:dyDescent="0.25">
      <c r="A1722" s="699"/>
    </row>
    <row r="1723" spans="1:1" ht="15.75" x14ac:dyDescent="0.25">
      <c r="A1723" s="699"/>
    </row>
    <row r="1724" spans="1:1" ht="15.75" x14ac:dyDescent="0.25">
      <c r="A1724" s="699"/>
    </row>
    <row r="1725" spans="1:1" ht="15.75" x14ac:dyDescent="0.25">
      <c r="A1725" s="699"/>
    </row>
    <row r="1726" spans="1:1" ht="15.75" x14ac:dyDescent="0.25">
      <c r="A1726" s="699"/>
    </row>
    <row r="1727" spans="1:1" ht="15.75" x14ac:dyDescent="0.25">
      <c r="A1727" s="699"/>
    </row>
    <row r="1728" spans="1:1" ht="15.75" x14ac:dyDescent="0.25">
      <c r="A1728" s="699"/>
    </row>
    <row r="1729" spans="1:1" ht="15.75" x14ac:dyDescent="0.25">
      <c r="A1729" s="699"/>
    </row>
    <row r="1730" spans="1:1" ht="15.75" x14ac:dyDescent="0.25">
      <c r="A1730" s="699"/>
    </row>
    <row r="1731" spans="1:1" ht="15.75" x14ac:dyDescent="0.25">
      <c r="A1731" s="699"/>
    </row>
    <row r="1732" spans="1:1" ht="15.75" x14ac:dyDescent="0.25">
      <c r="A1732" s="699"/>
    </row>
    <row r="1733" spans="1:1" ht="15.75" x14ac:dyDescent="0.25">
      <c r="A1733" s="699"/>
    </row>
    <row r="1734" spans="1:1" ht="15.75" x14ac:dyDescent="0.25">
      <c r="A1734" s="699"/>
    </row>
    <row r="1735" spans="1:1" ht="15.75" x14ac:dyDescent="0.25">
      <c r="A1735" s="699"/>
    </row>
    <row r="1736" spans="1:1" ht="15.75" x14ac:dyDescent="0.25">
      <c r="A1736" s="699"/>
    </row>
    <row r="1737" spans="1:1" ht="15.75" x14ac:dyDescent="0.25">
      <c r="A1737" s="699"/>
    </row>
    <row r="1738" spans="1:1" ht="15.75" x14ac:dyDescent="0.25">
      <c r="A1738" s="699"/>
    </row>
    <row r="1739" spans="1:1" ht="15.75" x14ac:dyDescent="0.25">
      <c r="A1739" s="699"/>
    </row>
    <row r="1740" spans="1:1" ht="15.75" x14ac:dyDescent="0.25">
      <c r="A1740" s="699"/>
    </row>
    <row r="1741" spans="1:1" ht="15.75" x14ac:dyDescent="0.25">
      <c r="A1741" s="699"/>
    </row>
    <row r="1742" spans="1:1" ht="15.75" x14ac:dyDescent="0.25">
      <c r="A1742" s="699"/>
    </row>
    <row r="1743" spans="1:1" ht="15.75" x14ac:dyDescent="0.25">
      <c r="A1743" s="699"/>
    </row>
    <row r="1744" spans="1:1" ht="15.75" x14ac:dyDescent="0.25">
      <c r="A1744" s="699"/>
    </row>
    <row r="1745" spans="1:1" ht="15.75" x14ac:dyDescent="0.25">
      <c r="A1745" s="699"/>
    </row>
    <row r="1746" spans="1:1" ht="15.75" x14ac:dyDescent="0.25">
      <c r="A1746" s="699"/>
    </row>
    <row r="1747" spans="1:1" ht="15.75" x14ac:dyDescent="0.25">
      <c r="A1747" s="699"/>
    </row>
    <row r="1748" spans="1:1" ht="15.75" x14ac:dyDescent="0.25">
      <c r="A1748" s="699"/>
    </row>
    <row r="1749" spans="1:1" ht="15.75" x14ac:dyDescent="0.25">
      <c r="A1749" s="699"/>
    </row>
    <row r="1750" spans="1:1" ht="15.75" x14ac:dyDescent="0.25">
      <c r="A1750" s="699"/>
    </row>
    <row r="1751" spans="1:1" ht="15.75" x14ac:dyDescent="0.25">
      <c r="A1751" s="699"/>
    </row>
    <row r="1752" spans="1:1" ht="15.75" x14ac:dyDescent="0.25">
      <c r="A1752" s="699"/>
    </row>
    <row r="1753" spans="1:1" ht="15.75" x14ac:dyDescent="0.25">
      <c r="A1753" s="699"/>
    </row>
    <row r="1754" spans="1:1" ht="15.75" x14ac:dyDescent="0.25">
      <c r="A1754" s="699"/>
    </row>
    <row r="1755" spans="1:1" ht="15.75" x14ac:dyDescent="0.25">
      <c r="A1755" s="699"/>
    </row>
    <row r="1756" spans="1:1" ht="15.75" x14ac:dyDescent="0.25">
      <c r="A1756" s="699"/>
    </row>
    <row r="1757" spans="1:1" ht="15.75" x14ac:dyDescent="0.25">
      <c r="A1757" s="699"/>
    </row>
    <row r="1758" spans="1:1" ht="15.75" x14ac:dyDescent="0.25">
      <c r="A1758" s="699"/>
    </row>
    <row r="1759" spans="1:1" ht="15.75" x14ac:dyDescent="0.25">
      <c r="A1759" s="699"/>
    </row>
    <row r="1760" spans="1:1" ht="15.75" x14ac:dyDescent="0.25">
      <c r="A1760" s="699"/>
    </row>
    <row r="1761" spans="1:1" ht="15.75" x14ac:dyDescent="0.25">
      <c r="A1761" s="699"/>
    </row>
    <row r="1762" spans="1:1" ht="15.75" x14ac:dyDescent="0.25">
      <c r="A1762" s="699"/>
    </row>
    <row r="1763" spans="1:1" ht="15.75" x14ac:dyDescent="0.25">
      <c r="A1763" s="699"/>
    </row>
    <row r="1764" spans="1:1" ht="15.75" x14ac:dyDescent="0.25">
      <c r="A1764" s="699"/>
    </row>
    <row r="1765" spans="1:1" ht="15.75" x14ac:dyDescent="0.25">
      <c r="A1765" s="699"/>
    </row>
    <row r="1766" spans="1:1" ht="15.75" x14ac:dyDescent="0.25">
      <c r="A1766" s="699"/>
    </row>
    <row r="1767" spans="1:1" ht="15.75" x14ac:dyDescent="0.25">
      <c r="A1767" s="699"/>
    </row>
    <row r="1768" spans="1:1" ht="15.75" x14ac:dyDescent="0.25">
      <c r="A1768" s="699"/>
    </row>
    <row r="1769" spans="1:1" ht="15.75" x14ac:dyDescent="0.25">
      <c r="A1769" s="699"/>
    </row>
    <row r="1770" spans="1:1" ht="15.75" x14ac:dyDescent="0.25">
      <c r="A1770" s="699"/>
    </row>
    <row r="1771" spans="1:1" ht="15.75" x14ac:dyDescent="0.25">
      <c r="A1771" s="699"/>
    </row>
    <row r="1772" spans="1:1" ht="15.75" x14ac:dyDescent="0.25">
      <c r="A1772" s="699"/>
    </row>
    <row r="1773" spans="1:1" ht="15.75" x14ac:dyDescent="0.25">
      <c r="A1773" s="699"/>
    </row>
    <row r="1774" spans="1:1" ht="15.75" x14ac:dyDescent="0.25">
      <c r="A1774" s="699"/>
    </row>
    <row r="1775" spans="1:1" ht="15.75" x14ac:dyDescent="0.25">
      <c r="A1775" s="699"/>
    </row>
    <row r="1776" spans="1:1" ht="15.75" x14ac:dyDescent="0.25">
      <c r="A1776" s="699"/>
    </row>
    <row r="1777" spans="1:1" ht="15.75" x14ac:dyDescent="0.25">
      <c r="A1777" s="699"/>
    </row>
    <row r="1778" spans="1:1" ht="15.75" x14ac:dyDescent="0.25">
      <c r="A1778" s="699"/>
    </row>
    <row r="1779" spans="1:1" ht="15.75" x14ac:dyDescent="0.25">
      <c r="A1779" s="699"/>
    </row>
    <row r="1780" spans="1:1" ht="15.75" x14ac:dyDescent="0.25">
      <c r="A1780" s="699"/>
    </row>
    <row r="1781" spans="1:1" ht="15.75" x14ac:dyDescent="0.25">
      <c r="A1781" s="699"/>
    </row>
    <row r="1782" spans="1:1" ht="15.75" x14ac:dyDescent="0.25">
      <c r="A1782" s="699"/>
    </row>
    <row r="1783" spans="1:1" ht="15.75" x14ac:dyDescent="0.25">
      <c r="A1783" s="699"/>
    </row>
    <row r="1784" spans="1:1" ht="15.75" x14ac:dyDescent="0.25">
      <c r="A1784" s="699"/>
    </row>
    <row r="1785" spans="1:1" ht="15.75" x14ac:dyDescent="0.25">
      <c r="A1785" s="699"/>
    </row>
    <row r="1786" spans="1:1" ht="15.75" x14ac:dyDescent="0.25">
      <c r="A1786" s="699"/>
    </row>
    <row r="1787" spans="1:1" ht="15.75" x14ac:dyDescent="0.25">
      <c r="A1787" s="699"/>
    </row>
    <row r="1788" spans="1:1" ht="15.75" x14ac:dyDescent="0.25">
      <c r="A1788" s="699"/>
    </row>
    <row r="1789" spans="1:1" ht="15.75" x14ac:dyDescent="0.25">
      <c r="A1789" s="699"/>
    </row>
    <row r="1790" spans="1:1" ht="15.75" x14ac:dyDescent="0.25">
      <c r="A1790" s="699"/>
    </row>
    <row r="1791" spans="1:1" ht="15.75" x14ac:dyDescent="0.25">
      <c r="A1791" s="699"/>
    </row>
    <row r="1792" spans="1:1" ht="15.75" x14ac:dyDescent="0.25">
      <c r="A1792" s="699"/>
    </row>
    <row r="1793" spans="1:1" ht="15.75" x14ac:dyDescent="0.25">
      <c r="A1793" s="699"/>
    </row>
    <row r="1794" spans="1:1" ht="15.75" x14ac:dyDescent="0.25">
      <c r="A1794" s="699"/>
    </row>
    <row r="1795" spans="1:1" ht="15.75" x14ac:dyDescent="0.25">
      <c r="A1795" s="699"/>
    </row>
    <row r="1796" spans="1:1" ht="15.75" x14ac:dyDescent="0.25">
      <c r="A1796" s="699"/>
    </row>
    <row r="1797" spans="1:1" ht="15.75" x14ac:dyDescent="0.25">
      <c r="A1797" s="699"/>
    </row>
    <row r="1798" spans="1:1" ht="15.75" x14ac:dyDescent="0.25">
      <c r="A1798" s="699"/>
    </row>
    <row r="1799" spans="1:1" ht="15.75" x14ac:dyDescent="0.25">
      <c r="A1799" s="699"/>
    </row>
    <row r="1800" spans="1:1" ht="15.75" x14ac:dyDescent="0.25">
      <c r="A1800" s="699"/>
    </row>
    <row r="1801" spans="1:1" ht="15.75" x14ac:dyDescent="0.25">
      <c r="A1801" s="699"/>
    </row>
    <row r="1802" spans="1:1" ht="15.75" x14ac:dyDescent="0.25">
      <c r="A1802" s="699"/>
    </row>
    <row r="1803" spans="1:1" ht="15.75" x14ac:dyDescent="0.25">
      <c r="A1803" s="699"/>
    </row>
    <row r="1804" spans="1:1" ht="15.75" x14ac:dyDescent="0.25">
      <c r="A1804" s="699"/>
    </row>
    <row r="1805" spans="1:1" ht="15.75" x14ac:dyDescent="0.25">
      <c r="A1805" s="699"/>
    </row>
    <row r="1806" spans="1:1" ht="15.75" x14ac:dyDescent="0.25">
      <c r="A1806" s="699"/>
    </row>
    <row r="1807" spans="1:1" ht="15.75" x14ac:dyDescent="0.25">
      <c r="A1807" s="699"/>
    </row>
    <row r="1808" spans="1:1" ht="15.75" x14ac:dyDescent="0.25">
      <c r="A1808" s="699"/>
    </row>
    <row r="1809" spans="1:1" ht="15.75" x14ac:dyDescent="0.25">
      <c r="A1809" s="699"/>
    </row>
    <row r="1810" spans="1:1" ht="15.75" x14ac:dyDescent="0.25">
      <c r="A1810" s="699"/>
    </row>
    <row r="1811" spans="1:1" ht="15.75" x14ac:dyDescent="0.25">
      <c r="A1811" s="699"/>
    </row>
    <row r="1812" spans="1:1" ht="15.75" x14ac:dyDescent="0.25">
      <c r="A1812" s="699"/>
    </row>
    <row r="1813" spans="1:1" ht="15.75" x14ac:dyDescent="0.25">
      <c r="A1813" s="699"/>
    </row>
    <row r="1814" spans="1:1" ht="15.75" x14ac:dyDescent="0.25">
      <c r="A1814" s="699"/>
    </row>
    <row r="1815" spans="1:1" ht="15.75" x14ac:dyDescent="0.25">
      <c r="A1815" s="699"/>
    </row>
    <row r="1816" spans="1:1" ht="15.75" x14ac:dyDescent="0.25">
      <c r="A1816" s="699"/>
    </row>
    <row r="1817" spans="1:1" ht="15.75" x14ac:dyDescent="0.25">
      <c r="A1817" s="699"/>
    </row>
    <row r="1818" spans="1:1" ht="15.75" x14ac:dyDescent="0.25">
      <c r="A1818" s="699"/>
    </row>
    <row r="1819" spans="1:1" ht="15.75" x14ac:dyDescent="0.25">
      <c r="A1819" s="699"/>
    </row>
    <row r="1820" spans="1:1" ht="15.75" x14ac:dyDescent="0.25">
      <c r="A1820" s="699"/>
    </row>
    <row r="1821" spans="1:1" ht="15.75" x14ac:dyDescent="0.25">
      <c r="A1821" s="699"/>
    </row>
    <row r="1822" spans="1:1" ht="15.75" x14ac:dyDescent="0.25">
      <c r="A1822" s="699"/>
    </row>
    <row r="1823" spans="1:1" ht="15.75" x14ac:dyDescent="0.25">
      <c r="A1823" s="699"/>
    </row>
    <row r="1824" spans="1:1" ht="15.75" x14ac:dyDescent="0.25">
      <c r="A1824" s="699"/>
    </row>
    <row r="1825" spans="1:1" ht="15.75" x14ac:dyDescent="0.25">
      <c r="A1825" s="699"/>
    </row>
    <row r="1826" spans="1:1" ht="15.75" x14ac:dyDescent="0.25">
      <c r="A1826" s="699"/>
    </row>
    <row r="1827" spans="1:1" ht="15.75" x14ac:dyDescent="0.25">
      <c r="A1827" s="699"/>
    </row>
    <row r="1828" spans="1:1" ht="15.75" x14ac:dyDescent="0.25">
      <c r="A1828" s="699"/>
    </row>
    <row r="1829" spans="1:1" ht="15.75" x14ac:dyDescent="0.25">
      <c r="A1829" s="699"/>
    </row>
    <row r="1830" spans="1:1" ht="15.75" x14ac:dyDescent="0.25">
      <c r="A1830" s="699"/>
    </row>
    <row r="1831" spans="1:1" ht="15.75" x14ac:dyDescent="0.25">
      <c r="A1831" s="699"/>
    </row>
    <row r="1832" spans="1:1" ht="15.75" x14ac:dyDescent="0.25">
      <c r="A1832" s="699"/>
    </row>
    <row r="1833" spans="1:1" ht="15.75" x14ac:dyDescent="0.25">
      <c r="A1833" s="699"/>
    </row>
    <row r="1834" spans="1:1" ht="15.75" x14ac:dyDescent="0.25">
      <c r="A1834" s="699"/>
    </row>
    <row r="1835" spans="1:1" ht="15.75" x14ac:dyDescent="0.25">
      <c r="A1835" s="699"/>
    </row>
    <row r="1836" spans="1:1" ht="15.75" x14ac:dyDescent="0.25">
      <c r="A1836" s="699"/>
    </row>
    <row r="1837" spans="1:1" ht="15.75" x14ac:dyDescent="0.25">
      <c r="A1837" s="699"/>
    </row>
    <row r="1838" spans="1:1" ht="15.75" x14ac:dyDescent="0.25">
      <c r="A1838" s="699"/>
    </row>
    <row r="1839" spans="1:1" ht="15.75" x14ac:dyDescent="0.25">
      <c r="A1839" s="699"/>
    </row>
    <row r="1840" spans="1:1" ht="15.75" x14ac:dyDescent="0.25">
      <c r="A1840" s="699"/>
    </row>
    <row r="1841" spans="1:1" ht="15.75" x14ac:dyDescent="0.25">
      <c r="A1841" s="699"/>
    </row>
    <row r="1842" spans="1:1" ht="15.75" x14ac:dyDescent="0.25">
      <c r="A1842" s="699"/>
    </row>
    <row r="1843" spans="1:1" ht="15.75" x14ac:dyDescent="0.25">
      <c r="A1843" s="699"/>
    </row>
    <row r="1844" spans="1:1" ht="15.75" x14ac:dyDescent="0.25">
      <c r="A1844" s="699"/>
    </row>
    <row r="1845" spans="1:1" ht="15.75" x14ac:dyDescent="0.25">
      <c r="A1845" s="699"/>
    </row>
    <row r="1846" spans="1:1" ht="15.75" x14ac:dyDescent="0.25">
      <c r="A1846" s="699"/>
    </row>
    <row r="1847" spans="1:1" ht="15.75" x14ac:dyDescent="0.25">
      <c r="A1847" s="699"/>
    </row>
    <row r="1848" spans="1:1" ht="15.75" x14ac:dyDescent="0.25">
      <c r="A1848" s="699"/>
    </row>
    <row r="1849" spans="1:1" ht="15.75" x14ac:dyDescent="0.25">
      <c r="A1849" s="699"/>
    </row>
    <row r="1850" spans="1:1" ht="15.75" x14ac:dyDescent="0.25">
      <c r="A1850" s="699"/>
    </row>
    <row r="1851" spans="1:1" ht="15.75" x14ac:dyDescent="0.25">
      <c r="A1851" s="699"/>
    </row>
    <row r="1852" spans="1:1" ht="15.75" x14ac:dyDescent="0.25">
      <c r="A1852" s="699"/>
    </row>
    <row r="1853" spans="1:1" ht="15.75" x14ac:dyDescent="0.25">
      <c r="A1853" s="699"/>
    </row>
    <row r="1854" spans="1:1" ht="15.75" x14ac:dyDescent="0.25">
      <c r="A1854" s="699"/>
    </row>
    <row r="1855" spans="1:1" ht="15.75" x14ac:dyDescent="0.25">
      <c r="A1855" s="699"/>
    </row>
    <row r="1856" spans="1:1" ht="15.75" x14ac:dyDescent="0.25">
      <c r="A1856" s="699"/>
    </row>
    <row r="1857" spans="1:1" ht="15.75" x14ac:dyDescent="0.25">
      <c r="A1857" s="699"/>
    </row>
    <row r="1858" spans="1:1" ht="15.75" x14ac:dyDescent="0.25">
      <c r="A1858" s="699"/>
    </row>
    <row r="1859" spans="1:1" ht="15.75" x14ac:dyDescent="0.25">
      <c r="A1859" s="699"/>
    </row>
    <row r="1860" spans="1:1" ht="15.75" x14ac:dyDescent="0.25">
      <c r="A1860" s="699"/>
    </row>
    <row r="1861" spans="1:1" ht="15.75" x14ac:dyDescent="0.25">
      <c r="A1861" s="699"/>
    </row>
    <row r="1862" spans="1:1" ht="15.75" x14ac:dyDescent="0.25">
      <c r="A1862" s="699"/>
    </row>
    <row r="1863" spans="1:1" ht="15.75" x14ac:dyDescent="0.25">
      <c r="A1863" s="699"/>
    </row>
    <row r="1864" spans="1:1" ht="15.75" x14ac:dyDescent="0.25">
      <c r="A1864" s="699"/>
    </row>
    <row r="1865" spans="1:1" ht="15.75" x14ac:dyDescent="0.25">
      <c r="A1865" s="699"/>
    </row>
    <row r="1866" spans="1:1" ht="15.75" x14ac:dyDescent="0.25">
      <c r="A1866" s="699"/>
    </row>
    <row r="1867" spans="1:1" ht="15.75" x14ac:dyDescent="0.25">
      <c r="A1867" s="699"/>
    </row>
    <row r="1868" spans="1:1" ht="15.75" x14ac:dyDescent="0.25">
      <c r="A1868" s="699"/>
    </row>
    <row r="1869" spans="1:1" ht="15.75" x14ac:dyDescent="0.25">
      <c r="A1869" s="699"/>
    </row>
    <row r="1870" spans="1:1" ht="15.75" x14ac:dyDescent="0.25">
      <c r="A1870" s="699"/>
    </row>
    <row r="1871" spans="1:1" ht="15.75" x14ac:dyDescent="0.25">
      <c r="A1871" s="699"/>
    </row>
    <row r="1872" spans="1:1" ht="15.75" x14ac:dyDescent="0.25">
      <c r="A1872" s="699"/>
    </row>
    <row r="1873" spans="1:1" ht="15.75" x14ac:dyDescent="0.25">
      <c r="A1873" s="699"/>
    </row>
    <row r="1874" spans="1:1" ht="15.75" x14ac:dyDescent="0.25">
      <c r="A1874" s="699"/>
    </row>
    <row r="1875" spans="1:1" ht="15.75" x14ac:dyDescent="0.25">
      <c r="A1875" s="699"/>
    </row>
    <row r="1876" spans="1:1" ht="15.75" x14ac:dyDescent="0.25">
      <c r="A1876" s="699"/>
    </row>
    <row r="1877" spans="1:1" ht="15.75" x14ac:dyDescent="0.25">
      <c r="A1877" s="699"/>
    </row>
    <row r="1878" spans="1:1" ht="15.75" x14ac:dyDescent="0.25">
      <c r="A1878" s="699"/>
    </row>
    <row r="1879" spans="1:1" ht="15.75" x14ac:dyDescent="0.25">
      <c r="A1879" s="699"/>
    </row>
    <row r="1880" spans="1:1" ht="15.75" x14ac:dyDescent="0.25">
      <c r="A1880" s="699"/>
    </row>
    <row r="1881" spans="1:1" ht="15.75" x14ac:dyDescent="0.25">
      <c r="A1881" s="699"/>
    </row>
    <row r="1882" spans="1:1" ht="15.75" x14ac:dyDescent="0.25">
      <c r="A1882" s="699"/>
    </row>
    <row r="1883" spans="1:1" ht="15.75" x14ac:dyDescent="0.25">
      <c r="A1883" s="699"/>
    </row>
    <row r="1884" spans="1:1" ht="15.75" x14ac:dyDescent="0.25">
      <c r="A1884" s="699"/>
    </row>
    <row r="1885" spans="1:1" ht="15.75" x14ac:dyDescent="0.25">
      <c r="A1885" s="699"/>
    </row>
    <row r="1886" spans="1:1" ht="15.75" x14ac:dyDescent="0.25">
      <c r="A1886" s="699"/>
    </row>
    <row r="1887" spans="1:1" ht="15.75" x14ac:dyDescent="0.25">
      <c r="A1887" s="699"/>
    </row>
    <row r="1888" spans="1:1" ht="15.75" x14ac:dyDescent="0.25">
      <c r="A1888" s="699"/>
    </row>
    <row r="1889" spans="1:1" ht="15.75" x14ac:dyDescent="0.25">
      <c r="A1889" s="699"/>
    </row>
    <row r="1890" spans="1:1" ht="15.75" x14ac:dyDescent="0.25">
      <c r="A1890" s="699"/>
    </row>
    <row r="1891" spans="1:1" ht="15.75" x14ac:dyDescent="0.25">
      <c r="A1891" s="699"/>
    </row>
    <row r="1892" spans="1:1" ht="15.75" x14ac:dyDescent="0.25">
      <c r="A1892" s="699"/>
    </row>
    <row r="1893" spans="1:1" ht="15.75" x14ac:dyDescent="0.25">
      <c r="A1893" s="699"/>
    </row>
    <row r="1894" spans="1:1" ht="15.75" x14ac:dyDescent="0.25">
      <c r="A1894" s="699"/>
    </row>
    <row r="1895" spans="1:1" ht="15.75" x14ac:dyDescent="0.25">
      <c r="A1895" s="699"/>
    </row>
    <row r="1896" spans="1:1" ht="15.75" x14ac:dyDescent="0.25">
      <c r="A1896" s="699"/>
    </row>
    <row r="1897" spans="1:1" ht="15.75" x14ac:dyDescent="0.25">
      <c r="A1897" s="699"/>
    </row>
    <row r="1898" spans="1:1" ht="15.75" x14ac:dyDescent="0.25">
      <c r="A1898" s="699"/>
    </row>
    <row r="1899" spans="1:1" ht="15.75" x14ac:dyDescent="0.25">
      <c r="A1899" s="699"/>
    </row>
    <row r="1900" spans="1:1" ht="15.75" x14ac:dyDescent="0.25">
      <c r="A1900" s="699"/>
    </row>
    <row r="1901" spans="1:1" ht="15.75" x14ac:dyDescent="0.25">
      <c r="A1901" s="699"/>
    </row>
    <row r="1902" spans="1:1" ht="15.75" x14ac:dyDescent="0.25">
      <c r="A1902" s="699"/>
    </row>
    <row r="1903" spans="1:1" ht="15.75" x14ac:dyDescent="0.25">
      <c r="A1903" s="699"/>
    </row>
    <row r="1904" spans="1:1" ht="15.75" x14ac:dyDescent="0.25">
      <c r="A1904" s="699"/>
    </row>
    <row r="1905" spans="1:1" ht="15.75" x14ac:dyDescent="0.25">
      <c r="A1905" s="699"/>
    </row>
    <row r="1906" spans="1:1" ht="15.75" x14ac:dyDescent="0.25">
      <c r="A1906" s="699"/>
    </row>
    <row r="1907" spans="1:1" ht="15.75" x14ac:dyDescent="0.25">
      <c r="A1907" s="699"/>
    </row>
    <row r="1908" spans="1:1" ht="15.75" x14ac:dyDescent="0.25">
      <c r="A1908" s="699"/>
    </row>
    <row r="1909" spans="1:1" ht="15.75" x14ac:dyDescent="0.25">
      <c r="A1909" s="699"/>
    </row>
    <row r="1910" spans="1:1" ht="15.75" x14ac:dyDescent="0.25">
      <c r="A1910" s="699"/>
    </row>
    <row r="1911" spans="1:1" ht="15.75" x14ac:dyDescent="0.25">
      <c r="A1911" s="699"/>
    </row>
    <row r="1912" spans="1:1" ht="15.75" x14ac:dyDescent="0.25">
      <c r="A1912" s="699"/>
    </row>
    <row r="1913" spans="1:1" ht="15.75" x14ac:dyDescent="0.25">
      <c r="A1913" s="699"/>
    </row>
    <row r="1914" spans="1:1" ht="15.75" x14ac:dyDescent="0.25">
      <c r="A1914" s="699"/>
    </row>
    <row r="1915" spans="1:1" ht="15.75" x14ac:dyDescent="0.25">
      <c r="A1915" s="699"/>
    </row>
    <row r="1916" spans="1:1" ht="15.75" x14ac:dyDescent="0.25">
      <c r="A1916" s="699"/>
    </row>
    <row r="1917" spans="1:1" ht="15.75" x14ac:dyDescent="0.25">
      <c r="A1917" s="699"/>
    </row>
    <row r="1918" spans="1:1" ht="15.75" x14ac:dyDescent="0.25">
      <c r="A1918" s="699"/>
    </row>
    <row r="1919" spans="1:1" ht="15.75" x14ac:dyDescent="0.25">
      <c r="A1919" s="699"/>
    </row>
    <row r="1920" spans="1:1" ht="15.75" x14ac:dyDescent="0.25">
      <c r="A1920" s="699"/>
    </row>
    <row r="1921" spans="1:1" ht="15.75" x14ac:dyDescent="0.25">
      <c r="A1921" s="699"/>
    </row>
    <row r="1922" spans="1:1" ht="15.75" x14ac:dyDescent="0.25">
      <c r="A1922" s="699"/>
    </row>
    <row r="1923" spans="1:1" ht="15.75" x14ac:dyDescent="0.25">
      <c r="A1923" s="699"/>
    </row>
    <row r="1924" spans="1:1" ht="15.75" x14ac:dyDescent="0.25">
      <c r="A1924" s="699"/>
    </row>
    <row r="1925" spans="1:1" ht="15.75" x14ac:dyDescent="0.25">
      <c r="A1925" s="699"/>
    </row>
    <row r="1926" spans="1:1" ht="15.75" x14ac:dyDescent="0.25">
      <c r="A1926" s="699"/>
    </row>
    <row r="1927" spans="1:1" ht="15.75" x14ac:dyDescent="0.25">
      <c r="A1927" s="699"/>
    </row>
    <row r="1928" spans="1:1" ht="15.75" x14ac:dyDescent="0.25">
      <c r="A1928" s="699"/>
    </row>
    <row r="1929" spans="1:1" ht="15.75" x14ac:dyDescent="0.25">
      <c r="A1929" s="699"/>
    </row>
    <row r="1930" spans="1:1" ht="15.75" x14ac:dyDescent="0.25">
      <c r="A1930" s="699"/>
    </row>
    <row r="1931" spans="1:1" ht="15.75" x14ac:dyDescent="0.25">
      <c r="A1931" s="699"/>
    </row>
    <row r="1932" spans="1:1" ht="15.75" x14ac:dyDescent="0.25">
      <c r="A1932" s="699"/>
    </row>
    <row r="1933" spans="1:1" ht="15.75" x14ac:dyDescent="0.25">
      <c r="A1933" s="699"/>
    </row>
    <row r="1934" spans="1:1" ht="15.75" x14ac:dyDescent="0.25">
      <c r="A1934" s="699"/>
    </row>
    <row r="1935" spans="1:1" ht="15.75" x14ac:dyDescent="0.25">
      <c r="A1935" s="699"/>
    </row>
    <row r="1936" spans="1:1" ht="15.75" x14ac:dyDescent="0.25">
      <c r="A1936" s="699"/>
    </row>
    <row r="1937" spans="1:1" ht="15.75" x14ac:dyDescent="0.25">
      <c r="A1937" s="699"/>
    </row>
    <row r="1938" spans="1:1" ht="15.75" x14ac:dyDescent="0.25">
      <c r="A1938" s="699"/>
    </row>
    <row r="1939" spans="1:1" ht="15.75" x14ac:dyDescent="0.25">
      <c r="A1939" s="699"/>
    </row>
    <row r="1940" spans="1:1" ht="15.75" x14ac:dyDescent="0.25">
      <c r="A1940" s="699"/>
    </row>
    <row r="1941" spans="1:1" ht="15.75" x14ac:dyDescent="0.25">
      <c r="A1941" s="699"/>
    </row>
    <row r="1942" spans="1:1" ht="15.75" x14ac:dyDescent="0.25">
      <c r="A1942" s="699"/>
    </row>
    <row r="1943" spans="1:1" ht="15.75" x14ac:dyDescent="0.25">
      <c r="A1943" s="699"/>
    </row>
    <row r="1944" spans="1:1" ht="15.75" x14ac:dyDescent="0.25">
      <c r="A1944" s="699"/>
    </row>
    <row r="1945" spans="1:1" ht="15.75" x14ac:dyDescent="0.25">
      <c r="A1945" s="699"/>
    </row>
    <row r="1946" spans="1:1" ht="15.75" x14ac:dyDescent="0.25">
      <c r="A1946" s="699"/>
    </row>
    <row r="1947" spans="1:1" ht="15.75" x14ac:dyDescent="0.25">
      <c r="A1947" s="699"/>
    </row>
    <row r="1948" spans="1:1" ht="15.75" x14ac:dyDescent="0.25">
      <c r="A1948" s="699"/>
    </row>
    <row r="1949" spans="1:1" ht="15.75" x14ac:dyDescent="0.25">
      <c r="A1949" s="699"/>
    </row>
    <row r="1950" spans="1:1" ht="15.75" x14ac:dyDescent="0.25">
      <c r="A1950" s="699"/>
    </row>
    <row r="1951" spans="1:1" ht="15.75" x14ac:dyDescent="0.25">
      <c r="A1951" s="699"/>
    </row>
    <row r="1952" spans="1:1" ht="15.75" x14ac:dyDescent="0.25">
      <c r="A1952" s="699"/>
    </row>
    <row r="1953" spans="1:1" ht="15.75" x14ac:dyDescent="0.25">
      <c r="A1953" s="699"/>
    </row>
    <row r="1954" spans="1:1" ht="15.75" x14ac:dyDescent="0.25">
      <c r="A1954" s="699"/>
    </row>
    <row r="1955" spans="1:1" ht="15.75" x14ac:dyDescent="0.25">
      <c r="A1955" s="699"/>
    </row>
    <row r="1956" spans="1:1" ht="15.75" x14ac:dyDescent="0.25">
      <c r="A1956" s="699"/>
    </row>
    <row r="1957" spans="1:1" ht="15.75" x14ac:dyDescent="0.25">
      <c r="A1957" s="699"/>
    </row>
    <row r="1958" spans="1:1" ht="15.75" x14ac:dyDescent="0.25">
      <c r="A1958" s="699"/>
    </row>
    <row r="1959" spans="1:1" ht="15.75" x14ac:dyDescent="0.25">
      <c r="A1959" s="699"/>
    </row>
    <row r="1960" spans="1:1" ht="15.75" x14ac:dyDescent="0.25">
      <c r="A1960" s="699"/>
    </row>
    <row r="1961" spans="1:1" ht="15.75" x14ac:dyDescent="0.25">
      <c r="A1961" s="699"/>
    </row>
    <row r="1962" spans="1:1" ht="15.75" x14ac:dyDescent="0.25">
      <c r="A1962" s="699"/>
    </row>
    <row r="1963" spans="1:1" ht="15.75" x14ac:dyDescent="0.25">
      <c r="A1963" s="699"/>
    </row>
    <row r="1964" spans="1:1" ht="15.75" x14ac:dyDescent="0.25">
      <c r="A1964" s="699"/>
    </row>
    <row r="1965" spans="1:1" ht="15.75" x14ac:dyDescent="0.25">
      <c r="A1965" s="699"/>
    </row>
    <row r="1966" spans="1:1" ht="15.75" x14ac:dyDescent="0.25">
      <c r="A1966" s="699"/>
    </row>
    <row r="1967" spans="1:1" ht="15.75" x14ac:dyDescent="0.25">
      <c r="A1967" s="699"/>
    </row>
    <row r="1968" spans="1:1" ht="15.75" x14ac:dyDescent="0.25">
      <c r="A1968" s="699"/>
    </row>
    <row r="1969" spans="1:1" ht="15.75" x14ac:dyDescent="0.25">
      <c r="A1969" s="699"/>
    </row>
    <row r="1970" spans="1:1" ht="15.75" x14ac:dyDescent="0.25">
      <c r="A1970" s="699"/>
    </row>
    <row r="1971" spans="1:1" ht="15.75" x14ac:dyDescent="0.25">
      <c r="A1971" s="699"/>
    </row>
    <row r="1972" spans="1:1" ht="15.75" x14ac:dyDescent="0.25">
      <c r="A1972" s="699"/>
    </row>
    <row r="1973" spans="1:1" ht="15.75" x14ac:dyDescent="0.25">
      <c r="A1973" s="699"/>
    </row>
    <row r="1974" spans="1:1" ht="15.75" x14ac:dyDescent="0.25">
      <c r="A1974" s="699"/>
    </row>
    <row r="1975" spans="1:1" ht="15.75" x14ac:dyDescent="0.25">
      <c r="A1975" s="699"/>
    </row>
    <row r="1976" spans="1:1" ht="15.75" x14ac:dyDescent="0.25">
      <c r="A1976" s="699"/>
    </row>
    <row r="1977" spans="1:1" ht="15.75" x14ac:dyDescent="0.25">
      <c r="A1977" s="699"/>
    </row>
    <row r="1978" spans="1:1" ht="15.75" x14ac:dyDescent="0.25">
      <c r="A1978" s="699"/>
    </row>
    <row r="1979" spans="1:1" ht="15.75" x14ac:dyDescent="0.25">
      <c r="A1979" s="699"/>
    </row>
    <row r="1980" spans="1:1" ht="15.75" x14ac:dyDescent="0.25">
      <c r="A1980" s="699"/>
    </row>
    <row r="1981" spans="1:1" ht="15.75" x14ac:dyDescent="0.25">
      <c r="A1981" s="699"/>
    </row>
    <row r="1982" spans="1:1" ht="15.75" x14ac:dyDescent="0.25">
      <c r="A1982" s="699"/>
    </row>
    <row r="1983" spans="1:1" ht="15.75" x14ac:dyDescent="0.25">
      <c r="A1983" s="699"/>
    </row>
    <row r="1984" spans="1:1" ht="15.75" x14ac:dyDescent="0.25">
      <c r="A1984" s="699"/>
    </row>
    <row r="1985" spans="1:1" ht="15.75" x14ac:dyDescent="0.25">
      <c r="A1985" s="699"/>
    </row>
    <row r="1986" spans="1:1" ht="15.75" x14ac:dyDescent="0.25">
      <c r="A1986" s="699"/>
    </row>
    <row r="1987" spans="1:1" ht="15.75" x14ac:dyDescent="0.25">
      <c r="A1987" s="699"/>
    </row>
    <row r="1988" spans="1:1" ht="15.75" x14ac:dyDescent="0.25">
      <c r="A1988" s="699"/>
    </row>
    <row r="1989" spans="1:1" ht="15.75" x14ac:dyDescent="0.25">
      <c r="A1989" s="699"/>
    </row>
    <row r="1990" spans="1:1" ht="15.75" x14ac:dyDescent="0.25">
      <c r="A1990" s="699"/>
    </row>
    <row r="1991" spans="1:1" ht="15.75" x14ac:dyDescent="0.25">
      <c r="A1991" s="699"/>
    </row>
    <row r="1992" spans="1:1" ht="15.75" x14ac:dyDescent="0.25">
      <c r="A1992" s="699"/>
    </row>
    <row r="1993" spans="1:1" ht="15.75" x14ac:dyDescent="0.25">
      <c r="A1993" s="699"/>
    </row>
    <row r="1994" spans="1:1" ht="15.75" x14ac:dyDescent="0.25">
      <c r="A1994" s="699"/>
    </row>
    <row r="1995" spans="1:1" ht="15.75" x14ac:dyDescent="0.25">
      <c r="A1995" s="699"/>
    </row>
    <row r="1996" spans="1:1" ht="15.75" x14ac:dyDescent="0.25">
      <c r="A1996" s="699"/>
    </row>
    <row r="1997" spans="1:1" ht="15.75" x14ac:dyDescent="0.25">
      <c r="A1997" s="699"/>
    </row>
    <row r="1998" spans="1:1" ht="15.75" x14ac:dyDescent="0.25">
      <c r="A1998" s="699"/>
    </row>
    <row r="1999" spans="1:1" ht="15.75" x14ac:dyDescent="0.25">
      <c r="A1999" s="699"/>
    </row>
    <row r="2000" spans="1:1" ht="15.75" x14ac:dyDescent="0.25">
      <c r="A2000" s="699"/>
    </row>
    <row r="2001" spans="1:1" ht="15.75" x14ac:dyDescent="0.25">
      <c r="A2001" s="699"/>
    </row>
    <row r="2002" spans="1:1" ht="15.75" x14ac:dyDescent="0.25">
      <c r="A2002" s="699"/>
    </row>
    <row r="2003" spans="1:1" ht="15.75" x14ac:dyDescent="0.25">
      <c r="A2003" s="699"/>
    </row>
    <row r="2004" spans="1:1" ht="15.75" x14ac:dyDescent="0.25">
      <c r="A2004" s="699"/>
    </row>
    <row r="2005" spans="1:1" ht="15.75" x14ac:dyDescent="0.25">
      <c r="A2005" s="699"/>
    </row>
    <row r="2006" spans="1:1" ht="15.75" x14ac:dyDescent="0.25">
      <c r="A2006" s="699"/>
    </row>
    <row r="2007" spans="1:1" ht="15.75" x14ac:dyDescent="0.25">
      <c r="A2007" s="699"/>
    </row>
    <row r="2008" spans="1:1" ht="15.75" x14ac:dyDescent="0.25">
      <c r="A2008" s="699"/>
    </row>
    <row r="2009" spans="1:1" ht="15.75" x14ac:dyDescent="0.25">
      <c r="A2009" s="699"/>
    </row>
    <row r="2010" spans="1:1" ht="15.75" x14ac:dyDescent="0.25">
      <c r="A2010" s="699"/>
    </row>
    <row r="2011" spans="1:1" ht="15.75" x14ac:dyDescent="0.25">
      <c r="A2011" s="699"/>
    </row>
    <row r="2012" spans="1:1" ht="15.75" x14ac:dyDescent="0.25">
      <c r="A2012" s="699"/>
    </row>
    <row r="2013" spans="1:1" ht="15.75" x14ac:dyDescent="0.25">
      <c r="A2013" s="699"/>
    </row>
    <row r="2014" spans="1:1" ht="15.75" x14ac:dyDescent="0.25">
      <c r="A2014" s="699"/>
    </row>
    <row r="2015" spans="1:1" ht="15.75" x14ac:dyDescent="0.25">
      <c r="A2015" s="699"/>
    </row>
    <row r="2016" spans="1:1" ht="15.75" x14ac:dyDescent="0.25">
      <c r="A2016" s="699"/>
    </row>
    <row r="2017" spans="1:1" ht="15.75" x14ac:dyDescent="0.25">
      <c r="A2017" s="699"/>
    </row>
    <row r="2018" spans="1:1" ht="15.75" x14ac:dyDescent="0.25">
      <c r="A2018" s="699"/>
    </row>
    <row r="2019" spans="1:1" ht="15.75" x14ac:dyDescent="0.25">
      <c r="A2019" s="699"/>
    </row>
    <row r="2020" spans="1:1" ht="15.75" x14ac:dyDescent="0.25">
      <c r="A2020" s="699"/>
    </row>
    <row r="2021" spans="1:1" ht="15.75" x14ac:dyDescent="0.25">
      <c r="A2021" s="699"/>
    </row>
    <row r="2022" spans="1:1" ht="15.75" x14ac:dyDescent="0.25">
      <c r="A2022" s="699"/>
    </row>
    <row r="2023" spans="1:1" ht="15.75" x14ac:dyDescent="0.25">
      <c r="A2023" s="699"/>
    </row>
    <row r="2024" spans="1:1" ht="15.75" x14ac:dyDescent="0.25">
      <c r="A2024" s="699"/>
    </row>
    <row r="2025" spans="1:1" ht="15.75" x14ac:dyDescent="0.25">
      <c r="A2025" s="699"/>
    </row>
    <row r="2026" spans="1:1" ht="15.75" x14ac:dyDescent="0.25">
      <c r="A2026" s="699"/>
    </row>
    <row r="2027" spans="1:1" ht="15.75" x14ac:dyDescent="0.25">
      <c r="A2027" s="699"/>
    </row>
    <row r="2028" spans="1:1" ht="15.75" x14ac:dyDescent="0.25">
      <c r="A2028" s="699"/>
    </row>
    <row r="2029" spans="1:1" ht="15.75" x14ac:dyDescent="0.25">
      <c r="A2029" s="699"/>
    </row>
    <row r="2030" spans="1:1" ht="15.75" x14ac:dyDescent="0.25">
      <c r="A2030" s="699"/>
    </row>
    <row r="2031" spans="1:1" ht="15.75" x14ac:dyDescent="0.25">
      <c r="A2031" s="699"/>
    </row>
    <row r="2032" spans="1:1" ht="15.75" x14ac:dyDescent="0.25">
      <c r="A2032" s="699"/>
    </row>
    <row r="2033" spans="1:1" ht="15.75" x14ac:dyDescent="0.25">
      <c r="A2033" s="699"/>
    </row>
    <row r="2034" spans="1:1" ht="15.75" x14ac:dyDescent="0.25">
      <c r="A2034" s="699"/>
    </row>
    <row r="2035" spans="1:1" ht="15.75" x14ac:dyDescent="0.25">
      <c r="A2035" s="699"/>
    </row>
    <row r="2036" spans="1:1" ht="15.75" x14ac:dyDescent="0.25">
      <c r="A2036" s="699"/>
    </row>
    <row r="2037" spans="1:1" ht="15.75" x14ac:dyDescent="0.25">
      <c r="A2037" s="699"/>
    </row>
    <row r="2038" spans="1:1" ht="15.75" x14ac:dyDescent="0.25">
      <c r="A2038" s="699"/>
    </row>
    <row r="2039" spans="1:1" ht="15.75" x14ac:dyDescent="0.25">
      <c r="A2039" s="699"/>
    </row>
    <row r="2040" spans="1:1" ht="15.75" x14ac:dyDescent="0.25">
      <c r="A2040" s="699"/>
    </row>
    <row r="2041" spans="1:1" ht="15.75" x14ac:dyDescent="0.25">
      <c r="A2041" s="699"/>
    </row>
    <row r="2042" spans="1:1" ht="15.75" x14ac:dyDescent="0.25">
      <c r="A2042" s="699"/>
    </row>
    <row r="2043" spans="1:1" ht="15.75" x14ac:dyDescent="0.25">
      <c r="A2043" s="699"/>
    </row>
    <row r="2044" spans="1:1" ht="15.75" x14ac:dyDescent="0.25">
      <c r="A2044" s="699"/>
    </row>
    <row r="2045" spans="1:1" ht="15.75" x14ac:dyDescent="0.25">
      <c r="A2045" s="699"/>
    </row>
    <row r="2046" spans="1:1" ht="15.75" x14ac:dyDescent="0.25">
      <c r="A2046" s="699"/>
    </row>
    <row r="2047" spans="1:1" ht="15.75" x14ac:dyDescent="0.25">
      <c r="A2047" s="699"/>
    </row>
    <row r="2048" spans="1:1" ht="15.75" x14ac:dyDescent="0.25">
      <c r="A2048" s="699"/>
    </row>
    <row r="2049" spans="1:1" ht="15.75" x14ac:dyDescent="0.25">
      <c r="A2049" s="699"/>
    </row>
    <row r="2050" spans="1:1" ht="15.75" x14ac:dyDescent="0.25">
      <c r="A2050" s="699"/>
    </row>
    <row r="2051" spans="1:1" ht="15.75" x14ac:dyDescent="0.25">
      <c r="A2051" s="699"/>
    </row>
    <row r="2052" spans="1:1" ht="15.75" x14ac:dyDescent="0.25">
      <c r="A2052" s="699"/>
    </row>
    <row r="2053" spans="1:1" ht="15.75" x14ac:dyDescent="0.25">
      <c r="A2053" s="699"/>
    </row>
    <row r="2054" spans="1:1" ht="15.75" x14ac:dyDescent="0.25">
      <c r="A2054" s="699"/>
    </row>
    <row r="2055" spans="1:1" ht="15.75" x14ac:dyDescent="0.25">
      <c r="A2055" s="699"/>
    </row>
    <row r="2056" spans="1:1" ht="15.75" x14ac:dyDescent="0.25">
      <c r="A2056" s="699"/>
    </row>
    <row r="2057" spans="1:1" ht="15.75" x14ac:dyDescent="0.25">
      <c r="A2057" s="699"/>
    </row>
    <row r="2058" spans="1:1" ht="15.75" x14ac:dyDescent="0.25">
      <c r="A2058" s="699"/>
    </row>
    <row r="2059" spans="1:1" ht="15.75" x14ac:dyDescent="0.25">
      <c r="A2059" s="699"/>
    </row>
    <row r="2060" spans="1:1" ht="15.75" x14ac:dyDescent="0.25">
      <c r="A2060" s="699"/>
    </row>
    <row r="2061" spans="1:1" ht="15.75" x14ac:dyDescent="0.25">
      <c r="A2061" s="699"/>
    </row>
    <row r="2062" spans="1:1" ht="15.75" x14ac:dyDescent="0.25">
      <c r="A2062" s="699"/>
    </row>
    <row r="2063" spans="1:1" ht="15.75" x14ac:dyDescent="0.25">
      <c r="A2063" s="699"/>
    </row>
    <row r="2064" spans="1:1" ht="15.75" x14ac:dyDescent="0.25">
      <c r="A2064" s="699"/>
    </row>
    <row r="2065" spans="1:1" ht="15.75" x14ac:dyDescent="0.25">
      <c r="A2065" s="699"/>
    </row>
    <row r="2066" spans="1:1" ht="15.75" x14ac:dyDescent="0.25">
      <c r="A2066" s="699"/>
    </row>
    <row r="2067" spans="1:1" ht="15.75" x14ac:dyDescent="0.25">
      <c r="A2067" s="699"/>
    </row>
    <row r="2068" spans="1:1" ht="15.75" x14ac:dyDescent="0.25">
      <c r="A2068" s="699"/>
    </row>
    <row r="2069" spans="1:1" ht="15.75" x14ac:dyDescent="0.25">
      <c r="A2069" s="699"/>
    </row>
    <row r="2070" spans="1:1" ht="15.75" x14ac:dyDescent="0.25">
      <c r="A2070" s="699"/>
    </row>
    <row r="2071" spans="1:1" ht="15.75" x14ac:dyDescent="0.25">
      <c r="A2071" s="699"/>
    </row>
    <row r="2072" spans="1:1" ht="15.75" x14ac:dyDescent="0.25">
      <c r="A2072" s="699"/>
    </row>
    <row r="2073" spans="1:1" ht="15.75" x14ac:dyDescent="0.25">
      <c r="A2073" s="699"/>
    </row>
    <row r="2074" spans="1:1" ht="15.75" x14ac:dyDescent="0.25">
      <c r="A2074" s="699"/>
    </row>
    <row r="2075" spans="1:1" ht="15.75" x14ac:dyDescent="0.25">
      <c r="A2075" s="699"/>
    </row>
    <row r="2076" spans="1:1" ht="15.75" x14ac:dyDescent="0.25">
      <c r="A2076" s="699"/>
    </row>
    <row r="2077" spans="1:1" ht="15.75" x14ac:dyDescent="0.25">
      <c r="A2077" s="699"/>
    </row>
    <row r="2078" spans="1:1" ht="15.75" x14ac:dyDescent="0.25">
      <c r="A2078" s="699"/>
    </row>
    <row r="2079" spans="1:1" ht="15.75" x14ac:dyDescent="0.25">
      <c r="A2079" s="699"/>
    </row>
    <row r="2080" spans="1:1" ht="15.75" x14ac:dyDescent="0.25">
      <c r="A2080" s="699"/>
    </row>
    <row r="2081" spans="1:1" ht="15.75" x14ac:dyDescent="0.25">
      <c r="A2081" s="699"/>
    </row>
    <row r="2082" spans="1:1" ht="15.75" x14ac:dyDescent="0.25">
      <c r="A2082" s="699"/>
    </row>
    <row r="2083" spans="1:1" ht="15.75" x14ac:dyDescent="0.25">
      <c r="A2083" s="699"/>
    </row>
    <row r="2084" spans="1:1" ht="15.75" x14ac:dyDescent="0.25">
      <c r="A2084" s="699"/>
    </row>
    <row r="2085" spans="1:1" ht="15.75" x14ac:dyDescent="0.25">
      <c r="A2085" s="699"/>
    </row>
    <row r="2086" spans="1:1" ht="15.75" x14ac:dyDescent="0.25">
      <c r="A2086" s="699"/>
    </row>
    <row r="2087" spans="1:1" ht="15.75" x14ac:dyDescent="0.25">
      <c r="A2087" s="699"/>
    </row>
    <row r="2088" spans="1:1" ht="15.75" x14ac:dyDescent="0.25">
      <c r="A2088" s="699"/>
    </row>
    <row r="2089" spans="1:1" ht="15.75" x14ac:dyDescent="0.25">
      <c r="A2089" s="699"/>
    </row>
    <row r="2090" spans="1:1" ht="15.75" x14ac:dyDescent="0.25">
      <c r="A2090" s="699"/>
    </row>
    <row r="2091" spans="1:1" ht="15.75" x14ac:dyDescent="0.25">
      <c r="A2091" s="699"/>
    </row>
    <row r="2092" spans="1:1" ht="15.75" x14ac:dyDescent="0.25">
      <c r="A2092" s="699"/>
    </row>
    <row r="2093" spans="1:1" ht="15.75" x14ac:dyDescent="0.25">
      <c r="A2093" s="699"/>
    </row>
    <row r="2094" spans="1:1" ht="15.75" x14ac:dyDescent="0.25">
      <c r="A2094" s="699"/>
    </row>
    <row r="2095" spans="1:1" ht="15.75" x14ac:dyDescent="0.25">
      <c r="A2095" s="699"/>
    </row>
    <row r="2096" spans="1:1" ht="15.75" x14ac:dyDescent="0.25">
      <c r="A2096" s="699"/>
    </row>
    <row r="2097" spans="1:1" ht="15.75" x14ac:dyDescent="0.25">
      <c r="A2097" s="699"/>
    </row>
    <row r="2098" spans="1:1" ht="15.75" x14ac:dyDescent="0.25">
      <c r="A2098" s="699"/>
    </row>
    <row r="2099" spans="1:1" ht="15.75" x14ac:dyDescent="0.25">
      <c r="A2099" s="699"/>
    </row>
    <row r="2100" spans="1:1" ht="15.75" x14ac:dyDescent="0.25">
      <c r="A2100" s="699"/>
    </row>
  </sheetData>
  <mergeCells count="4">
    <mergeCell ref="B3:C3"/>
    <mergeCell ref="D3:E3"/>
    <mergeCell ref="F3:G3"/>
    <mergeCell ref="A1:G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&amp;R&amp;"Times New Roman CE,Félkövér"9.melléklet a 24/2020. (VI.3.)önkormányzati rendelethez&amp;"Times New Roman CE,Normál" 
&amp;"Times New Roman CE,Dőlt"9. melléklet az 5/2020. (II.17.)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19</vt:i4>
      </vt:variant>
      <vt:variant>
        <vt:lpstr>Névvel ellátott tartományok</vt:lpstr>
      </vt:variant>
      <vt:variant>
        <vt:i4>18</vt:i4>
      </vt:variant>
    </vt:vector>
  </HeadingPairs>
  <TitlesOfParts>
    <vt:vector size="37" baseType="lpstr">
      <vt:lpstr>1 bevétel (kötelező,önként)</vt:lpstr>
      <vt:lpstr>2 kiadás (kötelező, önként)</vt:lpstr>
      <vt:lpstr>3 bevétel(szűkített)</vt:lpstr>
      <vt:lpstr>4 kiadás(szűkített)</vt:lpstr>
      <vt:lpstr>5 egyenleg</vt:lpstr>
      <vt:lpstr>6normatíva</vt:lpstr>
      <vt:lpstr>7 int.bevétel</vt:lpstr>
      <vt:lpstr>8 int.kiadás </vt:lpstr>
      <vt:lpstr>9 álláshely</vt:lpstr>
      <vt:lpstr>10 ök kiadás</vt:lpstr>
      <vt:lpstr>11melléklet </vt:lpstr>
      <vt:lpstr>12 fejlesztés </vt:lpstr>
      <vt:lpstr>14 Ktg.szervek felúj.</vt:lpstr>
      <vt:lpstr>15 épületek fentartási költs</vt:lpstr>
      <vt:lpstr>16működési és felhalm </vt:lpstr>
      <vt:lpstr>17előirányzat felhasz. </vt:lpstr>
      <vt:lpstr>18többéves</vt:lpstr>
      <vt:lpstr>22 TFA</vt:lpstr>
      <vt:lpstr>23 Környezetvéd.alap</vt:lpstr>
      <vt:lpstr>'1 bevétel (kötelező,önként)'!Nyomtatási_cím</vt:lpstr>
      <vt:lpstr>'10 ök kiadás'!Nyomtatási_cím</vt:lpstr>
      <vt:lpstr>'11melléklet '!Nyomtatási_cím</vt:lpstr>
      <vt:lpstr>'12 fejlesztés '!Nyomtatási_cím</vt:lpstr>
      <vt:lpstr>'14 Ktg.szervek felúj.'!Nyomtatási_cím</vt:lpstr>
      <vt:lpstr>'2 kiadás (kötelező, önként)'!Nyomtatási_cím</vt:lpstr>
      <vt:lpstr>'3 bevétel(szűkített)'!Nyomtatási_cím</vt:lpstr>
      <vt:lpstr>'7 int.bevétel'!Nyomtatási_cím</vt:lpstr>
      <vt:lpstr>'8 int.kiadás '!Nyomtatási_cím</vt:lpstr>
      <vt:lpstr>'1 bevétel (kötelező,önként)'!Nyomtatási_terület</vt:lpstr>
      <vt:lpstr>'10 ök kiadás'!Nyomtatási_terület</vt:lpstr>
      <vt:lpstr>'11melléklet '!Nyomtatási_terület</vt:lpstr>
      <vt:lpstr>'17előirányzat felhasz. '!Nyomtatási_terület</vt:lpstr>
      <vt:lpstr>'18többéves'!Nyomtatási_terület</vt:lpstr>
      <vt:lpstr>'4 kiadás(szűkített)'!Nyomtatási_terület</vt:lpstr>
      <vt:lpstr>'6normatíva'!Nyomtatási_terület</vt:lpstr>
      <vt:lpstr>'7 int.bevétel'!Nyomtatási_terület</vt:lpstr>
      <vt:lpstr>'8 int.kiadás 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Polgármesteri Hivatal</dc:creator>
  <cp:lastModifiedBy>Oláhné Németh Ilona</cp:lastModifiedBy>
  <cp:lastPrinted>2020-06-03T09:30:04Z</cp:lastPrinted>
  <dcterms:created xsi:type="dcterms:W3CDTF">2003-05-23T09:53:33Z</dcterms:created>
  <dcterms:modified xsi:type="dcterms:W3CDTF">2020-06-03T09:30:06Z</dcterms:modified>
</cp:coreProperties>
</file>