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ölt\"/>
    </mc:Choice>
  </mc:AlternateContent>
  <xr:revisionPtr revIDLastSave="0" documentId="8_{0BDA94FD-3021-4D46-AF11-4F55B9FB64EA}" xr6:coauthVersionLast="46" xr6:coauthVersionMax="46" xr10:uidLastSave="{00000000-0000-0000-0000-000000000000}"/>
  <bookViews>
    <workbookView xWindow="-120" yWindow="-120" windowWidth="20730" windowHeight="11160"/>
  </bookViews>
  <sheets>
    <sheet name="1.m. kiemelt bev." sheetId="1" r:id="rId1"/>
    <sheet name="2.m. kiemelt kiad." sheetId="2" r:id="rId2"/>
    <sheet name="3.m. ksgv. mérleg" sheetId="7" r:id="rId3"/>
    <sheet name="4.m. felhalm.feladat" sheetId="6" r:id="rId4"/>
    <sheet name="5.m. tartalékok" sheetId="29" r:id="rId5"/>
    <sheet name="6.m. létszámkeret" sheetId="26" r:id="rId6"/>
    <sheet name="7.m. szoc. juttatások" sheetId="30" r:id="rId7"/>
    <sheet name="8.m. normatíva" sheetId="33" r:id="rId8"/>
    <sheet name="9m. pénzeszközök" sheetId="34" r:id="rId9"/>
    <sheet name="10.m. maradvány" sheetId="35" r:id="rId10"/>
    <sheet name="11.m. mérleg" sheetId="36" r:id="rId11"/>
    <sheet name="12.m. eredmény" sheetId="37" r:id="rId12"/>
    <sheet name="13.m. vagyon" sheetId="38" r:id="rId13"/>
    <sheet name="14.m. részesedés" sheetId="39" r:id="rId14"/>
    <sheet name="15.m. adósságot kel. ügyletek" sheetId="15" r:id="rId15"/>
    <sheet name="16.m. közvetett tám." sheetId="28" r:id="rId16"/>
    <sheet name="17.m. Támogatások" sheetId="32" r:id="rId17"/>
    <sheet name="18.m. Önk. rovat+cofog" sheetId="23" r:id="rId18"/>
    <sheet name="19.m. Óvoda rovat+cofog" sheetId="24" r:id="rId19"/>
    <sheet name="20.m. KÖH rovat+cofog" sheetId="25" r:id="rId20"/>
    <sheet name="21.m. Konyha rovat+cofog" sheetId="31" r:id="rId21"/>
    <sheet name="aládolgozó számítások" sheetId="22" state="hidden" r:id="rId22"/>
  </sheets>
  <definedNames>
    <definedName name="_xlnm.Print_Area" localSheetId="9">'10.m. maradvány'!$A$1:$G$23</definedName>
    <definedName name="_xlnm.Print_Area" localSheetId="11">'12.m. eredmény'!$A$1:$E$39</definedName>
    <definedName name="_xlnm.Print_Area" localSheetId="13">'14.m. részesedés'!$A$1:$D$16</definedName>
    <definedName name="_xlnm.Print_Area" localSheetId="15">'16.m. közvetett tám.'!$A$1:$E$25</definedName>
    <definedName name="_xlnm.Print_Area" localSheetId="17">'18.m. Önk. rovat+cofog'!$A$1:$CL$150</definedName>
    <definedName name="_xlnm.Print_Area" localSheetId="1">'2.m. kiemelt kiad.'!$A$1:$AK$15</definedName>
    <definedName name="_xlnm.Print_Area" localSheetId="7">'8.m. normatíva'!$A$1:$J$14</definedName>
    <definedName name="_xlnm.Print_Area" localSheetId="8">'9m. pénzeszközök'!$A$1:$K$17</definedName>
  </definedNames>
  <calcPr calcId="181029"/>
</workbook>
</file>

<file path=xl/calcChain.xml><?xml version="1.0" encoding="utf-8"?>
<calcChain xmlns="http://schemas.openxmlformats.org/spreadsheetml/2006/main">
  <c r="F10" i="15" l="1"/>
  <c r="E10" i="15"/>
  <c r="D10" i="15"/>
  <c r="C14" i="15"/>
  <c r="C10" i="15"/>
  <c r="F71" i="38"/>
  <c r="F62" i="38"/>
  <c r="F57" i="38"/>
  <c r="F56" i="38"/>
  <c r="F54" i="38"/>
  <c r="F52" i="38"/>
  <c r="F51" i="38"/>
  <c r="F50" i="38"/>
  <c r="F10" i="38"/>
  <c r="F45" i="38"/>
  <c r="F44" i="38"/>
  <c r="F42" i="38"/>
  <c r="F38" i="38"/>
  <c r="F37" i="38"/>
  <c r="F17" i="38"/>
  <c r="F16" i="38"/>
  <c r="F11" i="38"/>
  <c r="F8" i="38"/>
  <c r="F42" i="36"/>
  <c r="K46" i="6"/>
  <c r="K30" i="6"/>
  <c r="K25" i="6"/>
  <c r="K49" i="6"/>
  <c r="K45" i="6"/>
  <c r="K21" i="6"/>
  <c r="K20" i="6"/>
  <c r="G14" i="33"/>
  <c r="E14" i="33"/>
  <c r="F14" i="33"/>
  <c r="J14" i="33"/>
  <c r="I14" i="33"/>
  <c r="H14" i="33"/>
  <c r="N14" i="26"/>
  <c r="L14" i="26"/>
  <c r="K14" i="26"/>
  <c r="F13" i="33"/>
  <c r="I10" i="33"/>
  <c r="F10" i="33"/>
  <c r="F9" i="33"/>
  <c r="CF109" i="23"/>
  <c r="CF114" i="23"/>
  <c r="CC121" i="23"/>
  <c r="CC125" i="23"/>
  <c r="BZ121" i="23"/>
  <c r="BZ125" i="23"/>
  <c r="I121" i="23"/>
  <c r="I125" i="23"/>
  <c r="AY22" i="23"/>
  <c r="AV22" i="23"/>
  <c r="AM22" i="23"/>
  <c r="AG27" i="23"/>
  <c r="BK16" i="23"/>
  <c r="CL16" i="23"/>
  <c r="BT15" i="23"/>
  <c r="BT19" i="23"/>
  <c r="BT23" i="23"/>
  <c r="CC15" i="23"/>
  <c r="CC19" i="23"/>
  <c r="CC23" i="23"/>
  <c r="BZ15" i="23"/>
  <c r="BZ19" i="23"/>
  <c r="BZ23" i="23"/>
  <c r="BW15" i="23"/>
  <c r="BQ14" i="23"/>
  <c r="CL14" i="23"/>
  <c r="I13" i="23"/>
  <c r="AJ109" i="23"/>
  <c r="AJ114" i="23"/>
  <c r="AJ90" i="23"/>
  <c r="AJ92" i="23"/>
  <c r="BT143" i="23"/>
  <c r="CL143" i="23"/>
  <c r="AH14" i="2"/>
  <c r="F35" i="31"/>
  <c r="F36" i="31"/>
  <c r="I35" i="31"/>
  <c r="E41" i="36"/>
  <c r="E42" i="36"/>
  <c r="E36" i="36"/>
  <c r="E46" i="36"/>
  <c r="F41" i="36"/>
  <c r="E24" i="36"/>
  <c r="E20" i="36"/>
  <c r="E16" i="36"/>
  <c r="E13" i="36"/>
  <c r="E27" i="36"/>
  <c r="D36" i="37"/>
  <c r="D38" i="37"/>
  <c r="D32" i="37"/>
  <c r="D33" i="37"/>
  <c r="D29" i="37"/>
  <c r="D22" i="37"/>
  <c r="D18" i="37"/>
  <c r="D25" i="37"/>
  <c r="D34" i="37"/>
  <c r="D39" i="37"/>
  <c r="D13" i="37"/>
  <c r="E55" i="38"/>
  <c r="E48" i="38"/>
  <c r="E41" i="38"/>
  <c r="E35" i="38"/>
  <c r="E47" i="38"/>
  <c r="E32" i="38"/>
  <c r="E27" i="38"/>
  <c r="E22" i="38"/>
  <c r="E14" i="38"/>
  <c r="E11" i="38"/>
  <c r="E10" i="38"/>
  <c r="E9" i="38"/>
  <c r="E7" i="38"/>
  <c r="C12" i="39"/>
  <c r="F55" i="38"/>
  <c r="F48" i="38"/>
  <c r="F41" i="38"/>
  <c r="F35" i="38"/>
  <c r="F32" i="38"/>
  <c r="F27" i="38"/>
  <c r="F22" i="38"/>
  <c r="F14" i="38"/>
  <c r="E38" i="37"/>
  <c r="E36" i="37"/>
  <c r="E32" i="37"/>
  <c r="E29" i="37"/>
  <c r="E33" i="37"/>
  <c r="E22" i="37"/>
  <c r="E18" i="37"/>
  <c r="E13" i="37"/>
  <c r="F46" i="36"/>
  <c r="F36" i="36"/>
  <c r="F24" i="36"/>
  <c r="F20" i="36"/>
  <c r="F16" i="36"/>
  <c r="F13" i="36"/>
  <c r="G22" i="35"/>
  <c r="G19" i="35"/>
  <c r="G18" i="35"/>
  <c r="G17" i="35"/>
  <c r="E16" i="35"/>
  <c r="E20" i="35"/>
  <c r="D16" i="35"/>
  <c r="D20" i="35"/>
  <c r="C16" i="35"/>
  <c r="G15" i="35"/>
  <c r="G14" i="35"/>
  <c r="F12" i="35"/>
  <c r="E12" i="35"/>
  <c r="D12" i="35"/>
  <c r="C12" i="35"/>
  <c r="C13" i="35"/>
  <c r="G11" i="35"/>
  <c r="G10" i="35"/>
  <c r="F9" i="35"/>
  <c r="E9" i="35"/>
  <c r="D9" i="35"/>
  <c r="D13" i="35"/>
  <c r="D21" i="35"/>
  <c r="D23" i="35"/>
  <c r="C9" i="35"/>
  <c r="G8" i="35"/>
  <c r="G7" i="35"/>
  <c r="J16" i="34"/>
  <c r="J17" i="34"/>
  <c r="I16" i="34"/>
  <c r="I17" i="34"/>
  <c r="H16" i="34"/>
  <c r="H17" i="34"/>
  <c r="G16" i="34"/>
  <c r="G17" i="34"/>
  <c r="K15" i="34"/>
  <c r="K14" i="34"/>
  <c r="K13" i="34"/>
  <c r="K12" i="34"/>
  <c r="K11" i="34"/>
  <c r="K10" i="34"/>
  <c r="K9" i="34"/>
  <c r="D14" i="33"/>
  <c r="I12" i="33"/>
  <c r="F12" i="33"/>
  <c r="I11" i="33"/>
  <c r="F11" i="33"/>
  <c r="I9" i="33"/>
  <c r="C14" i="33"/>
  <c r="I8" i="33"/>
  <c r="F8" i="33"/>
  <c r="F7" i="33"/>
  <c r="H21" i="30"/>
  <c r="E21" i="30"/>
  <c r="K15" i="30"/>
  <c r="K14" i="30"/>
  <c r="K13" i="30"/>
  <c r="K12" i="30"/>
  <c r="K20" i="30"/>
  <c r="K19" i="30"/>
  <c r="K21" i="30"/>
  <c r="H16" i="30"/>
  <c r="E16" i="30"/>
  <c r="E23" i="30"/>
  <c r="M18" i="26"/>
  <c r="M11" i="26"/>
  <c r="M12" i="26"/>
  <c r="M13" i="26"/>
  <c r="M10" i="26"/>
  <c r="F25" i="29"/>
  <c r="F17" i="29"/>
  <c r="K65" i="6"/>
  <c r="K60" i="6"/>
  <c r="K55" i="6"/>
  <c r="K50" i="6"/>
  <c r="K42" i="6"/>
  <c r="K36" i="6"/>
  <c r="K31" i="6"/>
  <c r="K37" i="6"/>
  <c r="K16" i="6"/>
  <c r="S14" i="2"/>
  <c r="S15" i="2"/>
  <c r="I16" i="7"/>
  <c r="E30" i="7"/>
  <c r="CL70" i="23"/>
  <c r="CL71" i="23"/>
  <c r="CL72" i="23"/>
  <c r="CL73" i="23"/>
  <c r="CL74" i="23"/>
  <c r="CL75" i="23"/>
  <c r="CL76" i="23"/>
  <c r="CL78" i="23"/>
  <c r="CL79" i="23"/>
  <c r="CL80" i="23"/>
  <c r="CL83" i="23"/>
  <c r="CL84" i="23"/>
  <c r="CL85" i="23"/>
  <c r="CL86" i="23"/>
  <c r="CL87" i="23"/>
  <c r="CL89" i="23"/>
  <c r="CL90" i="23"/>
  <c r="CL91" i="23"/>
  <c r="CL93" i="23"/>
  <c r="CL94" i="23"/>
  <c r="CL96" i="23"/>
  <c r="CL97" i="23"/>
  <c r="CL98" i="23"/>
  <c r="CL100" i="23"/>
  <c r="CL101" i="23"/>
  <c r="CL102" i="23"/>
  <c r="CL103" i="23"/>
  <c r="CL104" i="23"/>
  <c r="CL105" i="23"/>
  <c r="CL107" i="23"/>
  <c r="CL108" i="23"/>
  <c r="CL110" i="23"/>
  <c r="CL111" i="23"/>
  <c r="CL112" i="23"/>
  <c r="CL113" i="23"/>
  <c r="CL116" i="23"/>
  <c r="CL118" i="23"/>
  <c r="CL119" i="23"/>
  <c r="CL120" i="23"/>
  <c r="CL122" i="23"/>
  <c r="CL123" i="23"/>
  <c r="CL124" i="23"/>
  <c r="CL126" i="23"/>
  <c r="CL127" i="23"/>
  <c r="CL128" i="23"/>
  <c r="CL129" i="23"/>
  <c r="CL130" i="23"/>
  <c r="CL132" i="23"/>
  <c r="CL133" i="23"/>
  <c r="CL134" i="23"/>
  <c r="CL135" i="23"/>
  <c r="CL137" i="23"/>
  <c r="CL138" i="23"/>
  <c r="CL139" i="23"/>
  <c r="CL141" i="23"/>
  <c r="CL142" i="23"/>
  <c r="AB14" i="2"/>
  <c r="AB15" i="2"/>
  <c r="I29" i="7"/>
  <c r="CL146" i="23"/>
  <c r="CL69" i="23"/>
  <c r="CL22" i="23"/>
  <c r="CL24" i="23"/>
  <c r="CL25" i="23"/>
  <c r="CL26" i="23"/>
  <c r="CL27" i="23"/>
  <c r="CL29" i="23"/>
  <c r="CL30" i="23"/>
  <c r="CL31" i="23"/>
  <c r="CL32" i="23"/>
  <c r="CL33" i="23"/>
  <c r="CL35" i="23"/>
  <c r="CL36" i="23"/>
  <c r="CL37" i="23"/>
  <c r="CL38" i="23"/>
  <c r="CL39" i="23"/>
  <c r="CL40" i="23"/>
  <c r="CL41" i="23"/>
  <c r="CL42" i="23"/>
  <c r="CL43" i="23"/>
  <c r="CL44" i="23"/>
  <c r="CL46" i="23"/>
  <c r="CL47" i="23"/>
  <c r="CL49" i="23"/>
  <c r="CL50" i="23"/>
  <c r="CL52" i="23"/>
  <c r="CL53" i="23"/>
  <c r="CL55" i="23"/>
  <c r="CL56" i="23"/>
  <c r="AH15" i="1"/>
  <c r="AH16" i="1"/>
  <c r="I33" i="7"/>
  <c r="CL57" i="23"/>
  <c r="AE15" i="1"/>
  <c r="AE16" i="1"/>
  <c r="CL21" i="23"/>
  <c r="CL20" i="23"/>
  <c r="CL17" i="23"/>
  <c r="CL18" i="23"/>
  <c r="BM145" i="23"/>
  <c r="BM149" i="23"/>
  <c r="F144" i="23"/>
  <c r="G144" i="23"/>
  <c r="I144" i="23"/>
  <c r="J144" i="23"/>
  <c r="K144" i="23"/>
  <c r="L144" i="23"/>
  <c r="M144" i="23"/>
  <c r="N144" i="23"/>
  <c r="O144" i="23"/>
  <c r="P144" i="23"/>
  <c r="Q144" i="23"/>
  <c r="R144" i="23"/>
  <c r="S144" i="23"/>
  <c r="T144" i="23"/>
  <c r="U144" i="23"/>
  <c r="V144" i="23"/>
  <c r="W144" i="23"/>
  <c r="X144" i="23"/>
  <c r="Y144" i="23"/>
  <c r="Z144" i="23"/>
  <c r="AA144" i="23"/>
  <c r="AB144" i="23"/>
  <c r="AC144" i="23"/>
  <c r="AD144" i="23"/>
  <c r="AE144" i="23"/>
  <c r="AF144" i="23"/>
  <c r="AG144" i="23"/>
  <c r="AH144" i="23"/>
  <c r="AI144" i="23"/>
  <c r="AJ144" i="23"/>
  <c r="AK144" i="23"/>
  <c r="AL144" i="23"/>
  <c r="AM144" i="23"/>
  <c r="AN144" i="23"/>
  <c r="AO144" i="23"/>
  <c r="AP144" i="23"/>
  <c r="AQ144" i="23"/>
  <c r="AR144" i="23"/>
  <c r="AS144" i="23"/>
  <c r="AT144" i="23"/>
  <c r="AU144" i="23"/>
  <c r="AV144" i="23"/>
  <c r="AW144" i="23"/>
  <c r="AX144" i="23"/>
  <c r="AY144" i="23"/>
  <c r="AZ144" i="23"/>
  <c r="BA144" i="23"/>
  <c r="BB144" i="23"/>
  <c r="BC144" i="23"/>
  <c r="BD144" i="23"/>
  <c r="BE144" i="23"/>
  <c r="BF144" i="23"/>
  <c r="BG144" i="23"/>
  <c r="BH144" i="23"/>
  <c r="BI144" i="23"/>
  <c r="BJ144" i="23"/>
  <c r="BK144" i="23"/>
  <c r="BL144" i="23"/>
  <c r="BM144" i="23"/>
  <c r="BN144" i="23"/>
  <c r="BQ144" i="23"/>
  <c r="BR144" i="23"/>
  <c r="BU144" i="23"/>
  <c r="BV144" i="23"/>
  <c r="BW144" i="23"/>
  <c r="BX144" i="23"/>
  <c r="BY144" i="23"/>
  <c r="BZ144" i="23"/>
  <c r="CA144" i="23"/>
  <c r="CB144" i="23"/>
  <c r="CC144" i="23"/>
  <c r="CD144" i="23"/>
  <c r="CE144" i="23"/>
  <c r="CF144" i="23"/>
  <c r="CG144" i="23"/>
  <c r="CH144" i="23"/>
  <c r="CI144" i="23"/>
  <c r="F140" i="23"/>
  <c r="G140" i="23"/>
  <c r="H140" i="23"/>
  <c r="I140" i="23"/>
  <c r="J140" i="23"/>
  <c r="K140" i="23"/>
  <c r="L140" i="23"/>
  <c r="M140" i="23"/>
  <c r="N140" i="23"/>
  <c r="O140" i="23"/>
  <c r="P140" i="23"/>
  <c r="Q140" i="23"/>
  <c r="R140" i="23"/>
  <c r="S140" i="23"/>
  <c r="T140" i="23"/>
  <c r="U140" i="23"/>
  <c r="V140" i="23"/>
  <c r="W140" i="23"/>
  <c r="X140" i="23"/>
  <c r="Y140" i="23"/>
  <c r="Z140" i="23"/>
  <c r="AA140" i="23"/>
  <c r="AB140" i="23"/>
  <c r="AC140" i="23"/>
  <c r="AD140" i="23"/>
  <c r="AE140" i="23"/>
  <c r="AF140" i="23"/>
  <c r="AG140" i="23"/>
  <c r="AH140" i="23"/>
  <c r="AI140" i="23"/>
  <c r="AJ140" i="23"/>
  <c r="AK140" i="23"/>
  <c r="AL140" i="23"/>
  <c r="AM140" i="23"/>
  <c r="AN140" i="23"/>
  <c r="AO140" i="23"/>
  <c r="AP140" i="23"/>
  <c r="AQ140" i="23"/>
  <c r="AR140" i="23"/>
  <c r="AS140" i="23"/>
  <c r="AT140" i="23"/>
  <c r="AU140" i="23"/>
  <c r="AV140" i="23"/>
  <c r="AW140" i="23"/>
  <c r="AX140" i="23"/>
  <c r="AY140" i="23"/>
  <c r="AZ140" i="23"/>
  <c r="BA140" i="23"/>
  <c r="BB140" i="23"/>
  <c r="BC140" i="23"/>
  <c r="BD140" i="23"/>
  <c r="BE140" i="23"/>
  <c r="BF140" i="23"/>
  <c r="BG140" i="23"/>
  <c r="BH140" i="23"/>
  <c r="BI140" i="23"/>
  <c r="BJ140" i="23"/>
  <c r="BK140" i="23"/>
  <c r="BL140" i="23"/>
  <c r="BM140" i="23"/>
  <c r="BN140" i="23"/>
  <c r="BO140" i="23"/>
  <c r="BP140" i="23"/>
  <c r="BQ140" i="23"/>
  <c r="BR140" i="23"/>
  <c r="BS140" i="23"/>
  <c r="BT140" i="23"/>
  <c r="BU140" i="23"/>
  <c r="BV140" i="23"/>
  <c r="BW140" i="23"/>
  <c r="BX140" i="23"/>
  <c r="BY140" i="23"/>
  <c r="BZ140" i="23"/>
  <c r="CA140" i="23"/>
  <c r="CB140" i="23"/>
  <c r="CC140" i="23"/>
  <c r="CD140" i="23"/>
  <c r="CE140" i="23"/>
  <c r="CF140" i="23"/>
  <c r="CG140" i="23"/>
  <c r="CH140" i="23"/>
  <c r="CI140" i="23"/>
  <c r="F136" i="23"/>
  <c r="G136" i="23"/>
  <c r="H136" i="23"/>
  <c r="I136" i="23"/>
  <c r="J136" i="23"/>
  <c r="K136" i="23"/>
  <c r="L136" i="23"/>
  <c r="O136" i="23"/>
  <c r="P136" i="23"/>
  <c r="Q136" i="23"/>
  <c r="R136" i="23"/>
  <c r="T136" i="23"/>
  <c r="U136" i="23"/>
  <c r="X136" i="23"/>
  <c r="Y136" i="23"/>
  <c r="Z136" i="23"/>
  <c r="AA136" i="23"/>
  <c r="AB136" i="23"/>
  <c r="AC136" i="23"/>
  <c r="AD136" i="23"/>
  <c r="AE136" i="23"/>
  <c r="AG136" i="23"/>
  <c r="AH136" i="23"/>
  <c r="AJ136" i="23"/>
  <c r="AK136" i="23"/>
  <c r="AM136" i="23"/>
  <c r="AN136" i="23"/>
  <c r="AO136" i="23"/>
  <c r="AP136" i="23"/>
  <c r="AQ136" i="23"/>
  <c r="AR136" i="23"/>
  <c r="AS136" i="23"/>
  <c r="AT136" i="23"/>
  <c r="AU136" i="23"/>
  <c r="AV136" i="23"/>
  <c r="AW136" i="23"/>
  <c r="AX136" i="23"/>
  <c r="AY136" i="23"/>
  <c r="AZ136" i="23"/>
  <c r="BA136" i="23"/>
  <c r="BB136" i="23"/>
  <c r="BC136" i="23"/>
  <c r="BD136" i="23"/>
  <c r="BE136" i="23"/>
  <c r="BF136" i="23"/>
  <c r="BH136" i="23"/>
  <c r="BI136" i="23"/>
  <c r="BK136" i="23"/>
  <c r="BL136" i="23"/>
  <c r="BM136" i="23"/>
  <c r="BN136" i="23"/>
  <c r="BP136" i="23"/>
  <c r="BQ136" i="23"/>
  <c r="BR136" i="23"/>
  <c r="BS136" i="23"/>
  <c r="BT136" i="23"/>
  <c r="BU136" i="23"/>
  <c r="BV136" i="23"/>
  <c r="BW136" i="23"/>
  <c r="BX136" i="23"/>
  <c r="BY136" i="23"/>
  <c r="BZ136" i="23"/>
  <c r="CA136" i="23"/>
  <c r="CB136" i="23"/>
  <c r="CC136" i="23"/>
  <c r="CD136" i="23"/>
  <c r="CE136" i="23"/>
  <c r="CF136" i="23"/>
  <c r="CG136" i="23"/>
  <c r="CH136" i="23"/>
  <c r="CI136" i="23"/>
  <c r="F131" i="23"/>
  <c r="G131" i="23"/>
  <c r="H131" i="23"/>
  <c r="I131" i="23"/>
  <c r="J131" i="23"/>
  <c r="K131" i="23"/>
  <c r="L131" i="23"/>
  <c r="M131" i="23"/>
  <c r="O131" i="23"/>
  <c r="P131" i="23"/>
  <c r="Q131" i="23"/>
  <c r="R131" i="23"/>
  <c r="S131" i="23"/>
  <c r="U131" i="23"/>
  <c r="V131" i="23"/>
  <c r="W131" i="23"/>
  <c r="X131" i="23"/>
  <c r="Y131" i="23"/>
  <c r="Z131" i="23"/>
  <c r="AA131" i="23"/>
  <c r="AB131" i="23"/>
  <c r="AC131" i="23"/>
  <c r="AD131" i="23"/>
  <c r="AE131" i="23"/>
  <c r="AG131" i="23"/>
  <c r="AH131" i="23"/>
  <c r="AJ131" i="23"/>
  <c r="AK131" i="23"/>
  <c r="AM131" i="23"/>
  <c r="AN131" i="23"/>
  <c r="AO131" i="23"/>
  <c r="AP131" i="23"/>
  <c r="AQ131" i="23"/>
  <c r="AR131" i="23"/>
  <c r="AS131" i="23"/>
  <c r="AT131" i="23"/>
  <c r="AV131" i="23"/>
  <c r="AW131" i="23"/>
  <c r="AX131" i="23"/>
  <c r="AY131" i="23"/>
  <c r="AZ131" i="23"/>
  <c r="BA131" i="23"/>
  <c r="BB131" i="23"/>
  <c r="BC131" i="23"/>
  <c r="BD131" i="23"/>
  <c r="BE131" i="23"/>
  <c r="BF131" i="23"/>
  <c r="BG131" i="23"/>
  <c r="BH131" i="23"/>
  <c r="BI131" i="23"/>
  <c r="BK131" i="23"/>
  <c r="BL131" i="23"/>
  <c r="BM131" i="23"/>
  <c r="BN131" i="23"/>
  <c r="BQ131" i="23"/>
  <c r="BR131" i="23"/>
  <c r="BT131" i="23"/>
  <c r="BU131" i="23"/>
  <c r="BW131" i="23"/>
  <c r="BX131" i="23"/>
  <c r="BY131" i="23"/>
  <c r="BZ131" i="23"/>
  <c r="CA131" i="23"/>
  <c r="CB131" i="23"/>
  <c r="CC131" i="23"/>
  <c r="CD131" i="23"/>
  <c r="CE131" i="23"/>
  <c r="CF131" i="23"/>
  <c r="CG131" i="23"/>
  <c r="CH131" i="23"/>
  <c r="CI131" i="23"/>
  <c r="F125" i="23"/>
  <c r="G125" i="23"/>
  <c r="J125" i="23"/>
  <c r="K125" i="23"/>
  <c r="L125" i="23"/>
  <c r="M125" i="23"/>
  <c r="O125" i="23"/>
  <c r="P125" i="23"/>
  <c r="Q125" i="23"/>
  <c r="R125" i="23"/>
  <c r="S125" i="23"/>
  <c r="T125" i="23"/>
  <c r="U125" i="23"/>
  <c r="V125" i="23"/>
  <c r="W125" i="23"/>
  <c r="X125" i="23"/>
  <c r="Y125" i="23"/>
  <c r="Z125" i="23"/>
  <c r="AA125" i="23"/>
  <c r="AB125" i="23"/>
  <c r="AC125" i="23"/>
  <c r="AD125" i="23"/>
  <c r="AE125" i="23"/>
  <c r="AF125" i="23"/>
  <c r="AG125" i="23"/>
  <c r="AH125" i="23"/>
  <c r="AI125" i="23"/>
  <c r="AJ125" i="23"/>
  <c r="AK125" i="23"/>
  <c r="AL125" i="23"/>
  <c r="AM125" i="23"/>
  <c r="AN125" i="23"/>
  <c r="AO125" i="23"/>
  <c r="AP125" i="23"/>
  <c r="AQ125" i="23"/>
  <c r="AR125" i="23"/>
  <c r="AS125" i="23"/>
  <c r="AT125" i="23"/>
  <c r="AU125" i="23"/>
  <c r="AV125" i="23"/>
  <c r="AW125" i="23"/>
  <c r="AX125" i="23"/>
  <c r="AY125" i="23"/>
  <c r="AZ125" i="23"/>
  <c r="BA125" i="23"/>
  <c r="BB125" i="23"/>
  <c r="BC125" i="23"/>
  <c r="BD125" i="23"/>
  <c r="BE125" i="23"/>
  <c r="BF125" i="23"/>
  <c r="BH125" i="23"/>
  <c r="BI125" i="23"/>
  <c r="BJ125" i="23"/>
  <c r="BK125" i="23"/>
  <c r="BL125" i="23"/>
  <c r="BM125" i="23"/>
  <c r="BN125" i="23"/>
  <c r="BO125" i="23"/>
  <c r="BP125" i="23"/>
  <c r="BQ125" i="23"/>
  <c r="BR125" i="23"/>
  <c r="BS125" i="23"/>
  <c r="BT125" i="23"/>
  <c r="BU125" i="23"/>
  <c r="BV125" i="23"/>
  <c r="BW125" i="23"/>
  <c r="BX125" i="23"/>
  <c r="CA125" i="23"/>
  <c r="CD125" i="23"/>
  <c r="CE125" i="23"/>
  <c r="CF125" i="23"/>
  <c r="CG125" i="23"/>
  <c r="CH125" i="23"/>
  <c r="CI125" i="23"/>
  <c r="F117" i="23"/>
  <c r="G117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AA117" i="23"/>
  <c r="AB117" i="23"/>
  <c r="AC117" i="23"/>
  <c r="AD117" i="23"/>
  <c r="AE117" i="23"/>
  <c r="AF117" i="23"/>
  <c r="AG117" i="23"/>
  <c r="AH117" i="23"/>
  <c r="AI117" i="23"/>
  <c r="AJ117" i="23"/>
  <c r="AK117" i="23"/>
  <c r="AL117" i="23"/>
  <c r="AM117" i="23"/>
  <c r="AN117" i="23"/>
  <c r="AO117" i="23"/>
  <c r="AP117" i="23"/>
  <c r="AQ117" i="23"/>
  <c r="AR117" i="23"/>
  <c r="AS117" i="23"/>
  <c r="AT117" i="23"/>
  <c r="AU117" i="23"/>
  <c r="AV117" i="23"/>
  <c r="AW117" i="23"/>
  <c r="AX117" i="23"/>
  <c r="AY117" i="23"/>
  <c r="AZ117" i="23"/>
  <c r="BA117" i="23"/>
  <c r="BB117" i="23"/>
  <c r="BC117" i="23"/>
  <c r="BD117" i="23"/>
  <c r="BE117" i="23"/>
  <c r="BF117" i="23"/>
  <c r="BG117" i="23"/>
  <c r="BH117" i="23"/>
  <c r="BI117" i="23"/>
  <c r="BJ117" i="23"/>
  <c r="BK117" i="23"/>
  <c r="BL117" i="23"/>
  <c r="BM117" i="23"/>
  <c r="BN117" i="23"/>
  <c r="BO117" i="23"/>
  <c r="BP117" i="23"/>
  <c r="BQ117" i="23"/>
  <c r="BR117" i="23"/>
  <c r="BS117" i="23"/>
  <c r="BT117" i="23"/>
  <c r="BU117" i="23"/>
  <c r="BV117" i="23"/>
  <c r="BW117" i="23"/>
  <c r="BX117" i="23"/>
  <c r="BY117" i="23"/>
  <c r="BZ117" i="23"/>
  <c r="CA117" i="23"/>
  <c r="CB117" i="23"/>
  <c r="CC117" i="23"/>
  <c r="CD117" i="23"/>
  <c r="CE117" i="23"/>
  <c r="CF117" i="23"/>
  <c r="CG117" i="23"/>
  <c r="CH117" i="23"/>
  <c r="CI117" i="23"/>
  <c r="Q115" i="23"/>
  <c r="AS115" i="23"/>
  <c r="BE115" i="23"/>
  <c r="E114" i="23"/>
  <c r="F114" i="23"/>
  <c r="I114" i="23"/>
  <c r="L114" i="23"/>
  <c r="O114" i="23"/>
  <c r="P114" i="23"/>
  <c r="R114" i="23"/>
  <c r="U114" i="23"/>
  <c r="X114" i="23"/>
  <c r="Z114" i="23"/>
  <c r="AA114" i="23"/>
  <c r="AD114" i="23"/>
  <c r="AE114" i="23"/>
  <c r="AF114" i="23"/>
  <c r="AG114" i="23"/>
  <c r="AK114" i="23"/>
  <c r="AM114" i="23"/>
  <c r="AN114" i="23"/>
  <c r="AO114" i="23"/>
  <c r="AP114" i="23"/>
  <c r="AR114" i="23"/>
  <c r="AS114" i="23"/>
  <c r="AV114" i="23"/>
  <c r="AX114" i="23"/>
  <c r="AY114" i="23"/>
  <c r="BB114" i="23"/>
  <c r="BD114" i="23"/>
  <c r="BE114" i="23"/>
  <c r="BH114" i="23"/>
  <c r="BK114" i="23"/>
  <c r="BM114" i="23"/>
  <c r="BN114" i="23"/>
  <c r="BQ114" i="23"/>
  <c r="BR114" i="23"/>
  <c r="BT114" i="23"/>
  <c r="BW114" i="23"/>
  <c r="BZ114" i="23"/>
  <c r="CC114" i="23"/>
  <c r="CH114" i="23"/>
  <c r="CI114" i="23"/>
  <c r="G106" i="23"/>
  <c r="O115" i="23"/>
  <c r="X106" i="23"/>
  <c r="AG106" i="23"/>
  <c r="AK106" i="23"/>
  <c r="AO106" i="23"/>
  <c r="AS106" i="23"/>
  <c r="AX106" i="23"/>
  <c r="BD106" i="23"/>
  <c r="BL106" i="23"/>
  <c r="BN106" i="23"/>
  <c r="BP106" i="23"/>
  <c r="BR106" i="23"/>
  <c r="BT106" i="23"/>
  <c r="BV106" i="23"/>
  <c r="BY106" i="23"/>
  <c r="CA106" i="23"/>
  <c r="CC106" i="23"/>
  <c r="CE106" i="23"/>
  <c r="CG106" i="23"/>
  <c r="CG109" i="23"/>
  <c r="CG114" i="23"/>
  <c r="CI106" i="23"/>
  <c r="F99" i="23"/>
  <c r="F106" i="23"/>
  <c r="G99" i="23"/>
  <c r="H99" i="23"/>
  <c r="H106" i="23"/>
  <c r="I99" i="23"/>
  <c r="I106" i="23"/>
  <c r="J99" i="23"/>
  <c r="J106" i="23"/>
  <c r="K99" i="23"/>
  <c r="K106" i="23"/>
  <c r="L99" i="23"/>
  <c r="M99" i="23"/>
  <c r="M106" i="23"/>
  <c r="N99" i="23"/>
  <c r="N106" i="23"/>
  <c r="N109" i="23"/>
  <c r="O99" i="23"/>
  <c r="O106" i="23"/>
  <c r="P99" i="23"/>
  <c r="P106" i="23"/>
  <c r="Q99" i="23"/>
  <c r="Q106" i="23"/>
  <c r="R99" i="23"/>
  <c r="R106" i="23"/>
  <c r="R145" i="23"/>
  <c r="R149" i="23"/>
  <c r="S99" i="23"/>
  <c r="S106" i="23"/>
  <c r="T99" i="23"/>
  <c r="T106" i="23"/>
  <c r="U99" i="23"/>
  <c r="U106" i="23"/>
  <c r="V99" i="23"/>
  <c r="V106" i="23"/>
  <c r="W99" i="23"/>
  <c r="W106" i="23"/>
  <c r="X99" i="23"/>
  <c r="Y99" i="23"/>
  <c r="Y106" i="23"/>
  <c r="Z99" i="23"/>
  <c r="Z106" i="23"/>
  <c r="AA99" i="23"/>
  <c r="AA106" i="23"/>
  <c r="AB99" i="23"/>
  <c r="AB106" i="23"/>
  <c r="AC99" i="23"/>
  <c r="AC106" i="23"/>
  <c r="AD99" i="23"/>
  <c r="AD106" i="23"/>
  <c r="AE99" i="23"/>
  <c r="AE106" i="23"/>
  <c r="AF99" i="23"/>
  <c r="AF106" i="23"/>
  <c r="AG99" i="23"/>
  <c r="AH99" i="23"/>
  <c r="AH106" i="23"/>
  <c r="AI99" i="23"/>
  <c r="AI106" i="23"/>
  <c r="AJ99" i="23"/>
  <c r="AJ106" i="23"/>
  <c r="AK99" i="23"/>
  <c r="AL99" i="23"/>
  <c r="AL106" i="23"/>
  <c r="AM99" i="23"/>
  <c r="AM106" i="23"/>
  <c r="AN99" i="23"/>
  <c r="AO99" i="23"/>
  <c r="AP99" i="23"/>
  <c r="AP106" i="23"/>
  <c r="AQ99" i="23"/>
  <c r="AQ106" i="23"/>
  <c r="AR99" i="23"/>
  <c r="AR106" i="23"/>
  <c r="AS99" i="23"/>
  <c r="AT99" i="23"/>
  <c r="AT106" i="23"/>
  <c r="AU99" i="23"/>
  <c r="AU106" i="23"/>
  <c r="AV99" i="23"/>
  <c r="AV106" i="23"/>
  <c r="AW99" i="23"/>
  <c r="AW106" i="23"/>
  <c r="AX99" i="23"/>
  <c r="AY99" i="23"/>
  <c r="AY106" i="23"/>
  <c r="AZ99" i="23"/>
  <c r="AZ106" i="23"/>
  <c r="BA99" i="23"/>
  <c r="BA106" i="23"/>
  <c r="BB99" i="23"/>
  <c r="BB106" i="23"/>
  <c r="BC99" i="23"/>
  <c r="BC106" i="23"/>
  <c r="BD99" i="23"/>
  <c r="BE99" i="23"/>
  <c r="BE106" i="23"/>
  <c r="BF99" i="23"/>
  <c r="BF106" i="23"/>
  <c r="BG99" i="23"/>
  <c r="BG106" i="23"/>
  <c r="BH99" i="23"/>
  <c r="BH106" i="23"/>
  <c r="BI99" i="23"/>
  <c r="BI106" i="23"/>
  <c r="BJ99" i="23"/>
  <c r="BJ106" i="23"/>
  <c r="BK99" i="23"/>
  <c r="BK106" i="23"/>
  <c r="BL99" i="23"/>
  <c r="BM99" i="23"/>
  <c r="BM106" i="23"/>
  <c r="BN99" i="23"/>
  <c r="BO99" i="23"/>
  <c r="BO106" i="23"/>
  <c r="BO115" i="23"/>
  <c r="BP99" i="23"/>
  <c r="BQ99" i="23"/>
  <c r="BQ106" i="23"/>
  <c r="BR99" i="23"/>
  <c r="BS99" i="23"/>
  <c r="BS106" i="23"/>
  <c r="BT99" i="23"/>
  <c r="BU99" i="23"/>
  <c r="BU106" i="23"/>
  <c r="BV99" i="23"/>
  <c r="BW99" i="23"/>
  <c r="BW106" i="23"/>
  <c r="BX99" i="23"/>
  <c r="BX106" i="23"/>
  <c r="BY99" i="23"/>
  <c r="BZ99" i="23"/>
  <c r="BZ106" i="23"/>
  <c r="CA99" i="23"/>
  <c r="CB99" i="23"/>
  <c r="CB106" i="23"/>
  <c r="CC99" i="23"/>
  <c r="CD99" i="23"/>
  <c r="CD106" i="23"/>
  <c r="CE99" i="23"/>
  <c r="CF99" i="23"/>
  <c r="CF106" i="23"/>
  <c r="CG99" i="23"/>
  <c r="CH99" i="23"/>
  <c r="CH106" i="23"/>
  <c r="CI99" i="23"/>
  <c r="F95" i="23"/>
  <c r="G95" i="23"/>
  <c r="H95" i="23"/>
  <c r="I95" i="23"/>
  <c r="J95" i="23"/>
  <c r="K95" i="23"/>
  <c r="L95" i="23"/>
  <c r="M95" i="23"/>
  <c r="N95" i="23"/>
  <c r="O95" i="23"/>
  <c r="P95" i="23"/>
  <c r="Q95" i="23"/>
  <c r="R95" i="23"/>
  <c r="S95" i="23"/>
  <c r="T95" i="23"/>
  <c r="U95" i="23"/>
  <c r="V95" i="23"/>
  <c r="W95" i="23"/>
  <c r="X95" i="23"/>
  <c r="Y95" i="23"/>
  <c r="Z95" i="23"/>
  <c r="AA95" i="23"/>
  <c r="AB95" i="23"/>
  <c r="AC95" i="23"/>
  <c r="AD95" i="23"/>
  <c r="AE95" i="23"/>
  <c r="AF95" i="23"/>
  <c r="AG95" i="23"/>
  <c r="AH95" i="23"/>
  <c r="AI95" i="23"/>
  <c r="AJ95" i="23"/>
  <c r="AK95" i="23"/>
  <c r="AL95" i="23"/>
  <c r="AM95" i="23"/>
  <c r="AN95" i="23"/>
  <c r="AO95" i="23"/>
  <c r="AP95" i="23"/>
  <c r="AQ95" i="23"/>
  <c r="AR95" i="23"/>
  <c r="AS95" i="23"/>
  <c r="AT95" i="23"/>
  <c r="AU95" i="23"/>
  <c r="AV95" i="23"/>
  <c r="AW95" i="23"/>
  <c r="AX95" i="23"/>
  <c r="AY95" i="23"/>
  <c r="AZ95" i="23"/>
  <c r="BA95" i="23"/>
  <c r="BB95" i="23"/>
  <c r="BC95" i="23"/>
  <c r="BD95" i="23"/>
  <c r="BE95" i="23"/>
  <c r="BF95" i="23"/>
  <c r="BG95" i="23"/>
  <c r="BH95" i="23"/>
  <c r="BI95" i="23"/>
  <c r="BJ95" i="23"/>
  <c r="BK95" i="23"/>
  <c r="BL95" i="23"/>
  <c r="BM95" i="23"/>
  <c r="BN95" i="23"/>
  <c r="BO95" i="23"/>
  <c r="BP95" i="23"/>
  <c r="BQ95" i="23"/>
  <c r="BR95" i="23"/>
  <c r="BS95" i="23"/>
  <c r="BT95" i="23"/>
  <c r="BU95" i="23"/>
  <c r="BV95" i="23"/>
  <c r="BW95" i="23"/>
  <c r="BX95" i="23"/>
  <c r="BY95" i="23"/>
  <c r="BZ95" i="23"/>
  <c r="CA95" i="23"/>
  <c r="CB95" i="23"/>
  <c r="CC95" i="23"/>
  <c r="CD95" i="23"/>
  <c r="CE95" i="23"/>
  <c r="CF95" i="23"/>
  <c r="CG95" i="23"/>
  <c r="CH95" i="23"/>
  <c r="CI95" i="23"/>
  <c r="F92" i="23"/>
  <c r="F115" i="23"/>
  <c r="G92" i="23"/>
  <c r="H92" i="23"/>
  <c r="I92" i="23"/>
  <c r="J92" i="23"/>
  <c r="K92" i="23"/>
  <c r="L92" i="23"/>
  <c r="M92" i="23"/>
  <c r="N92" i="23"/>
  <c r="O92" i="23"/>
  <c r="P92" i="23"/>
  <c r="P115" i="23"/>
  <c r="Q92" i="23"/>
  <c r="R92" i="23"/>
  <c r="R115" i="23"/>
  <c r="S92" i="23"/>
  <c r="T92" i="23"/>
  <c r="U92" i="23"/>
  <c r="V92" i="23"/>
  <c r="W92" i="23"/>
  <c r="X92" i="23"/>
  <c r="X115" i="23"/>
  <c r="Y92" i="23"/>
  <c r="Z92" i="23"/>
  <c r="AA92" i="23"/>
  <c r="AA115" i="23"/>
  <c r="AB92" i="23"/>
  <c r="AC92" i="23"/>
  <c r="AD92" i="23"/>
  <c r="AE92" i="23"/>
  <c r="AE115" i="23"/>
  <c r="AF92" i="23"/>
  <c r="AG92" i="23"/>
  <c r="AG115" i="23"/>
  <c r="AH92" i="23"/>
  <c r="AI92" i="23"/>
  <c r="AK92" i="23"/>
  <c r="AL92" i="23"/>
  <c r="AM92" i="23"/>
  <c r="AN92" i="23"/>
  <c r="AO92" i="23"/>
  <c r="AP92" i="23"/>
  <c r="AP115" i="23"/>
  <c r="AQ92" i="23"/>
  <c r="AR92" i="23"/>
  <c r="AR115" i="23"/>
  <c r="AS92" i="23"/>
  <c r="AT92" i="23"/>
  <c r="AU92" i="23"/>
  <c r="AV92" i="23"/>
  <c r="AW92" i="23"/>
  <c r="AX92" i="23"/>
  <c r="AX115" i="23"/>
  <c r="AY92" i="23"/>
  <c r="AY115" i="23"/>
  <c r="AZ92" i="23"/>
  <c r="AZ115" i="23"/>
  <c r="BA92" i="23"/>
  <c r="BB92" i="23"/>
  <c r="BC92" i="23"/>
  <c r="BD92" i="23"/>
  <c r="BD115" i="23"/>
  <c r="BE92" i="23"/>
  <c r="BF92" i="23"/>
  <c r="BG92" i="23"/>
  <c r="BH92" i="23"/>
  <c r="BH115" i="23"/>
  <c r="BI92" i="23"/>
  <c r="BJ92" i="23"/>
  <c r="BK92" i="23"/>
  <c r="BK115" i="23"/>
  <c r="BL92" i="23"/>
  <c r="BM92" i="23"/>
  <c r="BM115" i="23"/>
  <c r="BN92" i="23"/>
  <c r="BN115" i="23"/>
  <c r="BO92" i="23"/>
  <c r="BP92" i="23"/>
  <c r="BQ92" i="23"/>
  <c r="BR92" i="23"/>
  <c r="BR115" i="23"/>
  <c r="BS92" i="23"/>
  <c r="BT92" i="23"/>
  <c r="BT115" i="23"/>
  <c r="BU92" i="23"/>
  <c r="BV92" i="23"/>
  <c r="BW92" i="23"/>
  <c r="BX92" i="23"/>
  <c r="BY92" i="23"/>
  <c r="BZ92" i="23"/>
  <c r="CA92" i="23"/>
  <c r="CB92" i="23"/>
  <c r="CC92" i="23"/>
  <c r="CD92" i="23"/>
  <c r="CE92" i="23"/>
  <c r="CF92" i="23"/>
  <c r="CG92" i="23"/>
  <c r="CH92" i="23"/>
  <c r="CI92" i="23"/>
  <c r="CI115" i="23"/>
  <c r="F88" i="23"/>
  <c r="I88" i="23"/>
  <c r="J88" i="23"/>
  <c r="K88" i="23"/>
  <c r="L88" i="23"/>
  <c r="M88" i="23"/>
  <c r="N88" i="23"/>
  <c r="O88" i="23"/>
  <c r="P88" i="23"/>
  <c r="Q88" i="23"/>
  <c r="R88" i="23"/>
  <c r="S88" i="23"/>
  <c r="U88" i="23"/>
  <c r="V88" i="23"/>
  <c r="W88" i="23"/>
  <c r="X88" i="23"/>
  <c r="Y88" i="23"/>
  <c r="Z88" i="23"/>
  <c r="AA88" i="23"/>
  <c r="AB88" i="23"/>
  <c r="AC88" i="23"/>
  <c r="AD88" i="23"/>
  <c r="AE88" i="23"/>
  <c r="AF88" i="23"/>
  <c r="AG88" i="23"/>
  <c r="AJ88" i="23"/>
  <c r="AK88" i="23"/>
  <c r="AM88" i="23"/>
  <c r="AN88" i="23"/>
  <c r="AO88" i="23"/>
  <c r="AP88" i="23"/>
  <c r="AQ88" i="23"/>
  <c r="AR88" i="23"/>
  <c r="AS88" i="23"/>
  <c r="AV88" i="23"/>
  <c r="AW88" i="23"/>
  <c r="AX88" i="23"/>
  <c r="AY88" i="23"/>
  <c r="AZ88" i="23"/>
  <c r="BA88" i="23"/>
  <c r="BB88" i="23"/>
  <c r="BE88" i="23"/>
  <c r="BF88" i="23"/>
  <c r="BG88" i="23"/>
  <c r="BH88" i="23"/>
  <c r="BK88" i="23"/>
  <c r="BL88" i="23"/>
  <c r="BM88" i="23"/>
  <c r="BN88" i="23"/>
  <c r="BP88" i="23"/>
  <c r="BQ88" i="23"/>
  <c r="BR88" i="23"/>
  <c r="BS88" i="23"/>
  <c r="BT88" i="23"/>
  <c r="BV88" i="23"/>
  <c r="BW88" i="23"/>
  <c r="BX88" i="23"/>
  <c r="BY88" i="23"/>
  <c r="BZ88" i="23"/>
  <c r="CA88" i="23"/>
  <c r="CB88" i="23"/>
  <c r="CC88" i="23"/>
  <c r="CD88" i="23"/>
  <c r="CE88" i="23"/>
  <c r="CF88" i="23"/>
  <c r="CG88" i="23"/>
  <c r="CH88" i="23"/>
  <c r="CI88" i="23"/>
  <c r="M82" i="23"/>
  <c r="V82" i="23"/>
  <c r="Z82" i="23"/>
  <c r="AD82" i="23"/>
  <c r="AN82" i="23"/>
  <c r="AP82" i="23"/>
  <c r="AR82" i="23"/>
  <c r="AR145" i="23"/>
  <c r="AR149" i="23"/>
  <c r="BA82" i="23"/>
  <c r="BF82" i="23"/>
  <c r="BS82" i="23"/>
  <c r="F81" i="23"/>
  <c r="I81" i="23"/>
  <c r="J81" i="23"/>
  <c r="K81" i="23"/>
  <c r="L81" i="23"/>
  <c r="M81" i="23"/>
  <c r="N81" i="23"/>
  <c r="O81" i="23"/>
  <c r="P81" i="23"/>
  <c r="Q81" i="23"/>
  <c r="R81" i="23"/>
  <c r="S81" i="23"/>
  <c r="T81" i="23"/>
  <c r="U81" i="23"/>
  <c r="V81" i="23"/>
  <c r="W81" i="23"/>
  <c r="X81" i="23"/>
  <c r="Y81" i="23"/>
  <c r="Z81" i="23"/>
  <c r="AA81" i="23"/>
  <c r="AB81" i="23"/>
  <c r="AC81" i="23"/>
  <c r="AD81" i="23"/>
  <c r="AE81" i="23"/>
  <c r="AF81" i="23"/>
  <c r="AG81" i="23"/>
  <c r="AH81" i="23"/>
  <c r="AI81" i="23"/>
  <c r="AJ81" i="23"/>
  <c r="AK81" i="23"/>
  <c r="AK82" i="23"/>
  <c r="AL81" i="23"/>
  <c r="AM81" i="23"/>
  <c r="AN81" i="23"/>
  <c r="AO81" i="23"/>
  <c r="AP81" i="23"/>
  <c r="AQ81" i="23"/>
  <c r="AR81" i="23"/>
  <c r="AS81" i="23"/>
  <c r="AT81" i="23"/>
  <c r="AU81" i="23"/>
  <c r="AV81" i="23"/>
  <c r="AW81" i="23"/>
  <c r="AX81" i="23"/>
  <c r="AY81" i="23"/>
  <c r="AZ81" i="23"/>
  <c r="BA81" i="23"/>
  <c r="BB81" i="23"/>
  <c r="BD81" i="23"/>
  <c r="BE81" i="23"/>
  <c r="BF81" i="23"/>
  <c r="BG81" i="23"/>
  <c r="BH81" i="23"/>
  <c r="BI81" i="23"/>
  <c r="BJ81" i="23"/>
  <c r="BK81" i="23"/>
  <c r="BL81" i="23"/>
  <c r="BM81" i="23"/>
  <c r="BN81" i="23"/>
  <c r="BO81" i="23"/>
  <c r="BP81" i="23"/>
  <c r="BQ81" i="23"/>
  <c r="BR81" i="23"/>
  <c r="BS81" i="23"/>
  <c r="BT81" i="23"/>
  <c r="BU81" i="23"/>
  <c r="BV81" i="23"/>
  <c r="BW81" i="23"/>
  <c r="BX81" i="23"/>
  <c r="BY81" i="23"/>
  <c r="BZ81" i="23"/>
  <c r="CA81" i="23"/>
  <c r="CB81" i="23"/>
  <c r="CC81" i="23"/>
  <c r="CD81" i="23"/>
  <c r="CE81" i="23"/>
  <c r="CF81" i="23"/>
  <c r="CG81" i="23"/>
  <c r="CH81" i="23"/>
  <c r="CI81" i="23"/>
  <c r="CI82" i="23"/>
  <c r="CI145" i="23"/>
  <c r="CI149" i="23"/>
  <c r="F77" i="23"/>
  <c r="F82" i="23"/>
  <c r="G77" i="23"/>
  <c r="H77" i="23"/>
  <c r="I77" i="23"/>
  <c r="I82" i="23"/>
  <c r="J77" i="23"/>
  <c r="J82" i="23"/>
  <c r="K77" i="23"/>
  <c r="K82" i="23"/>
  <c r="L77" i="23"/>
  <c r="L82" i="23"/>
  <c r="M77" i="23"/>
  <c r="N77" i="23"/>
  <c r="N82" i="23"/>
  <c r="O77" i="23"/>
  <c r="O82" i="23"/>
  <c r="P77" i="23"/>
  <c r="P82" i="23"/>
  <c r="Q77" i="23"/>
  <c r="Q82" i="23"/>
  <c r="R77" i="23"/>
  <c r="R82" i="23"/>
  <c r="S77" i="23"/>
  <c r="S82" i="23"/>
  <c r="T77" i="23"/>
  <c r="T82" i="23"/>
  <c r="U77" i="23"/>
  <c r="U82" i="23"/>
  <c r="V77" i="23"/>
  <c r="W77" i="23"/>
  <c r="W82" i="23"/>
  <c r="X77" i="23"/>
  <c r="X82" i="23"/>
  <c r="Y77" i="23"/>
  <c r="Y82" i="23"/>
  <c r="Z77" i="23"/>
  <c r="AA77" i="23"/>
  <c r="AA82" i="23"/>
  <c r="AB77" i="23"/>
  <c r="AB82" i="23"/>
  <c r="AC77" i="23"/>
  <c r="AC82" i="23"/>
  <c r="AD77" i="23"/>
  <c r="AE77" i="23"/>
  <c r="AE82" i="23"/>
  <c r="AF77" i="23"/>
  <c r="AF82" i="23"/>
  <c r="AG77" i="23"/>
  <c r="AG82" i="23"/>
  <c r="AJ77" i="23"/>
  <c r="AK77" i="23"/>
  <c r="AM77" i="23"/>
  <c r="AM82" i="23"/>
  <c r="AN77" i="23"/>
  <c r="AO77" i="23"/>
  <c r="AO82" i="23"/>
  <c r="AP77" i="23"/>
  <c r="AQ77" i="23"/>
  <c r="AQ82" i="23"/>
  <c r="AR77" i="23"/>
  <c r="AS77" i="23"/>
  <c r="AS82" i="23"/>
  <c r="AV77" i="23"/>
  <c r="AV82" i="23"/>
  <c r="AW77" i="23"/>
  <c r="AW82" i="23"/>
  <c r="AX77" i="23"/>
  <c r="AX82" i="23"/>
  <c r="AY77" i="23"/>
  <c r="AY82" i="23"/>
  <c r="AZ77" i="23"/>
  <c r="AZ82" i="23"/>
  <c r="BA77" i="23"/>
  <c r="BB77" i="23"/>
  <c r="BB82" i="23"/>
  <c r="BC77" i="23"/>
  <c r="BD77" i="23"/>
  <c r="BD82" i="23"/>
  <c r="BE77" i="23"/>
  <c r="BE82" i="23"/>
  <c r="BF77" i="23"/>
  <c r="BG77" i="23"/>
  <c r="BH77" i="23"/>
  <c r="BH82" i="23"/>
  <c r="BH145" i="23"/>
  <c r="BH149" i="23"/>
  <c r="BK77" i="23"/>
  <c r="BL77" i="23"/>
  <c r="BL82" i="23"/>
  <c r="BM77" i="23"/>
  <c r="BM82" i="23"/>
  <c r="BN77" i="23"/>
  <c r="BN82" i="23"/>
  <c r="BP77" i="23"/>
  <c r="BP82" i="23"/>
  <c r="BQ77" i="23"/>
  <c r="BQ82" i="23"/>
  <c r="BR77" i="23"/>
  <c r="BR82" i="23"/>
  <c r="BS77" i="23"/>
  <c r="BT77" i="23"/>
  <c r="BT82" i="23"/>
  <c r="BU77" i="23"/>
  <c r="BU82" i="23"/>
  <c r="BW77" i="23"/>
  <c r="BX77" i="23"/>
  <c r="BX82" i="23"/>
  <c r="BY77" i="23"/>
  <c r="BZ77" i="23"/>
  <c r="BZ82" i="23"/>
  <c r="CA77" i="23"/>
  <c r="CB77" i="23"/>
  <c r="CB82" i="23"/>
  <c r="CC77" i="23"/>
  <c r="CD77" i="23"/>
  <c r="CD82" i="23"/>
  <c r="CE77" i="23"/>
  <c r="CF77" i="23"/>
  <c r="CF82" i="23"/>
  <c r="CG77" i="23"/>
  <c r="CH77" i="23"/>
  <c r="CH82" i="23"/>
  <c r="CI77" i="23"/>
  <c r="F58" i="23"/>
  <c r="G58" i="23"/>
  <c r="H58" i="23"/>
  <c r="I58" i="23"/>
  <c r="J58" i="23"/>
  <c r="K58" i="23"/>
  <c r="L58" i="23"/>
  <c r="M58" i="23"/>
  <c r="N58" i="23"/>
  <c r="O58" i="23"/>
  <c r="P58" i="23"/>
  <c r="Q58" i="23"/>
  <c r="R58" i="23"/>
  <c r="S58" i="23"/>
  <c r="T58" i="23"/>
  <c r="U58" i="23"/>
  <c r="V58" i="23"/>
  <c r="W58" i="23"/>
  <c r="X58" i="23"/>
  <c r="Y58" i="23"/>
  <c r="Z58" i="23"/>
  <c r="AA58" i="23"/>
  <c r="AB58" i="23"/>
  <c r="AC58" i="23"/>
  <c r="AD58" i="23"/>
  <c r="AE58" i="23"/>
  <c r="AF58" i="23"/>
  <c r="AG58" i="23"/>
  <c r="AH58" i="23"/>
  <c r="AI58" i="23"/>
  <c r="AJ58" i="23"/>
  <c r="AK58" i="23"/>
  <c r="AL58" i="23"/>
  <c r="AM58" i="23"/>
  <c r="AN58" i="23"/>
  <c r="AO58" i="23"/>
  <c r="AP58" i="23"/>
  <c r="AQ58" i="23"/>
  <c r="AR58" i="23"/>
  <c r="AS58" i="23"/>
  <c r="AT58" i="23"/>
  <c r="AU58" i="23"/>
  <c r="AV58" i="23"/>
  <c r="AW58" i="23"/>
  <c r="AX58" i="23"/>
  <c r="AY58" i="23"/>
  <c r="AZ58" i="23"/>
  <c r="BA58" i="23"/>
  <c r="BB58" i="23"/>
  <c r="BC58" i="23"/>
  <c r="BD58" i="23"/>
  <c r="BE58" i="23"/>
  <c r="BF58" i="23"/>
  <c r="BG58" i="23"/>
  <c r="BH58" i="23"/>
  <c r="BI58" i="23"/>
  <c r="BJ58" i="23"/>
  <c r="BK58" i="23"/>
  <c r="BL58" i="23"/>
  <c r="BM58" i="23"/>
  <c r="BN58" i="23"/>
  <c r="BO58" i="23"/>
  <c r="BP58" i="23"/>
  <c r="BQ58" i="23"/>
  <c r="BR58" i="23"/>
  <c r="BS58" i="23"/>
  <c r="BT58" i="23"/>
  <c r="BU58" i="23"/>
  <c r="BV58" i="23"/>
  <c r="BW58" i="23"/>
  <c r="BX58" i="23"/>
  <c r="BY58" i="23"/>
  <c r="BZ58" i="23"/>
  <c r="CA58" i="23"/>
  <c r="CB58" i="23"/>
  <c r="CC58" i="23"/>
  <c r="CD58" i="23"/>
  <c r="CE58" i="23"/>
  <c r="CF58" i="23"/>
  <c r="CG58" i="23"/>
  <c r="CH58" i="23"/>
  <c r="CI58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R54" i="23"/>
  <c r="S54" i="23"/>
  <c r="T54" i="23"/>
  <c r="U54" i="23"/>
  <c r="V54" i="23"/>
  <c r="W54" i="23"/>
  <c r="X54" i="23"/>
  <c r="Y54" i="23"/>
  <c r="Z54" i="23"/>
  <c r="AA54" i="23"/>
  <c r="AB54" i="23"/>
  <c r="AC54" i="23"/>
  <c r="AD54" i="23"/>
  <c r="AE54" i="23"/>
  <c r="AF54" i="23"/>
  <c r="AG54" i="23"/>
  <c r="AH54" i="23"/>
  <c r="AI54" i="23"/>
  <c r="AJ54" i="23"/>
  <c r="AK54" i="23"/>
  <c r="AL54" i="23"/>
  <c r="AM54" i="23"/>
  <c r="AN54" i="23"/>
  <c r="AO54" i="23"/>
  <c r="AP54" i="23"/>
  <c r="AQ54" i="23"/>
  <c r="AR54" i="23"/>
  <c r="AS54" i="23"/>
  <c r="AT54" i="23"/>
  <c r="AU54" i="23"/>
  <c r="AV54" i="23"/>
  <c r="AW54" i="23"/>
  <c r="AX54" i="23"/>
  <c r="AY54" i="23"/>
  <c r="AZ54" i="23"/>
  <c r="BA54" i="23"/>
  <c r="BB54" i="23"/>
  <c r="BC54" i="23"/>
  <c r="BD54" i="23"/>
  <c r="BE54" i="23"/>
  <c r="BF54" i="23"/>
  <c r="BG54" i="23"/>
  <c r="BH54" i="23"/>
  <c r="BI54" i="23"/>
  <c r="BJ54" i="23"/>
  <c r="BK54" i="23"/>
  <c r="BL54" i="23"/>
  <c r="BM54" i="23"/>
  <c r="BN54" i="23"/>
  <c r="BO54" i="23"/>
  <c r="BP54" i="23"/>
  <c r="BQ54" i="23"/>
  <c r="BR54" i="23"/>
  <c r="BS54" i="23"/>
  <c r="BT54" i="23"/>
  <c r="BU54" i="23"/>
  <c r="BV54" i="23"/>
  <c r="BW54" i="23"/>
  <c r="BX54" i="23"/>
  <c r="BY54" i="23"/>
  <c r="BZ54" i="23"/>
  <c r="CA54" i="23"/>
  <c r="CB54" i="23"/>
  <c r="CC54" i="23"/>
  <c r="CD54" i="23"/>
  <c r="CE54" i="23"/>
  <c r="CF54" i="23"/>
  <c r="CG54" i="23"/>
  <c r="CH54" i="23"/>
  <c r="CI54" i="23"/>
  <c r="F51" i="23"/>
  <c r="G51" i="23"/>
  <c r="H51" i="23"/>
  <c r="I51" i="23"/>
  <c r="J51" i="23"/>
  <c r="K51" i="23"/>
  <c r="L51" i="23"/>
  <c r="M51" i="23"/>
  <c r="CJ51" i="23"/>
  <c r="N15" i="1"/>
  <c r="N51" i="23"/>
  <c r="O51" i="23"/>
  <c r="P51" i="23"/>
  <c r="Q51" i="23"/>
  <c r="R51" i="23"/>
  <c r="S51" i="23"/>
  <c r="T51" i="23"/>
  <c r="U51" i="23"/>
  <c r="V51" i="23"/>
  <c r="W51" i="23"/>
  <c r="W59" i="23"/>
  <c r="W148" i="23"/>
  <c r="X51" i="23"/>
  <c r="Y51" i="23"/>
  <c r="Z51" i="23"/>
  <c r="AA51" i="23"/>
  <c r="AB51" i="23"/>
  <c r="AC51" i="23"/>
  <c r="AD51" i="23"/>
  <c r="AE51" i="23"/>
  <c r="AF51" i="23"/>
  <c r="AG51" i="23"/>
  <c r="AH51" i="23"/>
  <c r="AI51" i="23"/>
  <c r="AJ51" i="23"/>
  <c r="AK51" i="23"/>
  <c r="AL51" i="23"/>
  <c r="AM51" i="23"/>
  <c r="AN51" i="23"/>
  <c r="AO51" i="23"/>
  <c r="AP51" i="23"/>
  <c r="AQ51" i="23"/>
  <c r="AR51" i="23"/>
  <c r="AS51" i="23"/>
  <c r="AT51" i="23"/>
  <c r="AU51" i="23"/>
  <c r="AV51" i="23"/>
  <c r="AW51" i="23"/>
  <c r="AX51" i="23"/>
  <c r="AY51" i="23"/>
  <c r="AZ51" i="23"/>
  <c r="BA51" i="23"/>
  <c r="BB51" i="23"/>
  <c r="BC51" i="23"/>
  <c r="BD51" i="23"/>
  <c r="BE51" i="23"/>
  <c r="BF51" i="23"/>
  <c r="BG51" i="23"/>
  <c r="BH51" i="23"/>
  <c r="BI51" i="23"/>
  <c r="BJ51" i="23"/>
  <c r="BK51" i="23"/>
  <c r="BL51" i="23"/>
  <c r="BM51" i="23"/>
  <c r="BM59" i="23"/>
  <c r="BM148" i="23"/>
  <c r="BM150" i="23"/>
  <c r="BN51" i="23"/>
  <c r="BO51" i="23"/>
  <c r="BP51" i="23"/>
  <c r="BQ51" i="23"/>
  <c r="BR51" i="23"/>
  <c r="BS51" i="23"/>
  <c r="BT51" i="23"/>
  <c r="BU51" i="23"/>
  <c r="BV51" i="23"/>
  <c r="BW51" i="23"/>
  <c r="BX51" i="23"/>
  <c r="BY51" i="23"/>
  <c r="BZ51" i="23"/>
  <c r="CA51" i="23"/>
  <c r="CB51" i="23"/>
  <c r="CC51" i="23"/>
  <c r="CD51" i="23"/>
  <c r="CE51" i="23"/>
  <c r="CF51" i="23"/>
  <c r="CG51" i="23"/>
  <c r="CH51" i="23"/>
  <c r="CI51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R48" i="23"/>
  <c r="S48" i="23"/>
  <c r="T48" i="23"/>
  <c r="U48" i="23"/>
  <c r="V48" i="23"/>
  <c r="W48" i="23"/>
  <c r="X48" i="23"/>
  <c r="Y48" i="23"/>
  <c r="Z48" i="23"/>
  <c r="AA48" i="23"/>
  <c r="AB48" i="23"/>
  <c r="AC48" i="23"/>
  <c r="AD48" i="23"/>
  <c r="AE48" i="23"/>
  <c r="AF48" i="23"/>
  <c r="AG48" i="23"/>
  <c r="AH48" i="23"/>
  <c r="AI48" i="23"/>
  <c r="AJ48" i="23"/>
  <c r="AK48" i="23"/>
  <c r="AL48" i="23"/>
  <c r="AM48" i="23"/>
  <c r="AN48" i="23"/>
  <c r="AO48" i="23"/>
  <c r="AP48" i="23"/>
  <c r="AQ48" i="23"/>
  <c r="AR48" i="23"/>
  <c r="AS48" i="23"/>
  <c r="AT48" i="23"/>
  <c r="AU48" i="23"/>
  <c r="AV48" i="23"/>
  <c r="AW48" i="23"/>
  <c r="AX48" i="23"/>
  <c r="AY48" i="23"/>
  <c r="AZ48" i="23"/>
  <c r="BA48" i="23"/>
  <c r="BB48" i="23"/>
  <c r="BC48" i="23"/>
  <c r="BD48" i="23"/>
  <c r="BE48" i="23"/>
  <c r="BF48" i="23"/>
  <c r="BG48" i="23"/>
  <c r="BH48" i="23"/>
  <c r="BI48" i="23"/>
  <c r="BJ48" i="23"/>
  <c r="BK48" i="23"/>
  <c r="BL48" i="23"/>
  <c r="BM48" i="23"/>
  <c r="BN48" i="23"/>
  <c r="BO48" i="23"/>
  <c r="BP48" i="23"/>
  <c r="BQ48" i="23"/>
  <c r="BR48" i="23"/>
  <c r="BS48" i="23"/>
  <c r="BT48" i="23"/>
  <c r="BU48" i="23"/>
  <c r="BV48" i="23"/>
  <c r="BW48" i="23"/>
  <c r="BX48" i="23"/>
  <c r="BY48" i="23"/>
  <c r="BZ48" i="23"/>
  <c r="CA48" i="23"/>
  <c r="CB48" i="23"/>
  <c r="CC48" i="23"/>
  <c r="CD48" i="23"/>
  <c r="CE48" i="23"/>
  <c r="CF48" i="23"/>
  <c r="CG48" i="23"/>
  <c r="CH48" i="23"/>
  <c r="CI48" i="23"/>
  <c r="F45" i="23"/>
  <c r="G45" i="23"/>
  <c r="H45" i="23"/>
  <c r="I45" i="23"/>
  <c r="J45" i="23"/>
  <c r="K45" i="23"/>
  <c r="L45" i="23"/>
  <c r="M45" i="23"/>
  <c r="N45" i="23"/>
  <c r="O45" i="23"/>
  <c r="P45" i="23"/>
  <c r="Q45" i="23"/>
  <c r="R45" i="23"/>
  <c r="S45" i="23"/>
  <c r="T45" i="23"/>
  <c r="U45" i="23"/>
  <c r="V45" i="23"/>
  <c r="W45" i="23"/>
  <c r="X45" i="23"/>
  <c r="Y45" i="23"/>
  <c r="AA45" i="23"/>
  <c r="AB45" i="23"/>
  <c r="AC45" i="23"/>
  <c r="AD45" i="23"/>
  <c r="AE45" i="23"/>
  <c r="AF45" i="23"/>
  <c r="AG45" i="23"/>
  <c r="AI45" i="23"/>
  <c r="AJ45" i="23"/>
  <c r="AK45" i="23"/>
  <c r="AL45" i="23"/>
  <c r="AM45" i="23"/>
  <c r="AN45" i="23"/>
  <c r="AO45" i="23"/>
  <c r="AP45" i="23"/>
  <c r="AQ45" i="23"/>
  <c r="AR45" i="23"/>
  <c r="AS45" i="23"/>
  <c r="AT45" i="23"/>
  <c r="AU45" i="23"/>
  <c r="AV45" i="23"/>
  <c r="AW45" i="23"/>
  <c r="AX45" i="23"/>
  <c r="AY45" i="23"/>
  <c r="AZ45" i="23"/>
  <c r="BA45" i="23"/>
  <c r="BB45" i="23"/>
  <c r="BC45" i="23"/>
  <c r="BD45" i="23"/>
  <c r="BE45" i="23"/>
  <c r="BF45" i="23"/>
  <c r="BG45" i="23"/>
  <c r="BH45" i="23"/>
  <c r="BI45" i="23"/>
  <c r="BJ45" i="23"/>
  <c r="BK45" i="23"/>
  <c r="BL45" i="23"/>
  <c r="BM45" i="23"/>
  <c r="BN45" i="23"/>
  <c r="BO45" i="23"/>
  <c r="BP45" i="23"/>
  <c r="BQ45" i="23"/>
  <c r="BR45" i="23"/>
  <c r="BS45" i="23"/>
  <c r="BT45" i="23"/>
  <c r="BU45" i="23"/>
  <c r="BV45" i="23"/>
  <c r="BW45" i="23"/>
  <c r="BX45" i="23"/>
  <c r="BY45" i="23"/>
  <c r="BZ45" i="23"/>
  <c r="CA45" i="23"/>
  <c r="CB45" i="23"/>
  <c r="CC45" i="23"/>
  <c r="CD45" i="23"/>
  <c r="CE45" i="23"/>
  <c r="CF45" i="23"/>
  <c r="CG45" i="23"/>
  <c r="CH45" i="23"/>
  <c r="CI45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R34" i="23"/>
  <c r="S34" i="23"/>
  <c r="T34" i="23"/>
  <c r="U34" i="23"/>
  <c r="V34" i="23"/>
  <c r="W34" i="23"/>
  <c r="X34" i="23"/>
  <c r="Y34" i="23"/>
  <c r="Z34" i="23"/>
  <c r="AA34" i="23"/>
  <c r="AB34" i="23"/>
  <c r="AC34" i="23"/>
  <c r="AD34" i="23"/>
  <c r="AE34" i="23"/>
  <c r="AF34" i="23"/>
  <c r="AG34" i="23"/>
  <c r="AH34" i="23"/>
  <c r="AI34" i="23"/>
  <c r="AJ34" i="23"/>
  <c r="AK34" i="23"/>
  <c r="AL34" i="23"/>
  <c r="AM34" i="23"/>
  <c r="AN34" i="23"/>
  <c r="AO34" i="23"/>
  <c r="AP34" i="23"/>
  <c r="AQ34" i="23"/>
  <c r="AR34" i="23"/>
  <c r="AS34" i="23"/>
  <c r="AT34" i="23"/>
  <c r="AU34" i="23"/>
  <c r="AV34" i="23"/>
  <c r="AV59" i="23"/>
  <c r="AV148" i="23"/>
  <c r="AW34" i="23"/>
  <c r="AX34" i="23"/>
  <c r="AY34" i="23"/>
  <c r="AZ34" i="23"/>
  <c r="BA34" i="23"/>
  <c r="BB34" i="23"/>
  <c r="BC34" i="23"/>
  <c r="BD34" i="23"/>
  <c r="BE34" i="23"/>
  <c r="BF34" i="23"/>
  <c r="BG34" i="23"/>
  <c r="BH34" i="23"/>
  <c r="BI34" i="23"/>
  <c r="BJ34" i="23"/>
  <c r="BK34" i="23"/>
  <c r="BL34" i="23"/>
  <c r="BM34" i="23"/>
  <c r="BN34" i="23"/>
  <c r="BO34" i="23"/>
  <c r="BP34" i="23"/>
  <c r="BQ34" i="23"/>
  <c r="BR34" i="23"/>
  <c r="BS34" i="23"/>
  <c r="BT34" i="23"/>
  <c r="BU34" i="23"/>
  <c r="BV34" i="23"/>
  <c r="BW34" i="23"/>
  <c r="BX34" i="23"/>
  <c r="BY34" i="23"/>
  <c r="BZ34" i="23"/>
  <c r="CA34" i="23"/>
  <c r="CB34" i="23"/>
  <c r="CC34" i="23"/>
  <c r="CD34" i="23"/>
  <c r="CE34" i="23"/>
  <c r="CF34" i="23"/>
  <c r="CF59" i="23"/>
  <c r="CF148" i="23"/>
  <c r="CG34" i="23"/>
  <c r="CH34" i="23"/>
  <c r="CI34" i="23"/>
  <c r="F28" i="23"/>
  <c r="G28" i="23"/>
  <c r="H28" i="23"/>
  <c r="I28" i="23"/>
  <c r="J28" i="23"/>
  <c r="CJ28" i="23"/>
  <c r="T15" i="1"/>
  <c r="T16" i="1"/>
  <c r="C27" i="7"/>
  <c r="K28" i="23"/>
  <c r="L28" i="23"/>
  <c r="M28" i="23"/>
  <c r="N28" i="23"/>
  <c r="O28" i="23"/>
  <c r="P28" i="23"/>
  <c r="Q28" i="23"/>
  <c r="R28" i="23"/>
  <c r="R59" i="23"/>
  <c r="R148" i="23"/>
  <c r="R150" i="23"/>
  <c r="S28" i="23"/>
  <c r="T28" i="23"/>
  <c r="U28" i="23"/>
  <c r="V28" i="23"/>
  <c r="W28" i="23"/>
  <c r="X28" i="23"/>
  <c r="Y28" i="23"/>
  <c r="Z28" i="23"/>
  <c r="AA28" i="23"/>
  <c r="AB28" i="23"/>
  <c r="AC28" i="23"/>
  <c r="AD28" i="23"/>
  <c r="AE28" i="23"/>
  <c r="AG28" i="23"/>
  <c r="AG59" i="23"/>
  <c r="AG148" i="23"/>
  <c r="AH28" i="23"/>
  <c r="AI28" i="23"/>
  <c r="AJ28" i="23"/>
  <c r="AK28" i="23"/>
  <c r="AL28" i="23"/>
  <c r="AM28" i="23"/>
  <c r="AN28" i="23"/>
  <c r="AO28" i="23"/>
  <c r="AP28" i="23"/>
  <c r="AQ28" i="23"/>
  <c r="AR28" i="23"/>
  <c r="AS28" i="23"/>
  <c r="AT28" i="23"/>
  <c r="AU28" i="23"/>
  <c r="AV28" i="23"/>
  <c r="AW28" i="23"/>
  <c r="AX28" i="23"/>
  <c r="AY28" i="23"/>
  <c r="AZ28" i="23"/>
  <c r="BA28" i="23"/>
  <c r="BB28" i="23"/>
  <c r="BC28" i="23"/>
  <c r="BD28" i="23"/>
  <c r="BE28" i="23"/>
  <c r="BF28" i="23"/>
  <c r="BG28" i="23"/>
  <c r="BH28" i="23"/>
  <c r="BI28" i="23"/>
  <c r="BJ28" i="23"/>
  <c r="BK28" i="23"/>
  <c r="BL28" i="23"/>
  <c r="BM28" i="23"/>
  <c r="BN28" i="23"/>
  <c r="BO28" i="23"/>
  <c r="BP28" i="23"/>
  <c r="BQ28" i="23"/>
  <c r="BR28" i="23"/>
  <c r="BS28" i="23"/>
  <c r="BT28" i="23"/>
  <c r="BU28" i="23"/>
  <c r="BV28" i="23"/>
  <c r="BW28" i="23"/>
  <c r="BX28" i="23"/>
  <c r="BY28" i="23"/>
  <c r="BZ28" i="23"/>
  <c r="CA28" i="23"/>
  <c r="CB28" i="23"/>
  <c r="CC28" i="23"/>
  <c r="CD28" i="23"/>
  <c r="CE28" i="23"/>
  <c r="CF28" i="23"/>
  <c r="CG28" i="23"/>
  <c r="CH28" i="23"/>
  <c r="CI28" i="23"/>
  <c r="G23" i="23"/>
  <c r="G59" i="23"/>
  <c r="G148" i="23"/>
  <c r="J23" i="23"/>
  <c r="J59" i="23"/>
  <c r="J148" i="23"/>
  <c r="Q23" i="23"/>
  <c r="Q59" i="23"/>
  <c r="Q148" i="23"/>
  <c r="Z23" i="23"/>
  <c r="Z59" i="23"/>
  <c r="Z148" i="23"/>
  <c r="AB23" i="23"/>
  <c r="AE23" i="23"/>
  <c r="AE59" i="23"/>
  <c r="AE148" i="23"/>
  <c r="AM23" i="23"/>
  <c r="AM59" i="23"/>
  <c r="AM148" i="23"/>
  <c r="AS23" i="23"/>
  <c r="AS59" i="23"/>
  <c r="AS148" i="23"/>
  <c r="BC23" i="23"/>
  <c r="BC59" i="23"/>
  <c r="BC148" i="23"/>
  <c r="BL23" i="23"/>
  <c r="BL59" i="23"/>
  <c r="BL148" i="23"/>
  <c r="BV23" i="23"/>
  <c r="BV59" i="23"/>
  <c r="BV148" i="23"/>
  <c r="CB23" i="23"/>
  <c r="CG23" i="23"/>
  <c r="CG59" i="23"/>
  <c r="CG148" i="23"/>
  <c r="F19" i="23"/>
  <c r="F23" i="23"/>
  <c r="G19" i="23"/>
  <c r="H19" i="23"/>
  <c r="H23" i="23"/>
  <c r="J19" i="23"/>
  <c r="K19" i="23"/>
  <c r="K23" i="23"/>
  <c r="K59" i="23"/>
  <c r="K148" i="23"/>
  <c r="L19" i="23"/>
  <c r="L23" i="23"/>
  <c r="L59" i="23"/>
  <c r="L148" i="23"/>
  <c r="M19" i="23"/>
  <c r="M23" i="23"/>
  <c r="M59" i="23"/>
  <c r="M148" i="23"/>
  <c r="N19" i="23"/>
  <c r="N23" i="23"/>
  <c r="O19" i="23"/>
  <c r="O23" i="23"/>
  <c r="P19" i="23"/>
  <c r="P23" i="23"/>
  <c r="P59" i="23"/>
  <c r="P148" i="23"/>
  <c r="Q19" i="23"/>
  <c r="R19" i="23"/>
  <c r="R23" i="23"/>
  <c r="S19" i="23"/>
  <c r="S23" i="23"/>
  <c r="T19" i="23"/>
  <c r="U19" i="23"/>
  <c r="U23" i="23"/>
  <c r="U59" i="23"/>
  <c r="U148" i="23"/>
  <c r="V19" i="23"/>
  <c r="V23" i="23"/>
  <c r="W19" i="23"/>
  <c r="W23" i="23"/>
  <c r="X19" i="23"/>
  <c r="X23" i="23"/>
  <c r="Y19" i="23"/>
  <c r="Y23" i="23"/>
  <c r="Y59" i="23"/>
  <c r="Y148" i="23"/>
  <c r="Z19" i="23"/>
  <c r="AA19" i="23"/>
  <c r="AA23" i="23"/>
  <c r="AA59" i="23"/>
  <c r="AA148" i="23"/>
  <c r="AB19" i="23"/>
  <c r="AC19" i="23"/>
  <c r="AC23" i="23"/>
  <c r="AC59" i="23"/>
  <c r="AC148" i="23"/>
  <c r="AD19" i="23"/>
  <c r="AD23" i="23"/>
  <c r="AD59" i="23"/>
  <c r="AD148" i="23"/>
  <c r="AE19" i="23"/>
  <c r="AF19" i="23"/>
  <c r="AF23" i="23"/>
  <c r="AG19" i="23"/>
  <c r="AG23" i="23"/>
  <c r="AH19" i="23"/>
  <c r="AH23" i="23"/>
  <c r="AI19" i="23"/>
  <c r="AI23" i="23"/>
  <c r="AI59" i="23"/>
  <c r="AI148" i="23"/>
  <c r="AJ19" i="23"/>
  <c r="AJ23" i="23"/>
  <c r="AK19" i="23"/>
  <c r="AK23" i="23"/>
  <c r="AL19" i="23"/>
  <c r="AM19" i="23"/>
  <c r="AN19" i="23"/>
  <c r="AN23" i="23"/>
  <c r="AO19" i="23"/>
  <c r="AO23" i="23"/>
  <c r="AO59" i="23"/>
  <c r="AO148" i="23"/>
  <c r="AP19" i="23"/>
  <c r="AP23" i="23"/>
  <c r="AQ19" i="23"/>
  <c r="AQ23" i="23"/>
  <c r="AR19" i="23"/>
  <c r="AR23" i="23"/>
  <c r="AS19" i="23"/>
  <c r="AT19" i="23"/>
  <c r="AT23" i="23"/>
  <c r="AU19" i="23"/>
  <c r="AU23" i="23"/>
  <c r="AV19" i="23"/>
  <c r="AV23" i="23"/>
  <c r="AW19" i="23"/>
  <c r="AW23" i="23"/>
  <c r="AX19" i="23"/>
  <c r="AY19" i="23"/>
  <c r="AY23" i="23"/>
  <c r="AZ19" i="23"/>
  <c r="AZ23" i="23"/>
  <c r="BA19" i="23"/>
  <c r="BA23" i="23"/>
  <c r="BB19" i="23"/>
  <c r="BB23" i="23"/>
  <c r="BC19" i="23"/>
  <c r="BD19" i="23"/>
  <c r="BD23" i="23"/>
  <c r="BE19" i="23"/>
  <c r="BE23" i="23"/>
  <c r="BF19" i="23"/>
  <c r="BF23" i="23"/>
  <c r="BG19" i="23"/>
  <c r="BG23" i="23"/>
  <c r="BG59" i="23"/>
  <c r="BG148" i="23"/>
  <c r="BH19" i="23"/>
  <c r="BH23" i="23"/>
  <c r="BI19" i="23"/>
  <c r="BI23" i="23"/>
  <c r="BK19" i="23"/>
  <c r="BK23" i="23"/>
  <c r="BL19" i="23"/>
  <c r="BM19" i="23"/>
  <c r="BM23" i="23"/>
  <c r="BN19" i="23"/>
  <c r="BN23" i="23"/>
  <c r="BO19" i="23"/>
  <c r="BO23" i="23"/>
  <c r="BO59" i="23"/>
  <c r="BO148" i="23"/>
  <c r="BU19" i="23"/>
  <c r="BU23" i="23"/>
  <c r="BU59" i="23"/>
  <c r="BU148" i="23"/>
  <c r="BV19" i="23"/>
  <c r="BX19" i="23"/>
  <c r="BX23" i="23"/>
  <c r="BX59" i="23"/>
  <c r="BX148" i="23"/>
  <c r="CA19" i="23"/>
  <c r="CA23" i="23"/>
  <c r="CB19" i="23"/>
  <c r="CD19" i="23"/>
  <c r="CD23" i="23"/>
  <c r="CD59" i="23"/>
  <c r="CD148" i="23"/>
  <c r="CE19" i="23"/>
  <c r="CE23" i="23"/>
  <c r="CE59" i="23"/>
  <c r="CE148" i="23"/>
  <c r="CF19" i="23"/>
  <c r="CF23" i="23"/>
  <c r="CG19" i="23"/>
  <c r="CH19" i="23"/>
  <c r="CH23" i="23"/>
  <c r="CI19" i="23"/>
  <c r="CI23" i="23"/>
  <c r="CI59" i="23"/>
  <c r="CI148" i="23"/>
  <c r="O43" i="24"/>
  <c r="O44" i="24"/>
  <c r="O45" i="24"/>
  <c r="O46" i="24"/>
  <c r="O47" i="24"/>
  <c r="O48" i="24"/>
  <c r="O49" i="24"/>
  <c r="O51" i="24"/>
  <c r="O52" i="24"/>
  <c r="O53" i="24"/>
  <c r="O55" i="24"/>
  <c r="O56" i="24"/>
  <c r="O57" i="24"/>
  <c r="O59" i="24"/>
  <c r="O60" i="24"/>
  <c r="O62" i="24"/>
  <c r="O63" i="24"/>
  <c r="O65" i="24"/>
  <c r="O66" i="24"/>
  <c r="O67" i="24"/>
  <c r="O69" i="24"/>
  <c r="O70" i="24"/>
  <c r="O71" i="24"/>
  <c r="O72" i="24"/>
  <c r="O73" i="24"/>
  <c r="O74" i="24"/>
  <c r="O76" i="24"/>
  <c r="O77" i="24"/>
  <c r="O78" i="24"/>
  <c r="O79" i="24"/>
  <c r="O80" i="24"/>
  <c r="O81" i="24"/>
  <c r="O84" i="24"/>
  <c r="O85" i="24"/>
  <c r="O86" i="24"/>
  <c r="O87" i="24"/>
  <c r="O88" i="24"/>
  <c r="O89" i="24"/>
  <c r="O91" i="24"/>
  <c r="O92" i="24"/>
  <c r="Y12" i="2"/>
  <c r="O93" i="24"/>
  <c r="O95" i="24"/>
  <c r="O42" i="24"/>
  <c r="O15" i="24"/>
  <c r="O16" i="24"/>
  <c r="O17" i="24"/>
  <c r="O18" i="24"/>
  <c r="O19" i="24"/>
  <c r="O21" i="24"/>
  <c r="O22" i="24"/>
  <c r="O23" i="24"/>
  <c r="O24" i="24"/>
  <c r="O26" i="24"/>
  <c r="O27" i="24"/>
  <c r="O29" i="24"/>
  <c r="O30" i="24"/>
  <c r="S13" i="1"/>
  <c r="O31" i="24"/>
  <c r="M13" i="1"/>
  <c r="O14" i="24"/>
  <c r="O13" i="24"/>
  <c r="O12" i="24"/>
  <c r="F97" i="24"/>
  <c r="L90" i="24"/>
  <c r="F90" i="24"/>
  <c r="G90" i="24"/>
  <c r="H90" i="24"/>
  <c r="I90" i="24"/>
  <c r="O90" i="24"/>
  <c r="V12" i="2"/>
  <c r="J90" i="24"/>
  <c r="K90" i="24"/>
  <c r="F82" i="24"/>
  <c r="I82" i="24"/>
  <c r="J82" i="24"/>
  <c r="K82" i="24"/>
  <c r="L82" i="24"/>
  <c r="L75" i="24"/>
  <c r="F68" i="24"/>
  <c r="F75" i="24"/>
  <c r="G68" i="24"/>
  <c r="G75" i="24"/>
  <c r="M75" i="24"/>
  <c r="H68" i="24"/>
  <c r="H75" i="24"/>
  <c r="I68" i="24"/>
  <c r="O68" i="24"/>
  <c r="J68" i="24"/>
  <c r="J75" i="24"/>
  <c r="K68" i="24"/>
  <c r="K75" i="24"/>
  <c r="L68" i="24"/>
  <c r="F64" i="24"/>
  <c r="G64" i="24"/>
  <c r="H64" i="24"/>
  <c r="I64" i="24"/>
  <c r="J64" i="24"/>
  <c r="M64" i="24"/>
  <c r="K64" i="24"/>
  <c r="L64" i="24"/>
  <c r="F61" i="24"/>
  <c r="G61" i="24"/>
  <c r="H61" i="24"/>
  <c r="I61" i="24"/>
  <c r="J61" i="24"/>
  <c r="K61" i="24"/>
  <c r="K83" i="24"/>
  <c r="L61" i="24"/>
  <c r="F58" i="24"/>
  <c r="O58" i="24"/>
  <c r="G12" i="2"/>
  <c r="G58" i="24"/>
  <c r="H58" i="24"/>
  <c r="I58" i="24"/>
  <c r="J58" i="24"/>
  <c r="K58" i="24"/>
  <c r="L58" i="24"/>
  <c r="H54" i="24"/>
  <c r="J54" i="24"/>
  <c r="L54" i="24"/>
  <c r="F53" i="24"/>
  <c r="G53" i="24"/>
  <c r="H53" i="24"/>
  <c r="I53" i="24"/>
  <c r="J53" i="24"/>
  <c r="K53" i="24"/>
  <c r="L53" i="24"/>
  <c r="F50" i="24"/>
  <c r="O50" i="24"/>
  <c r="G50" i="24"/>
  <c r="H50" i="24"/>
  <c r="I50" i="24"/>
  <c r="J50" i="24"/>
  <c r="K50" i="24"/>
  <c r="L50" i="24"/>
  <c r="H33" i="24"/>
  <c r="H97" i="24"/>
  <c r="F32" i="24"/>
  <c r="G32" i="24"/>
  <c r="H32" i="24"/>
  <c r="I32" i="24"/>
  <c r="L32" i="24"/>
  <c r="L33" i="24"/>
  <c r="L97" i="24"/>
  <c r="F28" i="24"/>
  <c r="G28" i="24"/>
  <c r="H28" i="24"/>
  <c r="I28" i="24"/>
  <c r="O28" i="24"/>
  <c r="J28" i="24"/>
  <c r="K28" i="24"/>
  <c r="L28" i="24"/>
  <c r="F25" i="24"/>
  <c r="O25" i="24"/>
  <c r="G25" i="24"/>
  <c r="H25" i="24"/>
  <c r="I25" i="24"/>
  <c r="J25" i="24"/>
  <c r="K25" i="24"/>
  <c r="L25" i="24"/>
  <c r="F22" i="24"/>
  <c r="F33" i="24"/>
  <c r="G22" i="24"/>
  <c r="H22" i="24"/>
  <c r="I22" i="24"/>
  <c r="J22" i="24"/>
  <c r="K22" i="24"/>
  <c r="L22" i="24"/>
  <c r="F20" i="24"/>
  <c r="I20" i="24"/>
  <c r="O20" i="24"/>
  <c r="D13" i="1"/>
  <c r="J20" i="24"/>
  <c r="K20" i="24"/>
  <c r="L20" i="24"/>
  <c r="L22" i="25"/>
  <c r="L24" i="25"/>
  <c r="L25" i="25"/>
  <c r="L26" i="25"/>
  <c r="L27" i="25"/>
  <c r="L28" i="25"/>
  <c r="L30" i="25"/>
  <c r="L31" i="25"/>
  <c r="S14" i="1"/>
  <c r="L32" i="25"/>
  <c r="M14" i="1"/>
  <c r="K22" i="25"/>
  <c r="K24" i="25"/>
  <c r="K25" i="25"/>
  <c r="K27" i="25"/>
  <c r="K28" i="25"/>
  <c r="K30" i="25"/>
  <c r="K31" i="25"/>
  <c r="J22" i="25"/>
  <c r="J24" i="25"/>
  <c r="J25" i="25"/>
  <c r="J27" i="25"/>
  <c r="J28" i="25"/>
  <c r="J30" i="25"/>
  <c r="J31" i="25"/>
  <c r="L15" i="25"/>
  <c r="L16" i="25"/>
  <c r="L17" i="25"/>
  <c r="L18" i="25"/>
  <c r="L19" i="25"/>
  <c r="L20" i="25"/>
  <c r="L14" i="25"/>
  <c r="L13" i="25"/>
  <c r="L12" i="25"/>
  <c r="P14" i="1"/>
  <c r="L44" i="25"/>
  <c r="L45" i="25"/>
  <c r="L46" i="25"/>
  <c r="L47" i="25"/>
  <c r="L48" i="25"/>
  <c r="L49" i="25"/>
  <c r="L50" i="25"/>
  <c r="L51" i="25"/>
  <c r="L52" i="25"/>
  <c r="L53" i="25"/>
  <c r="L55" i="25"/>
  <c r="L56" i="25"/>
  <c r="L59" i="25"/>
  <c r="L60" i="25"/>
  <c r="L61" i="25"/>
  <c r="L63" i="25"/>
  <c r="L64" i="25"/>
  <c r="L66" i="25"/>
  <c r="L67" i="25"/>
  <c r="L69" i="25"/>
  <c r="L70" i="25"/>
  <c r="L71" i="25"/>
  <c r="L73" i="25"/>
  <c r="L74" i="25"/>
  <c r="L75" i="25"/>
  <c r="L76" i="25"/>
  <c r="L77" i="25"/>
  <c r="L78" i="25"/>
  <c r="L80" i="25"/>
  <c r="L81" i="25"/>
  <c r="L82" i="25"/>
  <c r="L83" i="25"/>
  <c r="L84" i="25"/>
  <c r="L85" i="25"/>
  <c r="L88" i="25"/>
  <c r="L89" i="25"/>
  <c r="L91" i="25"/>
  <c r="L92" i="25"/>
  <c r="L93" i="25"/>
  <c r="L94" i="25"/>
  <c r="L96" i="25"/>
  <c r="L97" i="25"/>
  <c r="L98" i="25"/>
  <c r="L99" i="25"/>
  <c r="L101" i="25"/>
  <c r="Y13" i="2"/>
  <c r="L102" i="25"/>
  <c r="L104" i="25"/>
  <c r="L43" i="25"/>
  <c r="F100" i="25"/>
  <c r="L100" i="25"/>
  <c r="G100" i="25"/>
  <c r="H100" i="25"/>
  <c r="I100" i="25"/>
  <c r="F95" i="25"/>
  <c r="G95" i="25"/>
  <c r="I95" i="25"/>
  <c r="F90" i="25"/>
  <c r="L90" i="25"/>
  <c r="G90" i="25"/>
  <c r="H90" i="25"/>
  <c r="I90" i="25"/>
  <c r="F86" i="25"/>
  <c r="I86" i="25"/>
  <c r="F72" i="25"/>
  <c r="G72" i="25"/>
  <c r="G79" i="25"/>
  <c r="G82" i="25"/>
  <c r="G86" i="25"/>
  <c r="H72" i="25"/>
  <c r="H79" i="25"/>
  <c r="I72" i="25"/>
  <c r="F68" i="25"/>
  <c r="G68" i="25"/>
  <c r="H68" i="25"/>
  <c r="I68" i="25"/>
  <c r="F65" i="25"/>
  <c r="G65" i="25"/>
  <c r="G87" i="25"/>
  <c r="H65" i="25"/>
  <c r="I65" i="25"/>
  <c r="F62" i="25"/>
  <c r="I62" i="25"/>
  <c r="F57" i="25"/>
  <c r="L57" i="25"/>
  <c r="G57" i="25"/>
  <c r="H57" i="25"/>
  <c r="I57" i="25"/>
  <c r="F54" i="25"/>
  <c r="L54" i="25"/>
  <c r="I54" i="25"/>
  <c r="F33" i="25"/>
  <c r="L33" i="25"/>
  <c r="I33" i="25"/>
  <c r="F29" i="25"/>
  <c r="L29" i="25"/>
  <c r="G29" i="25"/>
  <c r="H29" i="25"/>
  <c r="I29" i="25"/>
  <c r="F26" i="25"/>
  <c r="G26" i="25"/>
  <c r="H26" i="25"/>
  <c r="I26" i="25"/>
  <c r="F23" i="25"/>
  <c r="L23" i="25"/>
  <c r="G23" i="25"/>
  <c r="H23" i="25"/>
  <c r="I23" i="25"/>
  <c r="F21" i="25"/>
  <c r="G21" i="25"/>
  <c r="H21" i="25"/>
  <c r="I21" i="25"/>
  <c r="I34" i="25"/>
  <c r="I106" i="25"/>
  <c r="O34" i="31"/>
  <c r="S12" i="1"/>
  <c r="O33" i="31"/>
  <c r="O31" i="31"/>
  <c r="O30" i="31"/>
  <c r="O28" i="31"/>
  <c r="O27" i="31"/>
  <c r="O25" i="31"/>
  <c r="O15" i="31"/>
  <c r="O16" i="31"/>
  <c r="O17" i="31"/>
  <c r="O18" i="31"/>
  <c r="O19" i="31"/>
  <c r="O20" i="31"/>
  <c r="O21" i="31"/>
  <c r="O22" i="31"/>
  <c r="O23" i="31"/>
  <c r="O14" i="31"/>
  <c r="O13" i="31"/>
  <c r="O12" i="31"/>
  <c r="O47" i="31"/>
  <c r="O48" i="31"/>
  <c r="O49" i="31"/>
  <c r="O50" i="31"/>
  <c r="O51" i="31"/>
  <c r="O52" i="31"/>
  <c r="O53" i="31"/>
  <c r="O55" i="31"/>
  <c r="O56" i="31"/>
  <c r="O59" i="31"/>
  <c r="O60" i="31"/>
  <c r="O61" i="31"/>
  <c r="O63" i="31"/>
  <c r="O64" i="31"/>
  <c r="O66" i="31"/>
  <c r="O67" i="31"/>
  <c r="O73" i="31"/>
  <c r="O74" i="31"/>
  <c r="O75" i="31"/>
  <c r="O76" i="31"/>
  <c r="O77" i="31"/>
  <c r="O78" i="31"/>
  <c r="O80" i="31"/>
  <c r="O81" i="31"/>
  <c r="O82" i="31"/>
  <c r="O83" i="31"/>
  <c r="O84" i="31"/>
  <c r="O85" i="31"/>
  <c r="O86" i="31"/>
  <c r="O89" i="31"/>
  <c r="O91" i="31"/>
  <c r="O92" i="31"/>
  <c r="O93" i="31"/>
  <c r="O94" i="31"/>
  <c r="O95" i="31"/>
  <c r="O97" i="31"/>
  <c r="O98" i="31"/>
  <c r="O100" i="31"/>
  <c r="O101" i="31"/>
  <c r="O103" i="31"/>
  <c r="O46" i="31"/>
  <c r="F99" i="31"/>
  <c r="G99" i="31"/>
  <c r="H99" i="31"/>
  <c r="I99" i="31"/>
  <c r="J99" i="31"/>
  <c r="K99" i="31"/>
  <c r="L99" i="31"/>
  <c r="F96" i="31"/>
  <c r="G96" i="31"/>
  <c r="H96" i="31"/>
  <c r="I96" i="31"/>
  <c r="J96" i="31"/>
  <c r="L96" i="31"/>
  <c r="F90" i="31"/>
  <c r="G90" i="31"/>
  <c r="H90" i="31"/>
  <c r="I90" i="31"/>
  <c r="O90" i="31"/>
  <c r="J90" i="31"/>
  <c r="K90" i="31"/>
  <c r="L90" i="31"/>
  <c r="F87" i="31"/>
  <c r="I87" i="31"/>
  <c r="I88" i="31"/>
  <c r="L87" i="31"/>
  <c r="G79" i="31"/>
  <c r="I79" i="31"/>
  <c r="G72" i="31"/>
  <c r="H72" i="31"/>
  <c r="H79" i="31"/>
  <c r="I72" i="31"/>
  <c r="J72" i="31"/>
  <c r="J79" i="31"/>
  <c r="L72" i="31"/>
  <c r="L79" i="31"/>
  <c r="F68" i="31"/>
  <c r="O68" i="31"/>
  <c r="G68" i="31"/>
  <c r="H68" i="31"/>
  <c r="I68" i="31"/>
  <c r="K68" i="31"/>
  <c r="L68" i="31"/>
  <c r="F65" i="31"/>
  <c r="G65" i="31"/>
  <c r="H65" i="31"/>
  <c r="I65" i="31"/>
  <c r="L65" i="31"/>
  <c r="F62" i="31"/>
  <c r="G62" i="31"/>
  <c r="H62" i="31"/>
  <c r="I62" i="31"/>
  <c r="L62" i="31"/>
  <c r="F57" i="31"/>
  <c r="G57" i="31"/>
  <c r="M57" i="31"/>
  <c r="H57" i="31"/>
  <c r="I57" i="31"/>
  <c r="J57" i="31"/>
  <c r="K57" i="31"/>
  <c r="L57" i="31"/>
  <c r="F54" i="31"/>
  <c r="F58" i="31"/>
  <c r="G54" i="31"/>
  <c r="H54" i="31"/>
  <c r="H58" i="31"/>
  <c r="I54" i="31"/>
  <c r="L54" i="31"/>
  <c r="L58" i="31"/>
  <c r="G36" i="31"/>
  <c r="H36" i="31"/>
  <c r="J36" i="31"/>
  <c r="K36" i="31"/>
  <c r="L36" i="31"/>
  <c r="F32" i="31"/>
  <c r="O32" i="31"/>
  <c r="G32" i="31"/>
  <c r="H32" i="31"/>
  <c r="I32" i="31"/>
  <c r="J32" i="31"/>
  <c r="K32" i="31"/>
  <c r="L32" i="31"/>
  <c r="L29" i="31"/>
  <c r="F29" i="31"/>
  <c r="O29" i="31"/>
  <c r="G29" i="31"/>
  <c r="H29" i="31"/>
  <c r="I29" i="31"/>
  <c r="J29" i="31"/>
  <c r="K29" i="31"/>
  <c r="F26" i="31"/>
  <c r="G26" i="31"/>
  <c r="H26" i="31"/>
  <c r="I26" i="31"/>
  <c r="O26" i="31"/>
  <c r="J26" i="31"/>
  <c r="K26" i="31"/>
  <c r="L26" i="31"/>
  <c r="F24" i="31"/>
  <c r="G24" i="31"/>
  <c r="G37" i="31"/>
  <c r="G105" i="31"/>
  <c r="H24" i="31"/>
  <c r="H37" i="31"/>
  <c r="H105" i="31"/>
  <c r="I24" i="31"/>
  <c r="L24" i="31"/>
  <c r="J16" i="6"/>
  <c r="I16" i="6"/>
  <c r="R14" i="2"/>
  <c r="R15" i="2"/>
  <c r="H16" i="7"/>
  <c r="E20" i="29"/>
  <c r="BG124" i="23"/>
  <c r="BG125" i="23"/>
  <c r="E23" i="29"/>
  <c r="E25" i="29"/>
  <c r="E26" i="29"/>
  <c r="D125" i="23"/>
  <c r="E125" i="23"/>
  <c r="CK125" i="23"/>
  <c r="O14" i="2"/>
  <c r="O15" i="2"/>
  <c r="H15" i="7"/>
  <c r="N124" i="23"/>
  <c r="N125" i="23"/>
  <c r="D58" i="23"/>
  <c r="E58" i="23"/>
  <c r="CK57" i="23"/>
  <c r="AD15" i="1"/>
  <c r="AD16" i="1"/>
  <c r="D30" i="7"/>
  <c r="CJ57" i="23"/>
  <c r="AC15" i="1"/>
  <c r="AC16" i="1"/>
  <c r="C30" i="7"/>
  <c r="AF27" i="23"/>
  <c r="CK27" i="23"/>
  <c r="T22" i="23"/>
  <c r="AU22" i="23"/>
  <c r="AL22" i="23"/>
  <c r="CB15" i="23"/>
  <c r="BS15" i="23"/>
  <c r="BS19" i="23"/>
  <c r="BS23" i="23"/>
  <c r="H13" i="23"/>
  <c r="CK13" i="23"/>
  <c r="H143" i="23"/>
  <c r="H144" i="23"/>
  <c r="BG135" i="23"/>
  <c r="BG136" i="23"/>
  <c r="W135" i="23"/>
  <c r="W136" i="23"/>
  <c r="AF130" i="23"/>
  <c r="AF131" i="23"/>
  <c r="N127" i="23"/>
  <c r="N131" i="23"/>
  <c r="N130" i="23"/>
  <c r="CB121" i="23"/>
  <c r="CB125" i="23"/>
  <c r="BY121" i="23"/>
  <c r="BY125" i="23"/>
  <c r="AO104" i="23"/>
  <c r="CK104" i="23"/>
  <c r="H83" i="23"/>
  <c r="T83" i="23"/>
  <c r="T88" i="23"/>
  <c r="AU83" i="23"/>
  <c r="AU88" i="23"/>
  <c r="BV83" i="23"/>
  <c r="H79" i="23"/>
  <c r="CK79" i="23"/>
  <c r="H78" i="23"/>
  <c r="H81" i="23"/>
  <c r="AL76" i="23"/>
  <c r="AI70" i="23"/>
  <c r="CK70" i="23"/>
  <c r="AU69" i="23"/>
  <c r="AU77" i="23"/>
  <c r="AU82" i="23"/>
  <c r="H32" i="25"/>
  <c r="K32" i="25"/>
  <c r="L14" i="1"/>
  <c r="AJ14" i="1"/>
  <c r="H59" i="25"/>
  <c r="H62" i="25"/>
  <c r="H43" i="25"/>
  <c r="E32" i="25"/>
  <c r="E33" i="25"/>
  <c r="E61" i="25"/>
  <c r="E45" i="25"/>
  <c r="K45" i="25"/>
  <c r="BP143" i="23"/>
  <c r="BP144" i="23"/>
  <c r="E47" i="24"/>
  <c r="N47" i="24"/>
  <c r="BS143" i="23"/>
  <c r="BS144" i="23"/>
  <c r="K98" i="31"/>
  <c r="K97" i="31"/>
  <c r="E98" i="31"/>
  <c r="K95" i="31"/>
  <c r="E95" i="31"/>
  <c r="N95" i="31"/>
  <c r="E94" i="31"/>
  <c r="E96" i="31"/>
  <c r="N96" i="31"/>
  <c r="N94" i="31"/>
  <c r="K94" i="31"/>
  <c r="K96" i="31"/>
  <c r="K83" i="31"/>
  <c r="E83" i="31"/>
  <c r="K80" i="31"/>
  <c r="E80" i="31"/>
  <c r="K78" i="31"/>
  <c r="E78" i="31"/>
  <c r="K75" i="31"/>
  <c r="E75" i="31"/>
  <c r="K73" i="31"/>
  <c r="E73" i="31"/>
  <c r="K70" i="31"/>
  <c r="K71" i="31"/>
  <c r="E70" i="31"/>
  <c r="E71" i="31"/>
  <c r="K69" i="31"/>
  <c r="E69" i="31"/>
  <c r="E72" i="31"/>
  <c r="K67" i="31"/>
  <c r="E67" i="31"/>
  <c r="K66" i="31"/>
  <c r="E66" i="31"/>
  <c r="E68" i="31"/>
  <c r="N68" i="31"/>
  <c r="K63" i="31"/>
  <c r="E63" i="31"/>
  <c r="K60" i="31"/>
  <c r="K61" i="31"/>
  <c r="E60" i="31"/>
  <c r="E61" i="31"/>
  <c r="E53" i="31"/>
  <c r="K53" i="31"/>
  <c r="E47" i="31"/>
  <c r="K47" i="31"/>
  <c r="N135" i="23"/>
  <c r="N136" i="23"/>
  <c r="BV15" i="23"/>
  <c r="BV69" i="23"/>
  <c r="BV77" i="23"/>
  <c r="BV82" i="23"/>
  <c r="E35" i="31"/>
  <c r="E36" i="31"/>
  <c r="AT69" i="23"/>
  <c r="AT77" i="23"/>
  <c r="AT82" i="23"/>
  <c r="D25" i="29"/>
  <c r="J25" i="6"/>
  <c r="J36" i="6"/>
  <c r="D5" i="22"/>
  <c r="E5" i="22"/>
  <c r="F5" i="22"/>
  <c r="G5" i="22"/>
  <c r="H5" i="22"/>
  <c r="I5" i="22"/>
  <c r="J5" i="22"/>
  <c r="K5" i="22"/>
  <c r="L5" i="22"/>
  <c r="M5" i="22"/>
  <c r="O5" i="22"/>
  <c r="N6" i="22"/>
  <c r="N7" i="22"/>
  <c r="J8" i="22"/>
  <c r="J13" i="22"/>
  <c r="N9" i="22"/>
  <c r="N10" i="22"/>
  <c r="N11" i="22"/>
  <c r="N12" i="22"/>
  <c r="D13" i="22"/>
  <c r="E13" i="22"/>
  <c r="F13" i="22"/>
  <c r="G13" i="22"/>
  <c r="H13" i="22"/>
  <c r="I13" i="22"/>
  <c r="K13" i="22"/>
  <c r="L13" i="22"/>
  <c r="M13" i="22"/>
  <c r="D17" i="22"/>
  <c r="E17" i="22"/>
  <c r="F17" i="22"/>
  <c r="G17" i="22"/>
  <c r="H17" i="22"/>
  <c r="I17" i="22"/>
  <c r="J17" i="22"/>
  <c r="K17" i="22"/>
  <c r="L17" i="22"/>
  <c r="M17" i="22"/>
  <c r="N17" i="22"/>
  <c r="P17" i="22"/>
  <c r="O18" i="22"/>
  <c r="O19" i="22"/>
  <c r="N48" i="31"/>
  <c r="K48" i="31"/>
  <c r="K20" i="22"/>
  <c r="O21" i="22"/>
  <c r="N50" i="31"/>
  <c r="O22" i="22"/>
  <c r="N51" i="31"/>
  <c r="E51" i="31"/>
  <c r="O23" i="22"/>
  <c r="O24" i="22"/>
  <c r="D25" i="22"/>
  <c r="E25" i="22"/>
  <c r="F25" i="22"/>
  <c r="G25" i="22"/>
  <c r="H25" i="22"/>
  <c r="I25" i="22"/>
  <c r="J25" i="22"/>
  <c r="L25" i="22"/>
  <c r="M25" i="22"/>
  <c r="N25" i="22"/>
  <c r="D29" i="22"/>
  <c r="E29" i="22"/>
  <c r="F29" i="22"/>
  <c r="G29" i="22"/>
  <c r="I29" i="22"/>
  <c r="H30" i="22"/>
  <c r="H31" i="22"/>
  <c r="H32" i="22"/>
  <c r="H33" i="22"/>
  <c r="H34" i="22"/>
  <c r="H35" i="22"/>
  <c r="H36" i="22"/>
  <c r="D37" i="22"/>
  <c r="E37" i="22"/>
  <c r="F37" i="22"/>
  <c r="G37" i="22"/>
  <c r="D41" i="22"/>
  <c r="E41" i="22"/>
  <c r="F41" i="22"/>
  <c r="G41" i="22"/>
  <c r="H41" i="22"/>
  <c r="AI69" i="23"/>
  <c r="I41" i="22"/>
  <c r="AI83" i="23"/>
  <c r="AI88" i="23"/>
  <c r="J41" i="22"/>
  <c r="H42" i="22"/>
  <c r="H43" i="22"/>
  <c r="H44" i="22"/>
  <c r="H45" i="22"/>
  <c r="H46" i="22"/>
  <c r="H47" i="22"/>
  <c r="H48" i="22"/>
  <c r="D49" i="22"/>
  <c r="E49" i="22"/>
  <c r="F49" i="22"/>
  <c r="G49" i="22"/>
  <c r="H49" i="22"/>
  <c r="D53" i="22"/>
  <c r="G53" i="22"/>
  <c r="G54" i="22"/>
  <c r="G55" i="22"/>
  <c r="G56" i="22"/>
  <c r="G57" i="22"/>
  <c r="G58" i="22"/>
  <c r="G59" i="22"/>
  <c r="G60" i="22"/>
  <c r="D61" i="22"/>
  <c r="E61" i="22"/>
  <c r="F61" i="22"/>
  <c r="D65" i="22"/>
  <c r="H65" i="22"/>
  <c r="I65" i="22"/>
  <c r="G66" i="22"/>
  <c r="G67" i="22"/>
  <c r="G68" i="22"/>
  <c r="G69" i="22"/>
  <c r="G70" i="22"/>
  <c r="G71" i="22"/>
  <c r="G72" i="22"/>
  <c r="E73" i="22"/>
  <c r="F73" i="22"/>
  <c r="D77" i="22"/>
  <c r="E77" i="22"/>
  <c r="F77" i="22"/>
  <c r="H77" i="22"/>
  <c r="G78" i="22"/>
  <c r="G79" i="22"/>
  <c r="AL71" i="23"/>
  <c r="G80" i="22"/>
  <c r="G81" i="22"/>
  <c r="AL73" i="23"/>
  <c r="CK73" i="23"/>
  <c r="G82" i="22"/>
  <c r="G83" i="22"/>
  <c r="AL75" i="23"/>
  <c r="G84" i="22"/>
  <c r="D85" i="22"/>
  <c r="F85" i="22"/>
  <c r="D89" i="22"/>
  <c r="D97" i="22"/>
  <c r="E89" i="22"/>
  <c r="F89" i="22"/>
  <c r="F97" i="22"/>
  <c r="G89" i="22"/>
  <c r="H89" i="22"/>
  <c r="H97" i="22"/>
  <c r="I89" i="22"/>
  <c r="J89" i="22"/>
  <c r="J97" i="22"/>
  <c r="K89" i="22"/>
  <c r="K97" i="22"/>
  <c r="L89" i="22"/>
  <c r="L97" i="22"/>
  <c r="M89" i="22"/>
  <c r="N89" i="22"/>
  <c r="D42" i="24"/>
  <c r="N90" i="22"/>
  <c r="N91" i="22"/>
  <c r="D44" i="24"/>
  <c r="M44" i="24"/>
  <c r="E92" i="22"/>
  <c r="N92" i="22"/>
  <c r="D45" i="24"/>
  <c r="N93" i="22"/>
  <c r="D46" i="24"/>
  <c r="N94" i="22"/>
  <c r="D47" i="24"/>
  <c r="M47" i="24"/>
  <c r="N95" i="22"/>
  <c r="N96" i="22"/>
  <c r="G97" i="22"/>
  <c r="I97" i="22"/>
  <c r="M97" i="22"/>
  <c r="D101" i="22"/>
  <c r="D109" i="22"/>
  <c r="O109" i="22"/>
  <c r="E101" i="22"/>
  <c r="F101" i="22"/>
  <c r="F109" i="22"/>
  <c r="G101" i="22"/>
  <c r="H101" i="22"/>
  <c r="H109" i="22"/>
  <c r="I101" i="22"/>
  <c r="K101" i="22"/>
  <c r="K109" i="22"/>
  <c r="L101" i="22"/>
  <c r="L109" i="22"/>
  <c r="M101" i="22"/>
  <c r="M109" i="22"/>
  <c r="N101" i="22"/>
  <c r="O101" i="22"/>
  <c r="E42" i="24"/>
  <c r="N42" i="24"/>
  <c r="P101" i="22"/>
  <c r="Q101" i="22"/>
  <c r="O102" i="22"/>
  <c r="O103" i="22"/>
  <c r="E44" i="24"/>
  <c r="E104" i="22"/>
  <c r="O104" i="22"/>
  <c r="E45" i="24"/>
  <c r="N45" i="24"/>
  <c r="O105" i="22"/>
  <c r="O106" i="22"/>
  <c r="O107" i="22"/>
  <c r="O108" i="22"/>
  <c r="E109" i="22"/>
  <c r="G109" i="22"/>
  <c r="I109" i="22"/>
  <c r="J109" i="22"/>
  <c r="N109" i="22"/>
  <c r="D113" i="22"/>
  <c r="E113" i="22"/>
  <c r="N113" i="22"/>
  <c r="F113" i="22"/>
  <c r="G113" i="22"/>
  <c r="G120" i="22"/>
  <c r="H113" i="22"/>
  <c r="I113" i="22"/>
  <c r="I120" i="22"/>
  <c r="J113" i="22"/>
  <c r="K113" i="22"/>
  <c r="K120" i="22"/>
  <c r="L113" i="22"/>
  <c r="M113" i="22"/>
  <c r="M120" i="22"/>
  <c r="O113" i="22"/>
  <c r="N114" i="22"/>
  <c r="N115" i="22"/>
  <c r="N116" i="22"/>
  <c r="D50" i="25"/>
  <c r="N117" i="22"/>
  <c r="N118" i="22"/>
  <c r="D52" i="25"/>
  <c r="J52" i="25"/>
  <c r="N119" i="22"/>
  <c r="D120" i="22"/>
  <c r="N120" i="22"/>
  <c r="F120" i="22"/>
  <c r="H120" i="22"/>
  <c r="J120" i="22"/>
  <c r="L120" i="22"/>
  <c r="D124" i="22"/>
  <c r="E124" i="22"/>
  <c r="E131" i="22"/>
  <c r="F124" i="22"/>
  <c r="G124" i="22"/>
  <c r="G131" i="22"/>
  <c r="H124" i="22"/>
  <c r="I124" i="22"/>
  <c r="I131" i="22"/>
  <c r="J124" i="22"/>
  <c r="K124" i="22"/>
  <c r="K131" i="22"/>
  <c r="L124" i="22"/>
  <c r="L131" i="22"/>
  <c r="M124" i="22"/>
  <c r="M131" i="22"/>
  <c r="N124" i="22"/>
  <c r="O124" i="22"/>
  <c r="O131" i="22"/>
  <c r="Q124" i="22"/>
  <c r="E59" i="25"/>
  <c r="K59" i="25"/>
  <c r="R124" i="22"/>
  <c r="P125" i="22"/>
  <c r="P126" i="22"/>
  <c r="P127" i="22"/>
  <c r="E50" i="25"/>
  <c r="P128" i="22"/>
  <c r="E51" i="25"/>
  <c r="K51" i="25"/>
  <c r="P129" i="22"/>
  <c r="P130" i="22"/>
  <c r="D131" i="22"/>
  <c r="F131" i="22"/>
  <c r="H131" i="22"/>
  <c r="J131" i="22"/>
  <c r="N131" i="22"/>
  <c r="D138" i="22"/>
  <c r="F138" i="22"/>
  <c r="H138" i="22"/>
  <c r="D139" i="22"/>
  <c r="H139" i="22"/>
  <c r="H140" i="22"/>
  <c r="D141" i="22"/>
  <c r="H141" i="22"/>
  <c r="H144" i="22"/>
  <c r="D142" i="22"/>
  <c r="F142" i="22"/>
  <c r="H142" i="22"/>
  <c r="D143" i="22"/>
  <c r="H143" i="22"/>
  <c r="D146" i="22"/>
  <c r="F146" i="22"/>
  <c r="H146" i="22"/>
  <c r="D147" i="22"/>
  <c r="H147" i="22"/>
  <c r="H154" i="22"/>
  <c r="D148" i="22"/>
  <c r="F148" i="22"/>
  <c r="H148" i="22"/>
  <c r="D149" i="22"/>
  <c r="H149" i="22"/>
  <c r="D150" i="22"/>
  <c r="F150" i="22"/>
  <c r="H150" i="22"/>
  <c r="D151" i="22"/>
  <c r="H151" i="22"/>
  <c r="D152" i="22"/>
  <c r="F152" i="22"/>
  <c r="H152" i="22"/>
  <c r="D153" i="22"/>
  <c r="H153" i="22"/>
  <c r="D158" i="22"/>
  <c r="D160" i="22"/>
  <c r="D168" i="22"/>
  <c r="D18" i="31"/>
  <c r="D161" i="22"/>
  <c r="D162" i="22"/>
  <c r="D163" i="22"/>
  <c r="D164" i="22"/>
  <c r="D165" i="22"/>
  <c r="D166" i="22"/>
  <c r="D169" i="22"/>
  <c r="D170" i="22"/>
  <c r="D171" i="22"/>
  <c r="D172" i="22"/>
  <c r="D173" i="22"/>
  <c r="D174" i="22"/>
  <c r="D175" i="22"/>
  <c r="D183" i="22"/>
  <c r="F183" i="22"/>
  <c r="H183" i="22"/>
  <c r="D184" i="22"/>
  <c r="H184" i="22"/>
  <c r="D185" i="22"/>
  <c r="F185" i="22"/>
  <c r="H185" i="22"/>
  <c r="D186" i="22"/>
  <c r="H186" i="22"/>
  <c r="D187" i="22"/>
  <c r="F187" i="22"/>
  <c r="H187" i="22"/>
  <c r="D188" i="22"/>
  <c r="H188" i="22"/>
  <c r="H193" i="22"/>
  <c r="H194" i="22"/>
  <c r="D189" i="22"/>
  <c r="F189" i="22"/>
  <c r="H189" i="22"/>
  <c r="D190" i="22"/>
  <c r="H190" i="22"/>
  <c r="D191" i="22"/>
  <c r="F191" i="22"/>
  <c r="H191" i="22"/>
  <c r="D192" i="22"/>
  <c r="H192" i="22"/>
  <c r="D195" i="22"/>
  <c r="F195" i="22"/>
  <c r="H195" i="22"/>
  <c r="D196" i="22"/>
  <c r="H196" i="22"/>
  <c r="H205" i="22"/>
  <c r="D197" i="22"/>
  <c r="F197" i="22"/>
  <c r="H197" i="22"/>
  <c r="D198" i="22"/>
  <c r="H198" i="22"/>
  <c r="D199" i="22"/>
  <c r="F199" i="22"/>
  <c r="H199" i="22"/>
  <c r="D200" i="22"/>
  <c r="H200" i="22"/>
  <c r="D201" i="22"/>
  <c r="F201" i="22"/>
  <c r="H201" i="22"/>
  <c r="D202" i="22"/>
  <c r="H202" i="22"/>
  <c r="D203" i="22"/>
  <c r="F203" i="22"/>
  <c r="H203" i="22"/>
  <c r="D204" i="22"/>
  <c r="H204" i="22"/>
  <c r="D209" i="22"/>
  <c r="D210" i="22"/>
  <c r="D211" i="22"/>
  <c r="D213" i="22"/>
  <c r="D214" i="22"/>
  <c r="D215" i="22"/>
  <c r="D216" i="22"/>
  <c r="D217" i="22"/>
  <c r="D218" i="22"/>
  <c r="D219" i="22"/>
  <c r="D220" i="22"/>
  <c r="D221" i="22"/>
  <c r="D222" i="22"/>
  <c r="D223" i="22"/>
  <c r="D224" i="22"/>
  <c r="D227" i="22"/>
  <c r="D228" i="22"/>
  <c r="D229" i="22"/>
  <c r="D230" i="22"/>
  <c r="D231" i="22"/>
  <c r="D232" i="22"/>
  <c r="D233" i="22"/>
  <c r="D234" i="22"/>
  <c r="D235" i="22"/>
  <c r="M12" i="31"/>
  <c r="N12" i="31"/>
  <c r="M13" i="31"/>
  <c r="N13" i="31"/>
  <c r="M14" i="31"/>
  <c r="N14" i="31"/>
  <c r="M16" i="31"/>
  <c r="N16" i="31"/>
  <c r="M17" i="31"/>
  <c r="N17" i="31"/>
  <c r="M20" i="31"/>
  <c r="N20" i="31"/>
  <c r="M21" i="31"/>
  <c r="N21" i="31"/>
  <c r="M22" i="31"/>
  <c r="N22" i="31"/>
  <c r="M23" i="31"/>
  <c r="N23" i="31"/>
  <c r="M25" i="31"/>
  <c r="N25" i="31"/>
  <c r="D26" i="31"/>
  <c r="E26" i="31"/>
  <c r="M26" i="31"/>
  <c r="N26" i="31"/>
  <c r="M27" i="31"/>
  <c r="N27" i="31"/>
  <c r="M28" i="31"/>
  <c r="N28" i="31"/>
  <c r="D29" i="31"/>
  <c r="E29" i="31"/>
  <c r="M29" i="31"/>
  <c r="N29" i="31"/>
  <c r="M30" i="31"/>
  <c r="N30" i="31"/>
  <c r="M31" i="31"/>
  <c r="N31" i="31"/>
  <c r="D32" i="31"/>
  <c r="E32" i="31"/>
  <c r="M32" i="31"/>
  <c r="N32" i="31"/>
  <c r="M33" i="31"/>
  <c r="N33" i="31"/>
  <c r="M34" i="31"/>
  <c r="Q12" i="1"/>
  <c r="Q16" i="1"/>
  <c r="G19" i="7"/>
  <c r="N34" i="31"/>
  <c r="D35" i="31"/>
  <c r="M35" i="31"/>
  <c r="N35" i="31"/>
  <c r="L12" i="1"/>
  <c r="D36" i="31"/>
  <c r="M36" i="31"/>
  <c r="D47" i="31"/>
  <c r="J47" i="31"/>
  <c r="D48" i="31"/>
  <c r="J48" i="31"/>
  <c r="J49" i="31"/>
  <c r="D50" i="31"/>
  <c r="J50" i="31"/>
  <c r="D51" i="31"/>
  <c r="M51" i="31"/>
  <c r="J51" i="31"/>
  <c r="D52" i="31"/>
  <c r="M52" i="31"/>
  <c r="J52" i="31"/>
  <c r="N52" i="31"/>
  <c r="E52" i="31"/>
  <c r="D53" i="31"/>
  <c r="J53" i="31"/>
  <c r="M55" i="31"/>
  <c r="N55" i="31"/>
  <c r="E56" i="31"/>
  <c r="K56" i="31"/>
  <c r="M56" i="31"/>
  <c r="D57" i="31"/>
  <c r="E57" i="31"/>
  <c r="N57" i="31"/>
  <c r="M61" i="31"/>
  <c r="M63" i="31"/>
  <c r="D66" i="31"/>
  <c r="J66" i="31"/>
  <c r="D67" i="31"/>
  <c r="J67" i="31"/>
  <c r="D68" i="31"/>
  <c r="D69" i="31"/>
  <c r="J69" i="31"/>
  <c r="D70" i="31"/>
  <c r="J70" i="31"/>
  <c r="D71" i="31"/>
  <c r="J71" i="31"/>
  <c r="D72" i="31"/>
  <c r="M72" i="31"/>
  <c r="D73" i="31"/>
  <c r="J73" i="31"/>
  <c r="D74" i="31"/>
  <c r="J74" i="31"/>
  <c r="D75" i="31"/>
  <c r="J75" i="31"/>
  <c r="M76" i="31"/>
  <c r="N76" i="31"/>
  <c r="M77" i="31"/>
  <c r="N77" i="31"/>
  <c r="D78" i="31"/>
  <c r="J78" i="31"/>
  <c r="D79" i="31"/>
  <c r="M79" i="31"/>
  <c r="M80" i="31"/>
  <c r="M81" i="31"/>
  <c r="N81" i="31"/>
  <c r="D83" i="31"/>
  <c r="J83" i="31"/>
  <c r="M84" i="31"/>
  <c r="N84" i="31"/>
  <c r="M85" i="31"/>
  <c r="N85" i="31"/>
  <c r="M86" i="31"/>
  <c r="N86" i="31"/>
  <c r="M89" i="31"/>
  <c r="N89" i="31"/>
  <c r="D90" i="31"/>
  <c r="E90" i="31"/>
  <c r="M90" i="31"/>
  <c r="N90" i="31"/>
  <c r="M91" i="31"/>
  <c r="N91" i="31"/>
  <c r="M92" i="31"/>
  <c r="N92" i="31"/>
  <c r="M93" i="31"/>
  <c r="N93" i="31"/>
  <c r="M94" i="31"/>
  <c r="M95" i="31"/>
  <c r="D96" i="31"/>
  <c r="M96" i="31"/>
  <c r="T11" i="2"/>
  <c r="M100" i="31"/>
  <c r="N100" i="31"/>
  <c r="M101" i="31"/>
  <c r="N101" i="31"/>
  <c r="D103" i="31"/>
  <c r="J103" i="31"/>
  <c r="N103" i="31"/>
  <c r="J12" i="25"/>
  <c r="N14" i="1"/>
  <c r="N16" i="1"/>
  <c r="C14" i="7"/>
  <c r="K12" i="25"/>
  <c r="J13" i="25"/>
  <c r="K13" i="25"/>
  <c r="J14" i="25"/>
  <c r="K14" i="25"/>
  <c r="J15" i="25"/>
  <c r="K15" i="25"/>
  <c r="J16" i="25"/>
  <c r="K16" i="25"/>
  <c r="J17" i="25"/>
  <c r="K17" i="25"/>
  <c r="J18" i="25"/>
  <c r="K18" i="25"/>
  <c r="J19" i="25"/>
  <c r="K19" i="25"/>
  <c r="J20" i="25"/>
  <c r="K20" i="25"/>
  <c r="D21" i="25"/>
  <c r="J21" i="25"/>
  <c r="E21" i="25"/>
  <c r="K21" i="25"/>
  <c r="D23" i="25"/>
  <c r="J23" i="25"/>
  <c r="E23" i="25"/>
  <c r="K23" i="25"/>
  <c r="D26" i="25"/>
  <c r="J26" i="25"/>
  <c r="E26" i="25"/>
  <c r="K26" i="25"/>
  <c r="D29" i="25"/>
  <c r="J29" i="25"/>
  <c r="E29" i="25"/>
  <c r="K29" i="25"/>
  <c r="Q14" i="1"/>
  <c r="D32" i="25"/>
  <c r="J32" i="25"/>
  <c r="K14" i="1"/>
  <c r="AI14" i="1"/>
  <c r="G32" i="25"/>
  <c r="G33" i="25"/>
  <c r="D33" i="25"/>
  <c r="G43" i="25"/>
  <c r="D44" i="25"/>
  <c r="J44" i="25"/>
  <c r="K44" i="25"/>
  <c r="D45" i="25"/>
  <c r="J45" i="25"/>
  <c r="J46" i="25"/>
  <c r="K46" i="25"/>
  <c r="J47" i="25"/>
  <c r="K47" i="25"/>
  <c r="D48" i="25"/>
  <c r="G48" i="25"/>
  <c r="K48" i="25"/>
  <c r="D49" i="25"/>
  <c r="J49" i="25"/>
  <c r="G49" i="25"/>
  <c r="K49" i="25"/>
  <c r="G50" i="25"/>
  <c r="H50" i="25"/>
  <c r="D51" i="25"/>
  <c r="G51" i="25"/>
  <c r="H51" i="25"/>
  <c r="G52" i="25"/>
  <c r="H52" i="25"/>
  <c r="K52" i="25"/>
  <c r="J53" i="25"/>
  <c r="K53" i="25"/>
  <c r="D55" i="25"/>
  <c r="J55" i="25"/>
  <c r="J57" i="25"/>
  <c r="K55" i="25"/>
  <c r="J56" i="25"/>
  <c r="K56" i="25"/>
  <c r="E57" i="25"/>
  <c r="G59" i="25"/>
  <c r="G62" i="25"/>
  <c r="G61" i="25"/>
  <c r="J63" i="25"/>
  <c r="K63" i="25"/>
  <c r="J64" i="25"/>
  <c r="K64" i="25"/>
  <c r="D65" i="25"/>
  <c r="E65" i="25"/>
  <c r="J65" i="25"/>
  <c r="J66" i="25"/>
  <c r="K66" i="25"/>
  <c r="J67" i="25"/>
  <c r="K67" i="25"/>
  <c r="D68" i="25"/>
  <c r="E68" i="25"/>
  <c r="J68" i="25"/>
  <c r="J69" i="25"/>
  <c r="K69" i="25"/>
  <c r="J70" i="25"/>
  <c r="K70" i="25"/>
  <c r="J71" i="25"/>
  <c r="K71" i="25"/>
  <c r="D72" i="25"/>
  <c r="D79" i="25"/>
  <c r="E72" i="25"/>
  <c r="J72" i="25"/>
  <c r="J73" i="25"/>
  <c r="K73" i="25"/>
  <c r="J74" i="25"/>
  <c r="K74" i="25"/>
  <c r="J75" i="25"/>
  <c r="K75" i="25"/>
  <c r="J76" i="25"/>
  <c r="K76" i="25"/>
  <c r="J77" i="25"/>
  <c r="K77" i="25"/>
  <c r="J78" i="25"/>
  <c r="K78" i="25"/>
  <c r="H82" i="25"/>
  <c r="H86" i="25"/>
  <c r="J80" i="25"/>
  <c r="K80" i="25"/>
  <c r="J81" i="25"/>
  <c r="K81" i="25"/>
  <c r="J83" i="25"/>
  <c r="K83" i="25"/>
  <c r="J84" i="25"/>
  <c r="K84" i="25"/>
  <c r="J85" i="25"/>
  <c r="K85" i="25"/>
  <c r="J88" i="25"/>
  <c r="K88" i="25"/>
  <c r="J89" i="25"/>
  <c r="K89" i="25"/>
  <c r="D90" i="25"/>
  <c r="E90" i="25"/>
  <c r="J90" i="25"/>
  <c r="K90" i="25"/>
  <c r="J91" i="25"/>
  <c r="K91" i="25"/>
  <c r="J92" i="25"/>
  <c r="K92" i="25"/>
  <c r="J93" i="25"/>
  <c r="K93" i="25"/>
  <c r="D94" i="25"/>
  <c r="J94" i="25"/>
  <c r="H94" i="25"/>
  <c r="H95" i="25"/>
  <c r="D95" i="25"/>
  <c r="J95" i="25"/>
  <c r="T13" i="2"/>
  <c r="J96" i="25"/>
  <c r="K96" i="25"/>
  <c r="J97" i="25"/>
  <c r="K97" i="25"/>
  <c r="J98" i="25"/>
  <c r="K98" i="25"/>
  <c r="J99" i="25"/>
  <c r="K99" i="25"/>
  <c r="D100" i="25"/>
  <c r="E100" i="25"/>
  <c r="J100" i="25"/>
  <c r="K100" i="25"/>
  <c r="J101" i="25"/>
  <c r="K101" i="25"/>
  <c r="J102" i="25"/>
  <c r="K102" i="25"/>
  <c r="J104" i="25"/>
  <c r="K104" i="25"/>
  <c r="M12" i="24"/>
  <c r="N12" i="24"/>
  <c r="M13" i="24"/>
  <c r="N13" i="24"/>
  <c r="M14" i="24"/>
  <c r="N14" i="24"/>
  <c r="M15" i="24"/>
  <c r="N15" i="24"/>
  <c r="M16" i="24"/>
  <c r="N16" i="24"/>
  <c r="M17" i="24"/>
  <c r="N17" i="24"/>
  <c r="M18" i="24"/>
  <c r="N18" i="24"/>
  <c r="M19" i="24"/>
  <c r="N19" i="24"/>
  <c r="D20" i="24"/>
  <c r="D33" i="24"/>
  <c r="E20" i="24"/>
  <c r="G20" i="24"/>
  <c r="G33" i="24"/>
  <c r="G97" i="24"/>
  <c r="H20" i="24"/>
  <c r="M20" i="24"/>
  <c r="B13" i="1"/>
  <c r="N20" i="24"/>
  <c r="M21" i="24"/>
  <c r="N21" i="24"/>
  <c r="D22" i="24"/>
  <c r="E22" i="24"/>
  <c r="M22" i="24"/>
  <c r="N22" i="24"/>
  <c r="M23" i="24"/>
  <c r="N23" i="24"/>
  <c r="M24" i="24"/>
  <c r="N24" i="24"/>
  <c r="D25" i="24"/>
  <c r="M25" i="24"/>
  <c r="E25" i="24"/>
  <c r="N25" i="24"/>
  <c r="M26" i="24"/>
  <c r="N26" i="24"/>
  <c r="M27" i="24"/>
  <c r="N27" i="24"/>
  <c r="D28" i="24"/>
  <c r="E28" i="24"/>
  <c r="E33" i="24"/>
  <c r="M28" i="24"/>
  <c r="N28" i="24"/>
  <c r="M29" i="24"/>
  <c r="N29" i="24"/>
  <c r="M30" i="24"/>
  <c r="N30" i="24"/>
  <c r="D32" i="24"/>
  <c r="E32" i="24"/>
  <c r="M43" i="24"/>
  <c r="N43" i="24"/>
  <c r="E46" i="24"/>
  <c r="N46" i="24"/>
  <c r="D48" i="24"/>
  <c r="M48" i="24"/>
  <c r="E48" i="24"/>
  <c r="N48" i="24"/>
  <c r="M49" i="24"/>
  <c r="N49" i="24"/>
  <c r="M51" i="24"/>
  <c r="N51" i="24"/>
  <c r="M52" i="24"/>
  <c r="N52" i="24"/>
  <c r="D53" i="24"/>
  <c r="E53" i="24"/>
  <c r="M53" i="24"/>
  <c r="N53" i="24"/>
  <c r="N56" i="24"/>
  <c r="N57" i="24"/>
  <c r="M59" i="24"/>
  <c r="N59" i="24"/>
  <c r="M60" i="24"/>
  <c r="N60" i="24"/>
  <c r="D61" i="24"/>
  <c r="E61" i="24"/>
  <c r="M61" i="24"/>
  <c r="M62" i="24"/>
  <c r="N62" i="24"/>
  <c r="M63" i="24"/>
  <c r="N63" i="24"/>
  <c r="D64" i="24"/>
  <c r="E64" i="24"/>
  <c r="N64" i="24"/>
  <c r="M65" i="24"/>
  <c r="N65" i="24"/>
  <c r="M66" i="24"/>
  <c r="N66" i="24"/>
  <c r="M67" i="24"/>
  <c r="N67" i="24"/>
  <c r="D68" i="24"/>
  <c r="E68" i="24"/>
  <c r="N68" i="24"/>
  <c r="M69" i="24"/>
  <c r="N69" i="24"/>
  <c r="M70" i="24"/>
  <c r="N70" i="24"/>
  <c r="M71" i="24"/>
  <c r="N71" i="24"/>
  <c r="M72" i="24"/>
  <c r="N72" i="24"/>
  <c r="M73" i="24"/>
  <c r="N73" i="24"/>
  <c r="M74" i="24"/>
  <c r="N74" i="24"/>
  <c r="D75" i="24"/>
  <c r="E75" i="24"/>
  <c r="N75" i="24"/>
  <c r="H78" i="24"/>
  <c r="H82" i="24"/>
  <c r="H83" i="24"/>
  <c r="M76" i="24"/>
  <c r="N76" i="24"/>
  <c r="M77" i="24"/>
  <c r="N77" i="24"/>
  <c r="D78" i="24"/>
  <c r="D82" i="24"/>
  <c r="M79" i="24"/>
  <c r="N79" i="24"/>
  <c r="M80" i="24"/>
  <c r="N80" i="24"/>
  <c r="M81" i="24"/>
  <c r="N81" i="24"/>
  <c r="M84" i="24"/>
  <c r="N84" i="24"/>
  <c r="M85" i="24"/>
  <c r="N85" i="24"/>
  <c r="M86" i="24"/>
  <c r="N86" i="24"/>
  <c r="M87" i="24"/>
  <c r="N87" i="24"/>
  <c r="M88" i="24"/>
  <c r="N88" i="24"/>
  <c r="G89" i="24"/>
  <c r="M89" i="24"/>
  <c r="N89" i="24"/>
  <c r="D90" i="24"/>
  <c r="E90" i="24"/>
  <c r="M90" i="24"/>
  <c r="N90" i="24"/>
  <c r="M91" i="24"/>
  <c r="N91" i="24"/>
  <c r="M92" i="24"/>
  <c r="N92" i="24"/>
  <c r="M93" i="24"/>
  <c r="N93" i="24"/>
  <c r="M95" i="24"/>
  <c r="C11" i="26"/>
  <c r="N95" i="24"/>
  <c r="CJ13" i="23"/>
  <c r="BP14" i="23"/>
  <c r="BP19" i="23"/>
  <c r="BP23" i="23"/>
  <c r="BP59" i="23"/>
  <c r="BP148" i="23"/>
  <c r="CK14" i="23"/>
  <c r="CJ14" i="23"/>
  <c r="BR15" i="23"/>
  <c r="BR19" i="23"/>
  <c r="BR23" i="23"/>
  <c r="BR59" i="23"/>
  <c r="BR148" i="23"/>
  <c r="BY15" i="23"/>
  <c r="BY19" i="23"/>
  <c r="BY23" i="23"/>
  <c r="BY59" i="23"/>
  <c r="BY148" i="23"/>
  <c r="BJ16" i="23"/>
  <c r="BJ19" i="23"/>
  <c r="BJ23" i="23"/>
  <c r="CJ16" i="23"/>
  <c r="CK16" i="23"/>
  <c r="CJ17" i="23"/>
  <c r="CK17" i="23"/>
  <c r="CJ18" i="23"/>
  <c r="CK18" i="23"/>
  <c r="D19" i="23"/>
  <c r="D23" i="23"/>
  <c r="E19" i="23"/>
  <c r="E23" i="23"/>
  <c r="CJ20" i="23"/>
  <c r="CK20" i="23"/>
  <c r="CJ21" i="23"/>
  <c r="CK21" i="23"/>
  <c r="AX22" i="23"/>
  <c r="CK22" i="23"/>
  <c r="CJ22" i="23"/>
  <c r="CJ24" i="23"/>
  <c r="CK24" i="23"/>
  <c r="CJ25" i="23"/>
  <c r="CK25" i="23"/>
  <c r="CJ26" i="23"/>
  <c r="CK26" i="23"/>
  <c r="CJ27" i="23"/>
  <c r="D28" i="23"/>
  <c r="E28" i="23"/>
  <c r="CJ29" i="23"/>
  <c r="CK29" i="23"/>
  <c r="CJ30" i="23"/>
  <c r="CK30" i="23"/>
  <c r="CJ31" i="23"/>
  <c r="CK31" i="23"/>
  <c r="CJ32" i="23"/>
  <c r="CK32" i="23"/>
  <c r="CJ33" i="23"/>
  <c r="CK33" i="23"/>
  <c r="D34" i="23"/>
  <c r="E34" i="23"/>
  <c r="CK34" i="23"/>
  <c r="F15" i="1"/>
  <c r="F16" i="1"/>
  <c r="D12" i="7"/>
  <c r="CJ35" i="23"/>
  <c r="CK35" i="23"/>
  <c r="CJ36" i="23"/>
  <c r="CK36" i="23"/>
  <c r="CJ37" i="23"/>
  <c r="CK37" i="23"/>
  <c r="CJ38" i="23"/>
  <c r="CK38" i="23"/>
  <c r="CJ39" i="23"/>
  <c r="CK39" i="23"/>
  <c r="Z40" i="23"/>
  <c r="Z45" i="23"/>
  <c r="AH40" i="23"/>
  <c r="AH45" i="23"/>
  <c r="CJ45" i="23"/>
  <c r="B15" i="1"/>
  <c r="CK40" i="23"/>
  <c r="CJ40" i="23"/>
  <c r="CJ41" i="23"/>
  <c r="CK41" i="23"/>
  <c r="CJ42" i="23"/>
  <c r="CK42" i="23"/>
  <c r="CJ43" i="23"/>
  <c r="CK43" i="23"/>
  <c r="CJ44" i="23"/>
  <c r="CK44" i="23"/>
  <c r="D45" i="23"/>
  <c r="E45" i="23"/>
  <c r="CK45" i="23"/>
  <c r="C15" i="1"/>
  <c r="CJ46" i="23"/>
  <c r="CK46" i="23"/>
  <c r="CJ47" i="23"/>
  <c r="CK47" i="23"/>
  <c r="D48" i="23"/>
  <c r="E48" i="23"/>
  <c r="CK48" i="23"/>
  <c r="AA15" i="1"/>
  <c r="AA16" i="1"/>
  <c r="D29" i="7"/>
  <c r="CJ48" i="23"/>
  <c r="Z15" i="1"/>
  <c r="Z16" i="1"/>
  <c r="C29" i="7"/>
  <c r="CJ49" i="23"/>
  <c r="CK49" i="23"/>
  <c r="CJ50" i="23"/>
  <c r="CK50" i="23"/>
  <c r="D51" i="23"/>
  <c r="E51" i="23"/>
  <c r="CK51" i="23"/>
  <c r="O15" i="1"/>
  <c r="O16" i="1"/>
  <c r="D14" i="7"/>
  <c r="CJ52" i="23"/>
  <c r="CK52" i="23"/>
  <c r="CJ53" i="23"/>
  <c r="CK53" i="23"/>
  <c r="D54" i="23"/>
  <c r="E54" i="23"/>
  <c r="CJ54" i="23"/>
  <c r="W15" i="1"/>
  <c r="W16" i="1"/>
  <c r="C28" i="7"/>
  <c r="CJ55" i="23"/>
  <c r="CK55" i="23"/>
  <c r="CJ56" i="23"/>
  <c r="AF15" i="1"/>
  <c r="AF16" i="1"/>
  <c r="G33" i="7"/>
  <c r="CK56" i="23"/>
  <c r="AG15" i="1"/>
  <c r="AG16" i="1"/>
  <c r="H33" i="7"/>
  <c r="CJ58" i="23"/>
  <c r="AH69" i="23"/>
  <c r="BI69" i="23"/>
  <c r="AH70" i="23"/>
  <c r="BI70" i="23"/>
  <c r="BO70" i="23"/>
  <c r="BO77" i="23"/>
  <c r="BO82" i="23"/>
  <c r="AH71" i="23"/>
  <c r="AI71" i="23"/>
  <c r="BI71" i="23"/>
  <c r="BJ71" i="23"/>
  <c r="BO71" i="23"/>
  <c r="AH72" i="23"/>
  <c r="AI72" i="23"/>
  <c r="CK72" i="23"/>
  <c r="AL72" i="23"/>
  <c r="BI72" i="23"/>
  <c r="CJ72" i="23"/>
  <c r="BJ72" i="23"/>
  <c r="BO72" i="23"/>
  <c r="AH73" i="23"/>
  <c r="AH87" i="23"/>
  <c r="AI73" i="23"/>
  <c r="BI73" i="23"/>
  <c r="BI84" i="23"/>
  <c r="CJ84" i="23"/>
  <c r="BJ73" i="23"/>
  <c r="BO73" i="23"/>
  <c r="AH74" i="23"/>
  <c r="CJ74" i="23"/>
  <c r="AI74" i="23"/>
  <c r="AL74" i="23"/>
  <c r="CK74" i="23"/>
  <c r="BI74" i="23"/>
  <c r="BJ74" i="23"/>
  <c r="BO74" i="23"/>
  <c r="AH75" i="23"/>
  <c r="CJ75" i="23"/>
  <c r="AI75" i="23"/>
  <c r="BI75" i="23"/>
  <c r="BJ75" i="23"/>
  <c r="BO75" i="23"/>
  <c r="AH76" i="23"/>
  <c r="BI76" i="23"/>
  <c r="BJ76" i="23"/>
  <c r="BO76" i="23"/>
  <c r="D77" i="23"/>
  <c r="E77" i="23"/>
  <c r="AT83" i="23"/>
  <c r="G78" i="23"/>
  <c r="CK78" i="23"/>
  <c r="G79" i="23"/>
  <c r="CJ79" i="23"/>
  <c r="BC79" i="23"/>
  <c r="BC81" i="23"/>
  <c r="CJ80" i="23"/>
  <c r="CK80" i="23"/>
  <c r="D81" i="23"/>
  <c r="D82" i="23"/>
  <c r="E81" i="23"/>
  <c r="BJ83" i="23"/>
  <c r="BJ88" i="23"/>
  <c r="BO83" i="23"/>
  <c r="BO88" i="23"/>
  <c r="BU83" i="23"/>
  <c r="G84" i="23"/>
  <c r="AT84" i="23"/>
  <c r="BU84" i="23"/>
  <c r="CK84" i="23"/>
  <c r="CJ85" i="23"/>
  <c r="CK85" i="23"/>
  <c r="CJ86" i="23"/>
  <c r="CK86" i="23"/>
  <c r="G87" i="23"/>
  <c r="H87" i="23"/>
  <c r="H88" i="23"/>
  <c r="AT87" i="23"/>
  <c r="BU87" i="23"/>
  <c r="CK87" i="23"/>
  <c r="D88" i="23"/>
  <c r="E88" i="23"/>
  <c r="CJ89" i="23"/>
  <c r="CK89" i="23"/>
  <c r="CJ90" i="23"/>
  <c r="CK90" i="23"/>
  <c r="CJ91" i="23"/>
  <c r="CK91" i="23"/>
  <c r="D92" i="23"/>
  <c r="E92" i="23"/>
  <c r="T109" i="23"/>
  <c r="T114" i="23"/>
  <c r="CJ93" i="23"/>
  <c r="CK93" i="23"/>
  <c r="CJ94" i="23"/>
  <c r="CK94" i="23"/>
  <c r="D95" i="23"/>
  <c r="CJ95" i="23"/>
  <c r="E95" i="23"/>
  <c r="CJ96" i="23"/>
  <c r="CK96" i="23"/>
  <c r="CJ97" i="23"/>
  <c r="CK97" i="23"/>
  <c r="CJ98" i="23"/>
  <c r="CK98" i="23"/>
  <c r="D99" i="23"/>
  <c r="D106" i="23"/>
  <c r="E99" i="23"/>
  <c r="E106" i="23"/>
  <c r="CJ99" i="23"/>
  <c r="CJ100" i="23"/>
  <c r="CK100" i="23"/>
  <c r="CJ101" i="23"/>
  <c r="CK101" i="23"/>
  <c r="CJ102" i="23"/>
  <c r="CK102" i="23"/>
  <c r="CJ103" i="23"/>
  <c r="CK103" i="23"/>
  <c r="AN104" i="23"/>
  <c r="CJ104" i="23"/>
  <c r="CJ105" i="23"/>
  <c r="CK105" i="23"/>
  <c r="AW109" i="23"/>
  <c r="AW114" i="23"/>
  <c r="BP109" i="23"/>
  <c r="BP114" i="23"/>
  <c r="BU109" i="23"/>
  <c r="BU114" i="23"/>
  <c r="CB109" i="23"/>
  <c r="CB114" i="23"/>
  <c r="CE109" i="23"/>
  <c r="CE114" i="23"/>
  <c r="CJ107" i="23"/>
  <c r="CK107" i="23"/>
  <c r="CJ108" i="23"/>
  <c r="CK108" i="23"/>
  <c r="G109" i="23"/>
  <c r="G114" i="23"/>
  <c r="AK109" i="23"/>
  <c r="AZ109" i="23"/>
  <c r="AZ114" i="23"/>
  <c r="BC109" i="23"/>
  <c r="BC114" i="23"/>
  <c r="BI109" i="23"/>
  <c r="BI114" i="23"/>
  <c r="BO109" i="23"/>
  <c r="BO114" i="23"/>
  <c r="CA109" i="23"/>
  <c r="CA114" i="23"/>
  <c r="CD109" i="23"/>
  <c r="CD114" i="23"/>
  <c r="AH110" i="23"/>
  <c r="CJ110" i="23"/>
  <c r="CK110" i="23"/>
  <c r="CJ111" i="23"/>
  <c r="CK111" i="23"/>
  <c r="CJ112" i="23"/>
  <c r="CK112" i="23"/>
  <c r="CJ113" i="23"/>
  <c r="CK113" i="23"/>
  <c r="CJ116" i="23"/>
  <c r="CK116" i="23"/>
  <c r="D117" i="23"/>
  <c r="E117" i="23"/>
  <c r="CK117" i="23"/>
  <c r="L14" i="2"/>
  <c r="L15" i="2"/>
  <c r="H14" i="7"/>
  <c r="CJ117" i="23"/>
  <c r="K14" i="2"/>
  <c r="K15" i="2"/>
  <c r="G14" i="7"/>
  <c r="CJ118" i="23"/>
  <c r="CK118" i="23"/>
  <c r="CJ119" i="23"/>
  <c r="CK119" i="23"/>
  <c r="CJ120" i="23"/>
  <c r="CK120" i="23"/>
  <c r="H121" i="23"/>
  <c r="H125" i="23"/>
  <c r="CJ121" i="23"/>
  <c r="CJ122" i="23"/>
  <c r="CK122" i="23"/>
  <c r="CJ123" i="23"/>
  <c r="CK123" i="23"/>
  <c r="CJ124" i="23"/>
  <c r="AC14" i="2"/>
  <c r="AC15" i="2"/>
  <c r="G30" i="7"/>
  <c r="CJ126" i="23"/>
  <c r="CK126" i="23"/>
  <c r="CJ127" i="23"/>
  <c r="CJ128" i="23"/>
  <c r="CK128" i="23"/>
  <c r="CJ129" i="23"/>
  <c r="CK129" i="23"/>
  <c r="T130" i="23"/>
  <c r="T131" i="23"/>
  <c r="AI130" i="23"/>
  <c r="AI131" i="23"/>
  <c r="AL130" i="23"/>
  <c r="AL131" i="23"/>
  <c r="AU130" i="23"/>
  <c r="AU131" i="23"/>
  <c r="BJ130" i="23"/>
  <c r="BJ131" i="23"/>
  <c r="BO130" i="23"/>
  <c r="BO131" i="23"/>
  <c r="CJ130" i="23"/>
  <c r="BP130" i="23"/>
  <c r="BP131" i="23"/>
  <c r="BS130" i="23"/>
  <c r="BS131" i="23"/>
  <c r="BV130" i="23"/>
  <c r="BV131" i="23"/>
  <c r="D131" i="23"/>
  <c r="E131" i="23"/>
  <c r="CJ132" i="23"/>
  <c r="CK132" i="23"/>
  <c r="CJ133" i="23"/>
  <c r="CK133" i="23"/>
  <c r="CJ134" i="23"/>
  <c r="CK134" i="23"/>
  <c r="M135" i="23"/>
  <c r="M136" i="23"/>
  <c r="CJ136" i="23"/>
  <c r="T14" i="2"/>
  <c r="S135" i="23"/>
  <c r="S136" i="23"/>
  <c r="V135" i="23"/>
  <c r="V136" i="23"/>
  <c r="AF135" i="23"/>
  <c r="AF136" i="23"/>
  <c r="AI135" i="23"/>
  <c r="AI136" i="23"/>
  <c r="AL135" i="23"/>
  <c r="AL136" i="23"/>
  <c r="BJ135" i="23"/>
  <c r="BJ136" i="23"/>
  <c r="BO135" i="23"/>
  <c r="BO136" i="23"/>
  <c r="D136" i="23"/>
  <c r="E136" i="23"/>
  <c r="CK136" i="23"/>
  <c r="CJ137" i="23"/>
  <c r="CK137" i="23"/>
  <c r="CJ138" i="23"/>
  <c r="CK138" i="23"/>
  <c r="CJ139" i="23"/>
  <c r="CK139" i="23"/>
  <c r="D140" i="23"/>
  <c r="E140" i="23"/>
  <c r="CJ141" i="23"/>
  <c r="CK141" i="23"/>
  <c r="CJ142" i="23"/>
  <c r="CK142" i="23"/>
  <c r="BO143" i="23"/>
  <c r="BO144" i="23"/>
  <c r="CJ144" i="23"/>
  <c r="CJ143" i="23"/>
  <c r="AF14" i="2"/>
  <c r="D144" i="23"/>
  <c r="E144" i="23"/>
  <c r="CJ146" i="23"/>
  <c r="CK146" i="23"/>
  <c r="C14" i="32"/>
  <c r="C21" i="32"/>
  <c r="C19" i="32"/>
  <c r="I12" i="30"/>
  <c r="J12" i="30"/>
  <c r="J16" i="30"/>
  <c r="J23" i="30"/>
  <c r="I13" i="30"/>
  <c r="J13" i="30"/>
  <c r="I14" i="30"/>
  <c r="I16" i="30"/>
  <c r="I23" i="30"/>
  <c r="J14" i="30"/>
  <c r="I15" i="30"/>
  <c r="J15" i="30"/>
  <c r="C16" i="30"/>
  <c r="C23" i="30"/>
  <c r="D16" i="30"/>
  <c r="F16" i="30"/>
  <c r="F23" i="30"/>
  <c r="G16" i="30"/>
  <c r="I19" i="30"/>
  <c r="J19" i="30"/>
  <c r="I20" i="30"/>
  <c r="I21" i="30"/>
  <c r="J20" i="30"/>
  <c r="J21" i="30"/>
  <c r="C21" i="30"/>
  <c r="D21" i="30"/>
  <c r="F21" i="30"/>
  <c r="G21" i="30"/>
  <c r="G23" i="30"/>
  <c r="D23" i="30"/>
  <c r="G10" i="15"/>
  <c r="G16" i="15"/>
  <c r="C27" i="15"/>
  <c r="D27" i="15"/>
  <c r="E27" i="15"/>
  <c r="F27" i="15"/>
  <c r="G27" i="15"/>
  <c r="E16" i="28"/>
  <c r="E25" i="28"/>
  <c r="E10" i="26"/>
  <c r="F10" i="26"/>
  <c r="I10" i="26"/>
  <c r="I11" i="26"/>
  <c r="E12" i="26"/>
  <c r="F12" i="26"/>
  <c r="I12" i="26"/>
  <c r="E13" i="26"/>
  <c r="F13" i="26"/>
  <c r="I13" i="26"/>
  <c r="D14" i="26"/>
  <c r="G14" i="26"/>
  <c r="H14" i="26"/>
  <c r="I14" i="26"/>
  <c r="C18" i="26"/>
  <c r="E18" i="26"/>
  <c r="I18" i="26"/>
  <c r="D17" i="29"/>
  <c r="E17" i="29"/>
  <c r="J31" i="6"/>
  <c r="J37" i="6"/>
  <c r="J67" i="6"/>
  <c r="I31" i="6"/>
  <c r="I36" i="6"/>
  <c r="I37" i="6"/>
  <c r="I42" i="6"/>
  <c r="J42" i="6"/>
  <c r="I50" i="6"/>
  <c r="J50" i="6"/>
  <c r="J66" i="6"/>
  <c r="I55" i="6"/>
  <c r="J55" i="6"/>
  <c r="I60" i="6"/>
  <c r="J60" i="6"/>
  <c r="I65" i="6"/>
  <c r="I66" i="6"/>
  <c r="J65" i="6"/>
  <c r="T12" i="2"/>
  <c r="U12" i="2"/>
  <c r="W12" i="2"/>
  <c r="W15" i="2"/>
  <c r="G28" i="7"/>
  <c r="X12" i="2"/>
  <c r="AF12" i="2"/>
  <c r="AF15" i="2"/>
  <c r="W13" i="2"/>
  <c r="X13" i="2"/>
  <c r="AF13" i="2"/>
  <c r="Z14" i="2"/>
  <c r="Z15" i="2"/>
  <c r="G29" i="7"/>
  <c r="AA14" i="2"/>
  <c r="AA15" i="2"/>
  <c r="H29" i="7"/>
  <c r="Q15" i="2"/>
  <c r="K12" i="1"/>
  <c r="R12" i="1"/>
  <c r="C13" i="1"/>
  <c r="Q13" i="1"/>
  <c r="R13" i="1"/>
  <c r="O14" i="1"/>
  <c r="R14" i="1"/>
  <c r="CK127" i="23"/>
  <c r="N36" i="31"/>
  <c r="G16" i="7"/>
  <c r="D26" i="29"/>
  <c r="J109" i="23"/>
  <c r="J114" i="23"/>
  <c r="G82" i="31"/>
  <c r="G87" i="31"/>
  <c r="G65" i="22"/>
  <c r="BJ69" i="23"/>
  <c r="BJ77" i="23"/>
  <c r="BJ82" i="23"/>
  <c r="D73" i="22"/>
  <c r="G73" i="22"/>
  <c r="H37" i="22"/>
  <c r="H29" i="22"/>
  <c r="J29" i="22"/>
  <c r="K31" i="24"/>
  <c r="K32" i="24"/>
  <c r="K33" i="24"/>
  <c r="K97" i="24"/>
  <c r="CJ125" i="23"/>
  <c r="N14" i="2"/>
  <c r="N15" i="2"/>
  <c r="G15" i="7"/>
  <c r="M109" i="23"/>
  <c r="M114" i="23"/>
  <c r="D225" i="22"/>
  <c r="K60" i="25"/>
  <c r="J48" i="25"/>
  <c r="B14" i="1"/>
  <c r="P124" i="22"/>
  <c r="E43" i="25"/>
  <c r="K43" i="25"/>
  <c r="K54" i="25"/>
  <c r="D167" i="22"/>
  <c r="E120" i="22"/>
  <c r="G61" i="22"/>
  <c r="N8" i="22"/>
  <c r="D49" i="31"/>
  <c r="M49" i="31"/>
  <c r="CK121" i="23"/>
  <c r="CK81" i="23"/>
  <c r="CK76" i="23"/>
  <c r="C14" i="1"/>
  <c r="K72" i="25"/>
  <c r="E34" i="25"/>
  <c r="E95" i="25"/>
  <c r="K95" i="25"/>
  <c r="U13" i="2"/>
  <c r="E79" i="25"/>
  <c r="K68" i="25"/>
  <c r="E62" i="25"/>
  <c r="K62" i="25"/>
  <c r="F13" i="2"/>
  <c r="K61" i="25"/>
  <c r="CK144" i="23"/>
  <c r="CK143" i="23"/>
  <c r="AG14" i="2"/>
  <c r="AG15" i="2"/>
  <c r="K79" i="25"/>
  <c r="E106" i="25"/>
  <c r="E97" i="31"/>
  <c r="E99" i="31"/>
  <c r="M99" i="31"/>
  <c r="CK124" i="23"/>
  <c r="CK58" i="23"/>
  <c r="CK15" i="23"/>
  <c r="AD14" i="2"/>
  <c r="AD15" i="2"/>
  <c r="H30" i="7"/>
  <c r="I7" i="33"/>
  <c r="CJ73" i="23"/>
  <c r="AH84" i="23"/>
  <c r="CK92" i="23"/>
  <c r="CK54" i="23"/>
  <c r="X15" i="1"/>
  <c r="X16" i="1"/>
  <c r="D28" i="7"/>
  <c r="BV109" i="23"/>
  <c r="BV114" i="23"/>
  <c r="BJ109" i="23"/>
  <c r="BJ114" i="23"/>
  <c r="BJ115" i="23"/>
  <c r="CJ140" i="23"/>
  <c r="W14" i="2"/>
  <c r="BF109" i="23"/>
  <c r="BF114" i="23"/>
  <c r="BX109" i="23"/>
  <c r="BX114" i="23"/>
  <c r="AU109" i="23"/>
  <c r="AU114" i="23"/>
  <c r="AI109" i="23"/>
  <c r="AI114" i="23"/>
  <c r="W109" i="23"/>
  <c r="W114" i="23"/>
  <c r="W115" i="23"/>
  <c r="K109" i="23"/>
  <c r="K114" i="23"/>
  <c r="CJ34" i="23"/>
  <c r="E15" i="1"/>
  <c r="E16" i="1"/>
  <c r="C12" i="7"/>
  <c r="CK140" i="23"/>
  <c r="X14" i="2"/>
  <c r="X15" i="2"/>
  <c r="H28" i="7"/>
  <c r="AC109" i="23"/>
  <c r="AC114" i="23"/>
  <c r="Q109" i="23"/>
  <c r="Q114" i="23"/>
  <c r="CK95" i="23"/>
  <c r="BS109" i="23"/>
  <c r="BS114" i="23"/>
  <c r="Y109" i="23"/>
  <c r="Y114" i="23"/>
  <c r="S109" i="23"/>
  <c r="S114" i="23"/>
  <c r="CJ92" i="23"/>
  <c r="E82" i="23"/>
  <c r="CJ19" i="23"/>
  <c r="V109" i="23"/>
  <c r="V114" i="23"/>
  <c r="AB109" i="23"/>
  <c r="AB114" i="23"/>
  <c r="AQ109" i="23"/>
  <c r="AQ114" i="23"/>
  <c r="BD83" i="23"/>
  <c r="BD88" i="23"/>
  <c r="CK130" i="23"/>
  <c r="BG109" i="23"/>
  <c r="BG114" i="23"/>
  <c r="CJ131" i="23"/>
  <c r="H109" i="23"/>
  <c r="H114" i="23"/>
  <c r="BA109" i="23"/>
  <c r="BA114" i="23"/>
  <c r="J31" i="24"/>
  <c r="J32" i="24"/>
  <c r="AH109" i="23"/>
  <c r="BY109" i="23"/>
  <c r="BY114" i="23"/>
  <c r="G83" i="23"/>
  <c r="G88" i="23"/>
  <c r="CJ76" i="23"/>
  <c r="CK75" i="23"/>
  <c r="CK71" i="23"/>
  <c r="CJ70" i="23"/>
  <c r="CJ71" i="23"/>
  <c r="G60" i="25"/>
  <c r="J51" i="25"/>
  <c r="K50" i="25"/>
  <c r="M50" i="31"/>
  <c r="M48" i="31"/>
  <c r="R16" i="1"/>
  <c r="M47" i="31"/>
  <c r="M53" i="31"/>
  <c r="K51" i="31"/>
  <c r="AH83" i="23"/>
  <c r="E48" i="31"/>
  <c r="E54" i="25"/>
  <c r="M31" i="24"/>
  <c r="K13" i="1"/>
  <c r="K16" i="1"/>
  <c r="H19" i="7"/>
  <c r="E58" i="25"/>
  <c r="C16" i="15"/>
  <c r="D16" i="15"/>
  <c r="F16" i="15"/>
  <c r="E16" i="15"/>
  <c r="F27" i="36"/>
  <c r="E25" i="37"/>
  <c r="F9" i="38"/>
  <c r="F7" i="38"/>
  <c r="M32" i="24"/>
  <c r="J33" i="24"/>
  <c r="J97" i="24"/>
  <c r="G12" i="35"/>
  <c r="G9" i="35"/>
  <c r="L21" i="25"/>
  <c r="D14" i="1"/>
  <c r="AK14" i="1"/>
  <c r="L95" i="25"/>
  <c r="V13" i="2"/>
  <c r="L86" i="25"/>
  <c r="I79" i="25"/>
  <c r="I87" i="25"/>
  <c r="L68" i="25"/>
  <c r="L62" i="25"/>
  <c r="G13" i="2"/>
  <c r="I58" i="25"/>
  <c r="F58" i="25"/>
  <c r="F34" i="25"/>
  <c r="F106" i="25"/>
  <c r="E13" i="35"/>
  <c r="E21" i="35"/>
  <c r="E23" i="35"/>
  <c r="O32" i="24"/>
  <c r="S16" i="1"/>
  <c r="I19" i="7"/>
  <c r="AK13" i="1"/>
  <c r="I33" i="24"/>
  <c r="O33" i="24"/>
  <c r="O82" i="24"/>
  <c r="I75" i="24"/>
  <c r="I83" i="24"/>
  <c r="O61" i="24"/>
  <c r="F83" i="24"/>
  <c r="F54" i="24"/>
  <c r="F94" i="24"/>
  <c r="F13" i="35"/>
  <c r="O35" i="31"/>
  <c r="M12" i="1"/>
  <c r="M16" i="1"/>
  <c r="I36" i="31"/>
  <c r="I37" i="31"/>
  <c r="I105" i="31"/>
  <c r="F37" i="31"/>
  <c r="F105" i="31"/>
  <c r="AH15" i="2"/>
  <c r="BT144" i="23"/>
  <c r="O96" i="31"/>
  <c r="L88" i="31"/>
  <c r="L102" i="31"/>
  <c r="L106" i="31"/>
  <c r="O65" i="31"/>
  <c r="O62" i="31"/>
  <c r="G11" i="2"/>
  <c r="O57" i="31"/>
  <c r="O87" i="31"/>
  <c r="O54" i="31"/>
  <c r="O24" i="31"/>
  <c r="D12" i="1"/>
  <c r="L37" i="31"/>
  <c r="L58" i="25"/>
  <c r="D13" i="2"/>
  <c r="L34" i="25"/>
  <c r="L106" i="25"/>
  <c r="I97" i="24"/>
  <c r="O97" i="24"/>
  <c r="O75" i="24"/>
  <c r="F21" i="35"/>
  <c r="O36" i="31"/>
  <c r="L105" i="31"/>
  <c r="L107" i="31"/>
  <c r="F23" i="35"/>
  <c r="O69" i="31"/>
  <c r="O70" i="31"/>
  <c r="O71" i="31"/>
  <c r="F72" i="31"/>
  <c r="F79" i="31"/>
  <c r="BZ115" i="23"/>
  <c r="BW115" i="23"/>
  <c r="CL140" i="23"/>
  <c r="Y14" i="2"/>
  <c r="Y15" i="2"/>
  <c r="I28" i="7"/>
  <c r="BQ115" i="23"/>
  <c r="BQ145" i="23"/>
  <c r="BQ149" i="23"/>
  <c r="BK82" i="23"/>
  <c r="BK145" i="23"/>
  <c r="BK149" i="23"/>
  <c r="BB115" i="23"/>
  <c r="BB145" i="23"/>
  <c r="BB149" i="23"/>
  <c r="AV115" i="23"/>
  <c r="AV145" i="23"/>
  <c r="AV149" i="23"/>
  <c r="CL81" i="23"/>
  <c r="AJ115" i="23"/>
  <c r="CL95" i="23"/>
  <c r="AJ82" i="23"/>
  <c r="CL136" i="23"/>
  <c r="AG145" i="23"/>
  <c r="AG149" i="23"/>
  <c r="AD115" i="23"/>
  <c r="AD145" i="23"/>
  <c r="AD149" i="23"/>
  <c r="CL131" i="23"/>
  <c r="U115" i="23"/>
  <c r="U145" i="23"/>
  <c r="U149" i="23"/>
  <c r="CL88" i="23"/>
  <c r="G14" i="2"/>
  <c r="G15" i="2"/>
  <c r="I12" i="7"/>
  <c r="CL77" i="23"/>
  <c r="CL99" i="23"/>
  <c r="CL144" i="23"/>
  <c r="O145" i="23"/>
  <c r="O149" i="23"/>
  <c r="L106" i="23"/>
  <c r="AE14" i="2"/>
  <c r="AE15" i="2"/>
  <c r="I30" i="7"/>
  <c r="I115" i="23"/>
  <c r="AJ145" i="23"/>
  <c r="AJ149" i="23"/>
  <c r="V14" i="2"/>
  <c r="L115" i="23"/>
  <c r="L145" i="23"/>
  <c r="L149" i="23"/>
  <c r="CL106" i="23"/>
  <c r="K66" i="6"/>
  <c r="M14" i="26"/>
  <c r="F26" i="29"/>
  <c r="K16" i="30"/>
  <c r="K23" i="30"/>
  <c r="G13" i="35"/>
  <c r="CF115" i="23"/>
  <c r="CF145" i="23"/>
  <c r="CF149" i="23"/>
  <c r="CL114" i="23"/>
  <c r="CL109" i="23"/>
  <c r="CL121" i="23"/>
  <c r="CL125" i="23"/>
  <c r="P14" i="2"/>
  <c r="P15" i="2"/>
  <c r="I15" i="7"/>
  <c r="CL58" i="23"/>
  <c r="F59" i="23"/>
  <c r="F148" i="23"/>
  <c r="BK59" i="23"/>
  <c r="BK148" i="23"/>
  <c r="AJ59" i="23"/>
  <c r="AJ148" i="23"/>
  <c r="AJ150" i="23"/>
  <c r="CL48" i="23"/>
  <c r="AB15" i="1"/>
  <c r="AB16" i="1"/>
  <c r="E29" i="7"/>
  <c r="CL28" i="23"/>
  <c r="V15" i="1"/>
  <c r="V16" i="1"/>
  <c r="E27" i="7"/>
  <c r="CL45" i="23"/>
  <c r="D15" i="1"/>
  <c r="O59" i="23"/>
  <c r="O148" i="23"/>
  <c r="O150" i="23"/>
  <c r="BK150" i="23"/>
  <c r="CL15" i="23"/>
  <c r="BW19" i="23"/>
  <c r="BW23" i="23"/>
  <c r="BW59" i="23"/>
  <c r="BW148" i="23"/>
  <c r="BQ19" i="23"/>
  <c r="CL92" i="23"/>
  <c r="BQ23" i="23"/>
  <c r="BQ59" i="23"/>
  <c r="BQ148" i="23"/>
  <c r="BQ150" i="23"/>
  <c r="I13" i="33"/>
  <c r="K16" i="34"/>
  <c r="K17" i="34"/>
  <c r="O79" i="31"/>
  <c r="F88" i="31"/>
  <c r="CK106" i="23"/>
  <c r="E115" i="23"/>
  <c r="BO145" i="23"/>
  <c r="BO149" i="23"/>
  <c r="E59" i="23"/>
  <c r="E11" i="26"/>
  <c r="F11" i="26"/>
  <c r="C14" i="26"/>
  <c r="D83" i="24"/>
  <c r="T15" i="2"/>
  <c r="G27" i="7"/>
  <c r="G31" i="7"/>
  <c r="D82" i="25"/>
  <c r="J79" i="25"/>
  <c r="N44" i="24"/>
  <c r="E50" i="24"/>
  <c r="M45" i="24"/>
  <c r="D50" i="24"/>
  <c r="D55" i="24"/>
  <c r="E50" i="31"/>
  <c r="K50" i="31"/>
  <c r="CK131" i="23"/>
  <c r="U14" i="2"/>
  <c r="N114" i="23"/>
  <c r="AK12" i="1"/>
  <c r="D16" i="1"/>
  <c r="E11" i="7"/>
  <c r="O105" i="31"/>
  <c r="F98" i="24"/>
  <c r="E145" i="23"/>
  <c r="BJ145" i="23"/>
  <c r="BJ149" i="23"/>
  <c r="D109" i="23"/>
  <c r="D59" i="23"/>
  <c r="CJ23" i="23"/>
  <c r="H15" i="1"/>
  <c r="H16" i="1"/>
  <c r="C13" i="7"/>
  <c r="N32" i="24"/>
  <c r="N33" i="24"/>
  <c r="E97" i="24"/>
  <c r="AI13" i="1"/>
  <c r="D97" i="24"/>
  <c r="M33" i="24"/>
  <c r="D19" i="31"/>
  <c r="D24" i="31"/>
  <c r="M18" i="31"/>
  <c r="H145" i="22"/>
  <c r="P131" i="22"/>
  <c r="D61" i="25"/>
  <c r="J61" i="25"/>
  <c r="J50" i="25"/>
  <c r="D60" i="25"/>
  <c r="J60" i="25"/>
  <c r="P113" i="22"/>
  <c r="D43" i="25"/>
  <c r="D57" i="24"/>
  <c r="M57" i="24"/>
  <c r="M46" i="24"/>
  <c r="D56" i="24"/>
  <c r="M56" i="24"/>
  <c r="E79" i="31"/>
  <c r="H94" i="24"/>
  <c r="H98" i="24"/>
  <c r="H99" i="24"/>
  <c r="U150" i="23"/>
  <c r="C31" i="7"/>
  <c r="G32" i="7"/>
  <c r="G34" i="7"/>
  <c r="CF150" i="23"/>
  <c r="AV150" i="23"/>
  <c r="O72" i="31"/>
  <c r="O37" i="31"/>
  <c r="I103" i="25"/>
  <c r="I107" i="25"/>
  <c r="I108" i="25"/>
  <c r="G81" i="23"/>
  <c r="BI77" i="23"/>
  <c r="BI82" i="23"/>
  <c r="E82" i="25"/>
  <c r="K57" i="25"/>
  <c r="D212" i="22"/>
  <c r="D226" i="22"/>
  <c r="E18" i="31"/>
  <c r="E204" i="22"/>
  <c r="G204" i="22"/>
  <c r="E202" i="22"/>
  <c r="G202" i="22"/>
  <c r="E200" i="22"/>
  <c r="G200" i="22"/>
  <c r="E198" i="22"/>
  <c r="G198" i="22"/>
  <c r="E196" i="22"/>
  <c r="G196" i="22"/>
  <c r="E192" i="22"/>
  <c r="G192" i="22"/>
  <c r="E190" i="22"/>
  <c r="G190" i="22"/>
  <c r="E188" i="22"/>
  <c r="G188" i="22"/>
  <c r="E184" i="22"/>
  <c r="G184" i="22"/>
  <c r="E153" i="22"/>
  <c r="G153" i="22"/>
  <c r="E151" i="22"/>
  <c r="G151" i="22"/>
  <c r="E149" i="22"/>
  <c r="G149" i="22"/>
  <c r="E147" i="22"/>
  <c r="G147" i="22"/>
  <c r="E143" i="22"/>
  <c r="G143" i="22"/>
  <c r="E141" i="22"/>
  <c r="G141" i="22"/>
  <c r="E139" i="22"/>
  <c r="G139" i="22"/>
  <c r="H54" i="25"/>
  <c r="H58" i="25"/>
  <c r="I67" i="6"/>
  <c r="G88" i="31"/>
  <c r="BO150" i="23"/>
  <c r="AD150" i="23"/>
  <c r="L150" i="23"/>
  <c r="AX23" i="23"/>
  <c r="AX59" i="23"/>
  <c r="AX148" i="23"/>
  <c r="AG150" i="23"/>
  <c r="AF28" i="23"/>
  <c r="CK28" i="23"/>
  <c r="U15" i="1"/>
  <c r="U16" i="1"/>
  <c r="D27" i="7"/>
  <c r="D31" i="7"/>
  <c r="BP115" i="23"/>
  <c r="BF115" i="23"/>
  <c r="AL115" i="23"/>
  <c r="AI115" i="23"/>
  <c r="AC115" i="23"/>
  <c r="Y115" i="23"/>
  <c r="CG115" i="23"/>
  <c r="CK19" i="23"/>
  <c r="K52" i="31"/>
  <c r="AH88" i="23"/>
  <c r="M42" i="24"/>
  <c r="E14" i="26"/>
  <c r="F14" i="26"/>
  <c r="CJ69" i="23"/>
  <c r="BI83" i="23"/>
  <c r="N31" i="24"/>
  <c r="L13" i="1"/>
  <c r="CJ78" i="23"/>
  <c r="AH114" i="23"/>
  <c r="CK135" i="23"/>
  <c r="CJ81" i="23"/>
  <c r="AL109" i="23"/>
  <c r="AL114" i="23"/>
  <c r="CK114" i="23"/>
  <c r="BL109" i="23"/>
  <c r="BL114" i="23"/>
  <c r="BL115" i="23"/>
  <c r="BL145" i="23"/>
  <c r="BL149" i="23"/>
  <c r="BL150" i="23"/>
  <c r="AT109" i="23"/>
  <c r="AT114" i="23"/>
  <c r="AT115" i="23"/>
  <c r="AT145" i="23"/>
  <c r="AT149" i="23"/>
  <c r="BI87" i="23"/>
  <c r="CJ87" i="23"/>
  <c r="N99" i="31"/>
  <c r="U11" i="2"/>
  <c r="U15" i="2"/>
  <c r="H27" i="7"/>
  <c r="H31" i="7"/>
  <c r="N61" i="24"/>
  <c r="CK99" i="23"/>
  <c r="J14" i="26"/>
  <c r="CJ135" i="23"/>
  <c r="BU88" i="23"/>
  <c r="AT88" i="23"/>
  <c r="AH77" i="23"/>
  <c r="BJ59" i="23"/>
  <c r="BJ148" i="23"/>
  <c r="BJ150" i="23"/>
  <c r="CJ15" i="23"/>
  <c r="G78" i="24"/>
  <c r="G82" i="24"/>
  <c r="G83" i="24"/>
  <c r="M68" i="24"/>
  <c r="E78" i="24"/>
  <c r="K94" i="25"/>
  <c r="K65" i="25"/>
  <c r="D57" i="25"/>
  <c r="J33" i="25"/>
  <c r="D34" i="25"/>
  <c r="D236" i="22"/>
  <c r="K15" i="31"/>
  <c r="D205" i="22"/>
  <c r="K64" i="31"/>
  <c r="F204" i="22"/>
  <c r="E203" i="22"/>
  <c r="G203" i="22"/>
  <c r="F202" i="22"/>
  <c r="E201" i="22"/>
  <c r="I201" i="22"/>
  <c r="G201" i="22"/>
  <c r="F200" i="22"/>
  <c r="E199" i="22"/>
  <c r="G199" i="22"/>
  <c r="F198" i="22"/>
  <c r="E197" i="22"/>
  <c r="I197" i="22"/>
  <c r="G197" i="22"/>
  <c r="F196" i="22"/>
  <c r="F205" i="22"/>
  <c r="E195" i="22"/>
  <c r="G195" i="22"/>
  <c r="G205" i="22"/>
  <c r="D193" i="22"/>
  <c r="D194" i="22"/>
  <c r="E64" i="31"/>
  <c r="N64" i="31"/>
  <c r="F192" i="22"/>
  <c r="E191" i="22"/>
  <c r="G191" i="22"/>
  <c r="F190" i="22"/>
  <c r="E189" i="22"/>
  <c r="I189" i="22"/>
  <c r="G189" i="22"/>
  <c r="F188" i="22"/>
  <c r="F193" i="22"/>
  <c r="E187" i="22"/>
  <c r="G187" i="22"/>
  <c r="G193" i="22"/>
  <c r="E185" i="22"/>
  <c r="G185" i="22"/>
  <c r="F184" i="22"/>
  <c r="F186" i="22"/>
  <c r="F194" i="22"/>
  <c r="E183" i="22"/>
  <c r="G183" i="22"/>
  <c r="D176" i="22"/>
  <c r="J15" i="31"/>
  <c r="D154" i="22"/>
  <c r="J64" i="31"/>
  <c r="J65" i="31"/>
  <c r="F153" i="22"/>
  <c r="E152" i="22"/>
  <c r="G152" i="22"/>
  <c r="F151" i="22"/>
  <c r="E150" i="22"/>
  <c r="I150" i="22"/>
  <c r="G150" i="22"/>
  <c r="F149" i="22"/>
  <c r="E148" i="22"/>
  <c r="G148" i="22"/>
  <c r="F147" i="22"/>
  <c r="E146" i="22"/>
  <c r="G146" i="22"/>
  <c r="D144" i="22"/>
  <c r="F143" i="22"/>
  <c r="E142" i="22"/>
  <c r="I142" i="22"/>
  <c r="G142" i="22"/>
  <c r="F141" i="22"/>
  <c r="F144" i="22"/>
  <c r="D140" i="22"/>
  <c r="F139" i="22"/>
  <c r="F140" i="22"/>
  <c r="F145" i="22"/>
  <c r="E138" i="22"/>
  <c r="G138" i="22"/>
  <c r="G140" i="22"/>
  <c r="E55" i="24"/>
  <c r="E97" i="22"/>
  <c r="N97" i="22"/>
  <c r="AI77" i="23"/>
  <c r="O20" i="22"/>
  <c r="N49" i="31"/>
  <c r="K25" i="22"/>
  <c r="K65" i="31"/>
  <c r="BS59" i="23"/>
  <c r="BS148" i="23"/>
  <c r="I58" i="31"/>
  <c r="G58" i="31"/>
  <c r="G102" i="31"/>
  <c r="G106" i="31"/>
  <c r="G107" i="31"/>
  <c r="H88" i="31"/>
  <c r="H102" i="31"/>
  <c r="H106" i="31"/>
  <c r="H107" i="31"/>
  <c r="H82" i="31"/>
  <c r="H87" i="31"/>
  <c r="H34" i="25"/>
  <c r="H106" i="25"/>
  <c r="H33" i="25"/>
  <c r="K33" i="25"/>
  <c r="CI150" i="23"/>
  <c r="CH59" i="23"/>
  <c r="CH148" i="23"/>
  <c r="CA59" i="23"/>
  <c r="CA148" i="23"/>
  <c r="BN59" i="23"/>
  <c r="BN148" i="23"/>
  <c r="BI59" i="23"/>
  <c r="BI148" i="23"/>
  <c r="BE59" i="23"/>
  <c r="BE148" i="23"/>
  <c r="BA59" i="23"/>
  <c r="BA148" i="23"/>
  <c r="AY59" i="23"/>
  <c r="AY148" i="23"/>
  <c r="AW59" i="23"/>
  <c r="AW148" i="23"/>
  <c r="AU59" i="23"/>
  <c r="AU148" i="23"/>
  <c r="AQ59" i="23"/>
  <c r="AQ148" i="23"/>
  <c r="AK59" i="23"/>
  <c r="AK148" i="23"/>
  <c r="X59" i="23"/>
  <c r="X148" i="23"/>
  <c r="S59" i="23"/>
  <c r="S148" i="23"/>
  <c r="CB59" i="23"/>
  <c r="CB148" i="23"/>
  <c r="CL34" i="23"/>
  <c r="G15" i="1"/>
  <c r="CL51" i="23"/>
  <c r="P15" i="1"/>
  <c r="P16" i="1"/>
  <c r="E14" i="7"/>
  <c r="BZ145" i="23"/>
  <c r="BZ149" i="23"/>
  <c r="BU145" i="23"/>
  <c r="BU149" i="23"/>
  <c r="BU150" i="23"/>
  <c r="AE145" i="23"/>
  <c r="AE149" i="23"/>
  <c r="AE150" i="23"/>
  <c r="AC145" i="23"/>
  <c r="AC149" i="23"/>
  <c r="AC150" i="23"/>
  <c r="AA145" i="23"/>
  <c r="AA149" i="23"/>
  <c r="AA150" i="23"/>
  <c r="Y145" i="23"/>
  <c r="Y149" i="23"/>
  <c r="Y150" i="23"/>
  <c r="W145" i="23"/>
  <c r="W149" i="23"/>
  <c r="W150" i="23"/>
  <c r="Q145" i="23"/>
  <c r="Q149" i="23"/>
  <c r="Q150" i="23"/>
  <c r="I145" i="23"/>
  <c r="I149" i="23"/>
  <c r="G82" i="23"/>
  <c r="BU115" i="23"/>
  <c r="AB115" i="23"/>
  <c r="G54" i="25"/>
  <c r="G58" i="25"/>
  <c r="G103" i="25"/>
  <c r="G107" i="25"/>
  <c r="J68" i="31"/>
  <c r="M68" i="31"/>
  <c r="E85" i="22"/>
  <c r="G85" i="22"/>
  <c r="G77" i="22"/>
  <c r="O25" i="22"/>
  <c r="O17" i="22"/>
  <c r="N13" i="22"/>
  <c r="N5" i="22"/>
  <c r="E65" i="31"/>
  <c r="K72" i="31"/>
  <c r="K79" i="31"/>
  <c r="O99" i="31"/>
  <c r="V11" i="2"/>
  <c r="V15" i="2"/>
  <c r="I27" i="7"/>
  <c r="I31" i="7"/>
  <c r="G34" i="25"/>
  <c r="G106" i="25"/>
  <c r="G108" i="25"/>
  <c r="H87" i="25"/>
  <c r="L65" i="25"/>
  <c r="F79" i="25"/>
  <c r="L72" i="25"/>
  <c r="K54" i="24"/>
  <c r="K94" i="24"/>
  <c r="K98" i="24"/>
  <c r="K99" i="24"/>
  <c r="I54" i="24"/>
  <c r="G54" i="24"/>
  <c r="L83" i="24"/>
  <c r="L94" i="24"/>
  <c r="L98" i="24"/>
  <c r="L99" i="24"/>
  <c r="J83" i="24"/>
  <c r="J94" i="24"/>
  <c r="J98" i="24"/>
  <c r="J99" i="24"/>
  <c r="O64" i="24"/>
  <c r="BH59" i="23"/>
  <c r="BH148" i="23"/>
  <c r="BH150" i="23"/>
  <c r="BF59" i="23"/>
  <c r="BF148" i="23"/>
  <c r="BF150" i="23"/>
  <c r="BD59" i="23"/>
  <c r="BD148" i="23"/>
  <c r="BB59" i="23"/>
  <c r="BB148" i="23"/>
  <c r="BB150" i="23"/>
  <c r="AZ59" i="23"/>
  <c r="AZ148" i="23"/>
  <c r="AT59" i="23"/>
  <c r="AT148" i="23"/>
  <c r="AR59" i="23"/>
  <c r="AR148" i="23"/>
  <c r="AR150" i="23"/>
  <c r="AP59" i="23"/>
  <c r="AP148" i="23"/>
  <c r="AN59" i="23"/>
  <c r="AN148" i="23"/>
  <c r="AL23" i="23"/>
  <c r="AL59" i="23"/>
  <c r="AL148" i="23"/>
  <c r="AH59" i="23"/>
  <c r="AH148" i="23"/>
  <c r="V59" i="23"/>
  <c r="V148" i="23"/>
  <c r="T23" i="23"/>
  <c r="T59" i="23"/>
  <c r="T148" i="23"/>
  <c r="N59" i="23"/>
  <c r="N148" i="23"/>
  <c r="H59" i="23"/>
  <c r="H148" i="23"/>
  <c r="AB59" i="23"/>
  <c r="AB148" i="23"/>
  <c r="AB150" i="23"/>
  <c r="CC59" i="23"/>
  <c r="CC148" i="23"/>
  <c r="BW82" i="23"/>
  <c r="BT145" i="23"/>
  <c r="BT149" i="23"/>
  <c r="BG82" i="23"/>
  <c r="BE145" i="23"/>
  <c r="BE149" i="23"/>
  <c r="BC82" i="23"/>
  <c r="AY145" i="23"/>
  <c r="AY149" i="23"/>
  <c r="AS145" i="23"/>
  <c r="AS149" i="23"/>
  <c r="AS150" i="23"/>
  <c r="AB145" i="23"/>
  <c r="AB149" i="23"/>
  <c r="X145" i="23"/>
  <c r="X149" i="23"/>
  <c r="BF145" i="23"/>
  <c r="BF149" i="23"/>
  <c r="CC115" i="23"/>
  <c r="CA115" i="23"/>
  <c r="BY115" i="23"/>
  <c r="BI115" i="23"/>
  <c r="V115" i="23"/>
  <c r="V145" i="23"/>
  <c r="V149" i="23"/>
  <c r="T115" i="23"/>
  <c r="T145" i="23"/>
  <c r="T149" i="23"/>
  <c r="N115" i="23"/>
  <c r="J115" i="23"/>
  <c r="J145" i="23"/>
  <c r="J149" i="23"/>
  <c r="J150" i="23"/>
  <c r="H115" i="23"/>
  <c r="AH115" i="23"/>
  <c r="AN106" i="23"/>
  <c r="AN115" i="23"/>
  <c r="AN145" i="23"/>
  <c r="AN149" i="23"/>
  <c r="K115" i="23"/>
  <c r="K145" i="23"/>
  <c r="K149" i="23"/>
  <c r="K150" i="23"/>
  <c r="CL13" i="23"/>
  <c r="I19" i="23"/>
  <c r="BT59" i="23"/>
  <c r="BT148" i="23"/>
  <c r="BT150" i="23"/>
  <c r="CL54" i="23"/>
  <c r="Y15" i="1"/>
  <c r="Y16" i="1"/>
  <c r="E28" i="7"/>
  <c r="E31" i="7"/>
  <c r="I32" i="7"/>
  <c r="I34" i="7"/>
  <c r="CG82" i="23"/>
  <c r="CG145" i="23"/>
  <c r="CG149" i="23"/>
  <c r="CG150" i="23"/>
  <c r="CE82" i="23"/>
  <c r="CE145" i="23"/>
  <c r="CE149" i="23"/>
  <c r="CE150" i="23"/>
  <c r="CC82" i="23"/>
  <c r="CC145" i="23"/>
  <c r="CC149" i="23"/>
  <c r="CA82" i="23"/>
  <c r="CA145" i="23"/>
  <c r="CA149" i="23"/>
  <c r="BY82" i="23"/>
  <c r="BY145" i="23"/>
  <c r="BY149" i="23"/>
  <c r="BY150" i="23"/>
  <c r="BR145" i="23"/>
  <c r="BR149" i="23"/>
  <c r="BR150" i="23"/>
  <c r="BP145" i="23"/>
  <c r="BP149" i="23"/>
  <c r="BP150" i="23"/>
  <c r="BN145" i="23"/>
  <c r="BN149" i="23"/>
  <c r="BD145" i="23"/>
  <c r="BD149" i="23"/>
  <c r="AZ145" i="23"/>
  <c r="AZ149" i="23"/>
  <c r="AX145" i="23"/>
  <c r="AX149" i="23"/>
  <c r="P145" i="23"/>
  <c r="P149" i="23"/>
  <c r="P150" i="23"/>
  <c r="N145" i="23"/>
  <c r="N149" i="23"/>
  <c r="H82" i="23"/>
  <c r="H145" i="23"/>
  <c r="H149" i="23"/>
  <c r="F145" i="23"/>
  <c r="AP145" i="23"/>
  <c r="AP149" i="23"/>
  <c r="CH115" i="23"/>
  <c r="CH145" i="23"/>
  <c r="CH149" i="23"/>
  <c r="CD115" i="23"/>
  <c r="CD145" i="23"/>
  <c r="CD149" i="23"/>
  <c r="CD150" i="23"/>
  <c r="BX115" i="23"/>
  <c r="BX145" i="23"/>
  <c r="BX149" i="23"/>
  <c r="BX150" i="23"/>
  <c r="BG115" i="23"/>
  <c r="BC115" i="23"/>
  <c r="AW115" i="23"/>
  <c r="AW145" i="23"/>
  <c r="AW149" i="23"/>
  <c r="AQ115" i="23"/>
  <c r="AQ145" i="23"/>
  <c r="AQ149" i="23"/>
  <c r="AK115" i="23"/>
  <c r="AK145" i="23"/>
  <c r="AK149" i="23"/>
  <c r="Z115" i="23"/>
  <c r="Z145" i="23"/>
  <c r="Z149" i="23"/>
  <c r="Z150" i="23"/>
  <c r="CL117" i="23"/>
  <c r="M14" i="2"/>
  <c r="M15" i="2"/>
  <c r="I14" i="7"/>
  <c r="CE115" i="23"/>
  <c r="CB115" i="23"/>
  <c r="CB145" i="23"/>
  <c r="CB149" i="23"/>
  <c r="BV115" i="23"/>
  <c r="BV145" i="23"/>
  <c r="BV149" i="23"/>
  <c r="BV150" i="23"/>
  <c r="BS115" i="23"/>
  <c r="BS145" i="23"/>
  <c r="BS149" i="23"/>
  <c r="BA115" i="23"/>
  <c r="BA145" i="23"/>
  <c r="BA149" i="23"/>
  <c r="AU115" i="23"/>
  <c r="AU145" i="23"/>
  <c r="AU149" i="23"/>
  <c r="AO115" i="23"/>
  <c r="AO145" i="23"/>
  <c r="AO149" i="23"/>
  <c r="AO150" i="23"/>
  <c r="AM115" i="23"/>
  <c r="AM145" i="23"/>
  <c r="AM149" i="23"/>
  <c r="AM150" i="23"/>
  <c r="AF115" i="23"/>
  <c r="AF145" i="23"/>
  <c r="AF149" i="23"/>
  <c r="S115" i="23"/>
  <c r="S145" i="23"/>
  <c r="S149" i="23"/>
  <c r="M115" i="23"/>
  <c r="M145" i="23"/>
  <c r="M149" i="23"/>
  <c r="M150" i="23"/>
  <c r="G115" i="23"/>
  <c r="C20" i="35"/>
  <c r="G20" i="35"/>
  <c r="G16" i="35"/>
  <c r="BZ59" i="23"/>
  <c r="BZ148" i="23"/>
  <c r="BZ150" i="23"/>
  <c r="H23" i="30"/>
  <c r="E63" i="38"/>
  <c r="H32" i="7"/>
  <c r="H34" i="7"/>
  <c r="C21" i="35"/>
  <c r="F149" i="23"/>
  <c r="F150" i="23"/>
  <c r="CC150" i="23"/>
  <c r="H150" i="23"/>
  <c r="T150" i="23"/>
  <c r="AN150" i="23"/>
  <c r="AZ150" i="23"/>
  <c r="BD150" i="23"/>
  <c r="I94" i="24"/>
  <c r="O54" i="24"/>
  <c r="D12" i="2"/>
  <c r="CB150" i="23"/>
  <c r="X150" i="23"/>
  <c r="AQ150" i="23"/>
  <c r="AW150" i="23"/>
  <c r="BA150" i="23"/>
  <c r="CA150" i="23"/>
  <c r="AI82" i="23"/>
  <c r="AI145" i="23"/>
  <c r="AI149" i="23"/>
  <c r="AI150" i="23"/>
  <c r="N55" i="24"/>
  <c r="E58" i="24"/>
  <c r="N58" i="24"/>
  <c r="F12" i="2"/>
  <c r="I138" i="22"/>
  <c r="E140" i="22"/>
  <c r="D145" i="22"/>
  <c r="D64" i="31"/>
  <c r="G154" i="22"/>
  <c r="F154" i="22"/>
  <c r="I148" i="22"/>
  <c r="I152" i="22"/>
  <c r="G186" i="22"/>
  <c r="G194" i="22"/>
  <c r="I185" i="22"/>
  <c r="I187" i="22"/>
  <c r="E193" i="22"/>
  <c r="I193" i="22"/>
  <c r="I191" i="22"/>
  <c r="I195" i="22"/>
  <c r="E205" i="22"/>
  <c r="I205" i="22"/>
  <c r="K82" i="31"/>
  <c r="K87" i="31"/>
  <c r="I199" i="22"/>
  <c r="I203" i="22"/>
  <c r="J34" i="25"/>
  <c r="J106" i="25"/>
  <c r="D106" i="25"/>
  <c r="AH82" i="23"/>
  <c r="AH145" i="23"/>
  <c r="AH149" i="23"/>
  <c r="AH150" i="23"/>
  <c r="CJ77" i="23"/>
  <c r="BI88" i="23"/>
  <c r="H103" i="25"/>
  <c r="H107" i="25"/>
  <c r="K58" i="25"/>
  <c r="C13" i="2"/>
  <c r="G144" i="22"/>
  <c r="E19" i="31"/>
  <c r="N18" i="31"/>
  <c r="E24" i="31"/>
  <c r="N79" i="31"/>
  <c r="D148" i="23"/>
  <c r="CJ59" i="23"/>
  <c r="CJ148" i="23"/>
  <c r="AI15" i="1"/>
  <c r="CJ106" i="23"/>
  <c r="M50" i="24"/>
  <c r="D54" i="24"/>
  <c r="E54" i="24"/>
  <c r="N50" i="24"/>
  <c r="M82" i="24"/>
  <c r="CK23" i="23"/>
  <c r="I15" i="1"/>
  <c r="CK115" i="23"/>
  <c r="I14" i="2"/>
  <c r="O83" i="24"/>
  <c r="J12" i="2"/>
  <c r="O88" i="31"/>
  <c r="J11" i="2"/>
  <c r="F102" i="31"/>
  <c r="I23" i="23"/>
  <c r="CL19" i="23"/>
  <c r="BC83" i="23"/>
  <c r="BG145" i="23"/>
  <c r="BG149" i="23"/>
  <c r="BG150" i="23"/>
  <c r="BW145" i="23"/>
  <c r="BW149" i="23"/>
  <c r="BW150" i="23"/>
  <c r="CL82" i="23"/>
  <c r="D14" i="2"/>
  <c r="N150" i="23"/>
  <c r="V150" i="23"/>
  <c r="AP150" i="23"/>
  <c r="AT150" i="23"/>
  <c r="G94" i="24"/>
  <c r="G98" i="24"/>
  <c r="G99" i="24"/>
  <c r="L79" i="25"/>
  <c r="F87" i="25"/>
  <c r="N65" i="31"/>
  <c r="P5" i="22"/>
  <c r="M46" i="31"/>
  <c r="Q17" i="22"/>
  <c r="N59" i="31"/>
  <c r="N46" i="31"/>
  <c r="I77" i="22"/>
  <c r="AL83" i="23"/>
  <c r="AL69" i="23"/>
  <c r="G145" i="23"/>
  <c r="G149" i="23"/>
  <c r="G150" i="23"/>
  <c r="G16" i="1"/>
  <c r="E12" i="7"/>
  <c r="S150" i="23"/>
  <c r="AK150" i="23"/>
  <c r="AU150" i="23"/>
  <c r="AY150" i="23"/>
  <c r="BE150" i="23"/>
  <c r="BN150" i="23"/>
  <c r="CH150" i="23"/>
  <c r="H108" i="25"/>
  <c r="I102" i="31"/>
  <c r="I106" i="31"/>
  <c r="I107" i="31"/>
  <c r="O58" i="31"/>
  <c r="D11" i="2"/>
  <c r="BS150" i="23"/>
  <c r="K88" i="31"/>
  <c r="K49" i="31"/>
  <c r="E49" i="31"/>
  <c r="G145" i="22"/>
  <c r="I146" i="22"/>
  <c r="E154" i="22"/>
  <c r="I154" i="22"/>
  <c r="J82" i="31"/>
  <c r="J87" i="31"/>
  <c r="J88" i="31"/>
  <c r="M15" i="31"/>
  <c r="J19" i="31"/>
  <c r="M19" i="31"/>
  <c r="I183" i="22"/>
  <c r="E186" i="22"/>
  <c r="K19" i="31"/>
  <c r="K24" i="31"/>
  <c r="K37" i="31"/>
  <c r="K105" i="31"/>
  <c r="N15" i="31"/>
  <c r="E82" i="24"/>
  <c r="N78" i="24"/>
  <c r="L16" i="1"/>
  <c r="AJ13" i="1"/>
  <c r="AX150" i="23"/>
  <c r="AF59" i="23"/>
  <c r="AF148" i="23"/>
  <c r="AF150" i="23"/>
  <c r="I139" i="22"/>
  <c r="I141" i="22"/>
  <c r="E144" i="22"/>
  <c r="I144" i="22"/>
  <c r="I143" i="22"/>
  <c r="I147" i="22"/>
  <c r="I149" i="22"/>
  <c r="I151" i="22"/>
  <c r="I153" i="22"/>
  <c r="I184" i="22"/>
  <c r="I188" i="22"/>
  <c r="I190" i="22"/>
  <c r="I192" i="22"/>
  <c r="I196" i="22"/>
  <c r="I198" i="22"/>
  <c r="I200" i="22"/>
  <c r="I202" i="22"/>
  <c r="I204" i="22"/>
  <c r="E86" i="25"/>
  <c r="K82" i="25"/>
  <c r="M78" i="24"/>
  <c r="BI145" i="23"/>
  <c r="BI149" i="23"/>
  <c r="BI150" i="23"/>
  <c r="K34" i="25"/>
  <c r="K106" i="25"/>
  <c r="CL115" i="23"/>
  <c r="J14" i="2"/>
  <c r="N72" i="31"/>
  <c r="J43" i="25"/>
  <c r="J54" i="25"/>
  <c r="D54" i="25"/>
  <c r="D58" i="25"/>
  <c r="D59" i="25"/>
  <c r="D37" i="31"/>
  <c r="M97" i="24"/>
  <c r="N97" i="24"/>
  <c r="D114" i="23"/>
  <c r="CJ109" i="23"/>
  <c r="E149" i="23"/>
  <c r="F99" i="24"/>
  <c r="CK109" i="23"/>
  <c r="M55" i="24"/>
  <c r="D58" i="24"/>
  <c r="M58" i="24"/>
  <c r="E12" i="2"/>
  <c r="J82" i="25"/>
  <c r="D86" i="25"/>
  <c r="M83" i="24"/>
  <c r="H12" i="2"/>
  <c r="E148" i="23"/>
  <c r="E150" i="23"/>
  <c r="CK59" i="23"/>
  <c r="CK148" i="23"/>
  <c r="CJ82" i="23"/>
  <c r="B14" i="2"/>
  <c r="CJ114" i="23"/>
  <c r="D115" i="23"/>
  <c r="D105" i="31"/>
  <c r="J58" i="25"/>
  <c r="B13" i="2"/>
  <c r="K86" i="25"/>
  <c r="E87" i="25"/>
  <c r="E83" i="24"/>
  <c r="N83" i="24"/>
  <c r="I12" i="2"/>
  <c r="N82" i="24"/>
  <c r="I186" i="22"/>
  <c r="E194" i="22"/>
  <c r="I194" i="22"/>
  <c r="E82" i="31"/>
  <c r="J24" i="31"/>
  <c r="D15" i="2"/>
  <c r="I11" i="7"/>
  <c r="AK11" i="2"/>
  <c r="AL88" i="23"/>
  <c r="CK88" i="23"/>
  <c r="F14" i="2"/>
  <c r="CK83" i="23"/>
  <c r="K59" i="31"/>
  <c r="K62" i="31"/>
  <c r="E59" i="31"/>
  <c r="E62" i="31"/>
  <c r="BC88" i="23"/>
  <c r="CJ83" i="23"/>
  <c r="O102" i="31"/>
  <c r="F106" i="31"/>
  <c r="I16" i="1"/>
  <c r="D13" i="7"/>
  <c r="AJ15" i="1"/>
  <c r="M54" i="24"/>
  <c r="B12" i="2"/>
  <c r="AI12" i="2"/>
  <c r="D94" i="24"/>
  <c r="D65" i="31"/>
  <c r="M64" i="31"/>
  <c r="AK12" i="2"/>
  <c r="J86" i="25"/>
  <c r="D87" i="25"/>
  <c r="J87" i="25"/>
  <c r="H13" i="2"/>
  <c r="J59" i="25"/>
  <c r="D62" i="25"/>
  <c r="J62" i="25"/>
  <c r="E13" i="2"/>
  <c r="AL77" i="23"/>
  <c r="CK69" i="23"/>
  <c r="K46" i="31"/>
  <c r="K54" i="31"/>
  <c r="K58" i="31"/>
  <c r="K102" i="31"/>
  <c r="K106" i="31"/>
  <c r="K107" i="31"/>
  <c r="E46" i="31"/>
  <c r="E54" i="31"/>
  <c r="D46" i="31"/>
  <c r="J46" i="31"/>
  <c r="L87" i="25"/>
  <c r="J13" i="2"/>
  <c r="AK13" i="2"/>
  <c r="F103" i="25"/>
  <c r="AK14" i="2"/>
  <c r="CL23" i="23"/>
  <c r="J15" i="1"/>
  <c r="I59" i="23"/>
  <c r="J15" i="2"/>
  <c r="I13" i="7"/>
  <c r="N54" i="24"/>
  <c r="C12" i="2"/>
  <c r="AJ12" i="2"/>
  <c r="E94" i="24"/>
  <c r="E37" i="31"/>
  <c r="N24" i="31"/>
  <c r="C12" i="1"/>
  <c r="N19" i="31"/>
  <c r="I140" i="22"/>
  <c r="E145" i="22"/>
  <c r="I145" i="22"/>
  <c r="D82" i="31"/>
  <c r="I98" i="24"/>
  <c r="O94" i="24"/>
  <c r="CL145" i="23"/>
  <c r="CL149" i="23"/>
  <c r="C23" i="35"/>
  <c r="G23" i="35"/>
  <c r="G21" i="35"/>
  <c r="D87" i="31"/>
  <c r="M87" i="31"/>
  <c r="M82" i="31"/>
  <c r="E105" i="31"/>
  <c r="N37" i="31"/>
  <c r="E98" i="24"/>
  <c r="N94" i="24"/>
  <c r="J16" i="1"/>
  <c r="E13" i="7"/>
  <c r="E17" i="7"/>
  <c r="AK15" i="1"/>
  <c r="AK16" i="1"/>
  <c r="F107" i="25"/>
  <c r="F108" i="25"/>
  <c r="L103" i="25"/>
  <c r="L107" i="25"/>
  <c r="L108" i="25"/>
  <c r="J54" i="31"/>
  <c r="J58" i="31"/>
  <c r="J102" i="31"/>
  <c r="J106" i="31"/>
  <c r="J59" i="31"/>
  <c r="J62" i="31"/>
  <c r="E58" i="31"/>
  <c r="N54" i="31"/>
  <c r="D88" i="31"/>
  <c r="M88" i="31"/>
  <c r="H11" i="2"/>
  <c r="M65" i="31"/>
  <c r="CJ88" i="23"/>
  <c r="E14" i="2"/>
  <c r="BC145" i="23"/>
  <c r="BC149" i="23"/>
  <c r="BC150" i="23"/>
  <c r="I17" i="7"/>
  <c r="E87" i="31"/>
  <c r="N82" i="31"/>
  <c r="K87" i="25"/>
  <c r="I13" i="2"/>
  <c r="AJ13" i="2"/>
  <c r="E103" i="25"/>
  <c r="AI13" i="2"/>
  <c r="I99" i="24"/>
  <c r="O99" i="24"/>
  <c r="O98" i="24"/>
  <c r="C16" i="1"/>
  <c r="D11" i="7"/>
  <c r="D17" i="7"/>
  <c r="AJ12" i="1"/>
  <c r="AJ16" i="1"/>
  <c r="CL59" i="23"/>
  <c r="CL148" i="23"/>
  <c r="CL150" i="23"/>
  <c r="I148" i="23"/>
  <c r="I150" i="23"/>
  <c r="D54" i="31"/>
  <c r="D59" i="31"/>
  <c r="AL82" i="23"/>
  <c r="CK77" i="23"/>
  <c r="D98" i="24"/>
  <c r="M94" i="24"/>
  <c r="F107" i="31"/>
  <c r="O107" i="31"/>
  <c r="O106" i="31"/>
  <c r="N62" i="31"/>
  <c r="F11" i="2"/>
  <c r="F15" i="2"/>
  <c r="H12" i="7"/>
  <c r="AK15" i="2"/>
  <c r="J37" i="31"/>
  <c r="M24" i="31"/>
  <c r="B12" i="1"/>
  <c r="D103" i="25"/>
  <c r="CJ115" i="23"/>
  <c r="H14" i="2"/>
  <c r="D145" i="23"/>
  <c r="CJ145" i="23"/>
  <c r="CJ149" i="23"/>
  <c r="CJ150" i="23"/>
  <c r="D149" i="23"/>
  <c r="D150" i="23"/>
  <c r="J105" i="31"/>
  <c r="M37" i="31"/>
  <c r="B16" i="1"/>
  <c r="C11" i="7"/>
  <c r="C17" i="7"/>
  <c r="AI12" i="1"/>
  <c r="AI16" i="1"/>
  <c r="D62" i="31"/>
  <c r="M62" i="31"/>
  <c r="E11" i="2"/>
  <c r="E15" i="2"/>
  <c r="G12" i="7"/>
  <c r="M59" i="31"/>
  <c r="N87" i="31"/>
  <c r="E88" i="31"/>
  <c r="N88" i="31"/>
  <c r="I11" i="2"/>
  <c r="I15" i="2"/>
  <c r="H13" i="7"/>
  <c r="D107" i="25"/>
  <c r="D108" i="25"/>
  <c r="J103" i="25"/>
  <c r="J107" i="25"/>
  <c r="J108" i="25"/>
  <c r="M98" i="24"/>
  <c r="D99" i="24"/>
  <c r="M99" i="24"/>
  <c r="AL145" i="23"/>
  <c r="CK82" i="23"/>
  <c r="C14" i="2"/>
  <c r="AJ14" i="2"/>
  <c r="M54" i="31"/>
  <c r="D58" i="31"/>
  <c r="E107" i="25"/>
  <c r="E108" i="25"/>
  <c r="K103" i="25"/>
  <c r="K107" i="25"/>
  <c r="K108" i="25"/>
  <c r="AI14" i="2"/>
  <c r="H15" i="2"/>
  <c r="G13" i="7"/>
  <c r="N58" i="31"/>
  <c r="C11" i="2"/>
  <c r="E102" i="31"/>
  <c r="I18" i="7"/>
  <c r="I20" i="7"/>
  <c r="I35" i="7"/>
  <c r="I36" i="7"/>
  <c r="N98" i="24"/>
  <c r="E99" i="24"/>
  <c r="N99" i="24"/>
  <c r="N105" i="31"/>
  <c r="D102" i="31"/>
  <c r="M58" i="31"/>
  <c r="B11" i="2"/>
  <c r="AJ11" i="2"/>
  <c r="AJ15" i="2"/>
  <c r="C15" i="2"/>
  <c r="H11" i="7"/>
  <c r="H17" i="7"/>
  <c r="H18" i="7"/>
  <c r="H20" i="7"/>
  <c r="H35" i="7"/>
  <c r="H36" i="7"/>
  <c r="E106" i="31"/>
  <c r="N102" i="31"/>
  <c r="AL149" i="23"/>
  <c r="AL150" i="23"/>
  <c r="CK145" i="23"/>
  <c r="CK149" i="23"/>
  <c r="CK150" i="23"/>
  <c r="J107" i="31"/>
  <c r="M105" i="31"/>
  <c r="AI11" i="2"/>
  <c r="AI15" i="2"/>
  <c r="B15" i="2"/>
  <c r="G11" i="7"/>
  <c r="G17" i="7"/>
  <c r="G18" i="7"/>
  <c r="G20" i="7"/>
  <c r="G35" i="7"/>
  <c r="G36" i="7"/>
  <c r="N106" i="31"/>
  <c r="E107" i="31"/>
  <c r="N107" i="31"/>
  <c r="D106" i="31"/>
  <c r="M102" i="31"/>
  <c r="M106" i="31"/>
  <c r="D107" i="31"/>
  <c r="M107" i="31"/>
  <c r="F63" i="38"/>
  <c r="F47" i="38"/>
  <c r="E34" i="37"/>
  <c r="E39" i="37"/>
  <c r="K67" i="6"/>
</calcChain>
</file>

<file path=xl/comments1.xml><?xml version="1.0" encoding="utf-8"?>
<comments xmlns="http://schemas.openxmlformats.org/spreadsheetml/2006/main">
  <authors>
    <author>user</author>
    <author>Zsuzsi</author>
    <author>Rendszergazda</author>
    <author>Windows-felhasználó</author>
  </authors>
  <commentList>
    <comment ref="N27" authorId="0" shapeId="0">
      <text>
        <r>
          <rPr>
            <sz val="9"/>
            <color indexed="81"/>
            <rFont val="Tahoma"/>
            <family val="2"/>
            <charset val="238"/>
          </rPr>
          <t>Bölcsi pályázati támogatás</t>
        </r>
      </text>
    </comment>
    <comment ref="AF27" authorId="0" shapeId="0">
      <text>
        <r>
          <rPr>
            <sz val="9"/>
            <color indexed="81"/>
            <rFont val="Tahoma"/>
            <family val="2"/>
            <charset val="238"/>
          </rPr>
          <t>Zártkerti program: 541.114 Ft
Orvosi rendelő: 29.559.063 Ft
Pihenőpark: 4.409.054 Ft</t>
        </r>
      </text>
    </comment>
    <comment ref="J36" authorId="1" shapeId="0">
      <text>
        <r>
          <rPr>
            <b/>
            <sz val="8"/>
            <color indexed="81"/>
            <rFont val="Tahoma"/>
            <family val="2"/>
            <charset val="238"/>
          </rPr>
          <t>Zsuzsi:</t>
        </r>
        <r>
          <rPr>
            <sz val="8"/>
            <color indexed="81"/>
            <rFont val="Tahoma"/>
            <family val="2"/>
            <charset val="238"/>
          </rPr>
          <t xml:space="preserve">
temető használati díj</t>
        </r>
      </text>
    </comment>
    <comment ref="Y37" authorId="1" shapeId="0">
      <text>
        <r>
          <rPr>
            <b/>
            <sz val="8"/>
            <color indexed="81"/>
            <rFont val="Tahoma"/>
            <family val="2"/>
            <charset val="238"/>
          </rPr>
          <t>Zsuzsi:</t>
        </r>
        <r>
          <rPr>
            <sz val="8"/>
            <color indexed="81"/>
            <rFont val="Tahoma"/>
            <family val="2"/>
            <charset val="238"/>
          </rPr>
          <t xml:space="preserve">
lakossági hulladékszáll.díj tartozás</t>
        </r>
      </text>
    </comment>
    <comment ref="J38" authorId="1" shapeId="0">
      <text>
        <r>
          <rPr>
            <b/>
            <sz val="8"/>
            <color indexed="81"/>
            <rFont val="Tahoma"/>
            <family val="2"/>
            <charset val="238"/>
          </rPr>
          <t>Zsuzsi:</t>
        </r>
        <r>
          <rPr>
            <sz val="8"/>
            <color indexed="81"/>
            <rFont val="Tahoma"/>
            <family val="2"/>
            <charset val="238"/>
          </rPr>
          <t xml:space="preserve">
sírhely megváltás</t>
        </r>
      </text>
    </comment>
    <comment ref="G44" authorId="2" shapeId="0">
      <text>
        <r>
          <rPr>
            <b/>
            <sz val="9"/>
            <color indexed="81"/>
            <rFont val="Tahoma"/>
            <family val="2"/>
            <charset val="238"/>
          </rPr>
          <t>Rendszergazda:</t>
        </r>
        <r>
          <rPr>
            <sz val="9"/>
            <color indexed="81"/>
            <rFont val="Tahoma"/>
            <family val="2"/>
            <charset val="238"/>
          </rPr>
          <t xml:space="preserve">
Bedő Tamás letiltás
+ egyéb bevétel</t>
        </r>
      </text>
    </comment>
    <comment ref="G79" authorId="1" shapeId="0">
      <text>
        <r>
          <rPr>
            <b/>
            <sz val="8"/>
            <color indexed="81"/>
            <rFont val="Tahoma"/>
            <family val="2"/>
            <charset val="238"/>
          </rPr>
          <t>Zsuzsi:</t>
        </r>
        <r>
          <rPr>
            <sz val="8"/>
            <color indexed="81"/>
            <rFont val="Tahoma"/>
            <family val="2"/>
            <charset val="238"/>
          </rPr>
          <t xml:space="preserve">
Hajdu György megbízási díja
</t>
        </r>
      </text>
    </comment>
    <comment ref="BI80" authorId="0" shape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takarítási díj egyszerűsített foglalk.</t>
        </r>
      </text>
    </comment>
    <comment ref="CD90" authorId="0" shapeId="0">
      <text>
        <r>
          <rPr>
            <sz val="9"/>
            <color indexed="81"/>
            <rFont val="Tahoma"/>
            <family val="2"/>
            <charset val="238"/>
          </rPr>
          <t>téli rezsicsökkentés: tüzifa, gáz és szén</t>
        </r>
      </text>
    </comment>
    <comment ref="J105" authorId="1" shapeId="0">
      <text>
        <r>
          <rPr>
            <b/>
            <sz val="8"/>
            <color indexed="81"/>
            <rFont val="Tahoma"/>
            <family val="2"/>
            <charset val="238"/>
          </rPr>
          <t>Zsuzsi:</t>
        </r>
        <r>
          <rPr>
            <sz val="8"/>
            <color indexed="81"/>
            <rFont val="Tahoma"/>
            <family val="2"/>
            <charset val="238"/>
          </rPr>
          <t xml:space="preserve">
hulladék/konténer elszállítás
</t>
        </r>
      </text>
    </comment>
    <comment ref="N105" authorId="3" shapeId="0">
      <text>
        <r>
          <rPr>
            <sz val="9"/>
            <color indexed="81"/>
            <rFont val="Tahoma"/>
            <family val="2"/>
            <charset val="238"/>
          </rPr>
          <t>bölcsőde egyéb költségek (projektmenedzsment, szakértői díjak)
vásárolt ingatlan bontási díja</t>
        </r>
      </text>
    </comment>
    <comment ref="W105" authorId="3" shapeId="0">
      <text>
        <r>
          <rPr>
            <sz val="9"/>
            <color indexed="81"/>
            <rFont val="Tahoma"/>
            <family val="2"/>
            <charset val="238"/>
          </rPr>
          <t>árkolások
kátyúzás</t>
        </r>
      </text>
    </comment>
    <comment ref="CE118" authorId="0" shapeId="0">
      <text>
        <r>
          <rPr>
            <sz val="9"/>
            <color indexed="81"/>
            <rFont val="Tahoma"/>
            <family val="2"/>
            <charset val="238"/>
          </rPr>
          <t>téli rezsicsökkentés visszafizetési kötelezettség</t>
        </r>
      </text>
    </comment>
    <comment ref="G121" authorId="2" shapeId="0">
      <text>
        <r>
          <rPr>
            <b/>
            <sz val="9"/>
            <color indexed="81"/>
            <rFont val="Tahoma"/>
            <family val="2"/>
            <charset val="238"/>
          </rPr>
          <t>Rendszergazda:</t>
        </r>
        <r>
          <rPr>
            <sz val="9"/>
            <color indexed="81"/>
            <rFont val="Tahoma"/>
            <family val="2"/>
            <charset val="238"/>
          </rPr>
          <t xml:space="preserve">
belső ellenőr + kistérségi tagdíj</t>
        </r>
      </text>
    </comment>
    <comment ref="T121" authorId="3" shapeId="0">
      <text>
        <r>
          <rPr>
            <sz val="9"/>
            <color indexed="81"/>
            <rFont val="Tahoma"/>
            <family val="2"/>
            <charset val="238"/>
          </rPr>
          <t>2019. évi fel nem használt támogatási előleg visszafizetése</t>
        </r>
      </text>
    </comment>
    <comment ref="H123" authorId="3" shapeId="0">
      <text>
        <r>
          <rPr>
            <sz val="9"/>
            <color indexed="81"/>
            <rFont val="Tahoma"/>
            <family val="2"/>
            <charset val="238"/>
          </rPr>
          <t>Bekcsény Kft. pótbefizetés</t>
        </r>
      </text>
    </comment>
    <comment ref="BL123" authorId="0" shape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Alapítvány támogatása</t>
        </r>
      </text>
    </comment>
    <comment ref="N124" authorId="3" shapeId="0">
      <text>
        <r>
          <rPr>
            <sz val="9"/>
            <color indexed="81"/>
            <rFont val="Tahoma"/>
            <family val="2"/>
            <charset val="238"/>
          </rPr>
          <t>Rádi telekrendezés
Bölcsőde önrész</t>
        </r>
      </text>
    </comment>
    <comment ref="N127" authorId="0" shapeId="0">
      <text>
        <r>
          <rPr>
            <sz val="9"/>
            <color indexed="81"/>
            <rFont val="Tahoma"/>
            <family val="2"/>
            <charset val="238"/>
          </rPr>
          <t>bölcsőde
ingatlan vásárlások</t>
        </r>
      </text>
    </comment>
    <comment ref="BP127" authorId="3" shapeId="0">
      <text>
        <r>
          <rPr>
            <sz val="9"/>
            <color indexed="81"/>
            <rFont val="Tahoma"/>
            <family val="2"/>
            <charset val="238"/>
          </rPr>
          <t>óvoda kerítés építés és térkövezés</t>
        </r>
      </text>
    </comment>
    <comment ref="N129" authorId="3" shapeId="0">
      <text>
        <r>
          <rPr>
            <sz val="9"/>
            <color indexed="81"/>
            <rFont val="Tahoma"/>
            <family val="2"/>
            <charset val="238"/>
          </rPr>
          <t>bölcsőde</t>
        </r>
      </text>
    </comment>
    <comment ref="N139" authorId="3" shapeId="0">
      <text>
        <r>
          <rPr>
            <sz val="9"/>
            <color indexed="81"/>
            <rFont val="Tahoma"/>
            <family val="2"/>
            <charset val="238"/>
          </rPr>
          <t>fejlesztési támogatás Ricsilla Sportnak</t>
        </r>
      </text>
    </comment>
    <comment ref="AI139" authorId="0" shapeId="0">
      <text>
        <r>
          <rPr>
            <sz val="9"/>
            <color indexed="81"/>
            <rFont val="Tahoma"/>
            <family val="2"/>
            <charset val="238"/>
          </rPr>
          <t>Megyeri Norbert közmű fejlesztési hozzájárulás</t>
        </r>
      </text>
    </comment>
    <comment ref="BP139" authorId="3" shapeId="0">
      <text>
        <r>
          <rPr>
            <sz val="9"/>
            <color indexed="81"/>
            <rFont val="Tahoma"/>
            <family val="2"/>
            <charset val="238"/>
          </rPr>
          <t>ovi sportpályához fejlesztési támogatás</t>
        </r>
      </text>
    </comment>
    <comment ref="CG142" authorId="1" shapeId="0">
      <text>
        <r>
          <rPr>
            <b/>
            <sz val="8"/>
            <color indexed="81"/>
            <rFont val="Tahoma"/>
            <family val="2"/>
            <charset val="238"/>
          </rPr>
          <t>Zsuzsi:</t>
        </r>
        <r>
          <rPr>
            <sz val="8"/>
            <color indexed="81"/>
            <rFont val="Tahoma"/>
            <family val="2"/>
            <charset val="238"/>
          </rPr>
          <t xml:space="preserve">
0. havi állami finansz. nettósítása
</t>
        </r>
      </text>
    </comment>
  </commentList>
</comments>
</file>

<file path=xl/comments2.xml><?xml version="1.0" encoding="utf-8"?>
<comments xmlns="http://schemas.openxmlformats.org/spreadsheetml/2006/main">
  <authors>
    <author>Windows-felhasználó</author>
  </authors>
  <commentList>
    <comment ref="K99" authorId="0" shapeId="0">
      <text>
        <r>
          <rPr>
            <sz val="9"/>
            <color indexed="81"/>
            <rFont val="Tahoma"/>
            <family val="2"/>
            <charset val="238"/>
          </rPr>
          <t xml:space="preserve">faluház konyha felújítás
</t>
        </r>
      </text>
    </comment>
  </commentList>
</comments>
</file>

<file path=xl/sharedStrings.xml><?xml version="1.0" encoding="utf-8"?>
<sst xmlns="http://schemas.openxmlformats.org/spreadsheetml/2006/main" count="3342" uniqueCount="1114">
  <si>
    <t>1.</t>
  </si>
  <si>
    <t>Megnevezés</t>
  </si>
  <si>
    <t>Működési bevételek</t>
  </si>
  <si>
    <t>Felhalmozási bevételek</t>
  </si>
  <si>
    <t>Belső finanszírozás</t>
  </si>
  <si>
    <t>Bevételek összesen</t>
  </si>
  <si>
    <t>2.</t>
  </si>
  <si>
    <t>Intézményi működési bevételek</t>
  </si>
  <si>
    <t>Közhatalmi bevételek</t>
  </si>
  <si>
    <t>Kapott támogatás</t>
  </si>
  <si>
    <t>Működési célú átvett pénzeszköz</t>
  </si>
  <si>
    <t>Pénzmaradvány igénybe vétele működési célú</t>
  </si>
  <si>
    <t>Felhalmozási célú átvett pénzeszköz</t>
  </si>
  <si>
    <t>Felhalmozási és tőkejellegű bevételek</t>
  </si>
  <si>
    <t>3.</t>
  </si>
  <si>
    <t>Államtól</t>
  </si>
  <si>
    <t>Irányító szervtől</t>
  </si>
  <si>
    <t>4.</t>
  </si>
  <si>
    <t>8.</t>
  </si>
  <si>
    <t>9.</t>
  </si>
  <si>
    <t>10.</t>
  </si>
  <si>
    <t>11.</t>
  </si>
  <si>
    <t>13.</t>
  </si>
  <si>
    <t xml:space="preserve">Önkormányzat </t>
  </si>
  <si>
    <t>14.</t>
  </si>
  <si>
    <t>Működési kiadások</t>
  </si>
  <si>
    <t>Felhalmozási kiadások</t>
  </si>
  <si>
    <t>Kiadások összesen</t>
  </si>
  <si>
    <t>Személyi juttatások</t>
  </si>
  <si>
    <t>Beruházások, felújítások</t>
  </si>
  <si>
    <t>7.</t>
  </si>
  <si>
    <t>12.</t>
  </si>
  <si>
    <t>Kiemelt előirányzat</t>
  </si>
  <si>
    <t>5.</t>
  </si>
  <si>
    <t>Munkaadókat terhelő járulékok</t>
  </si>
  <si>
    <t>6.</t>
  </si>
  <si>
    <t>Működési kiadások összesen</t>
  </si>
  <si>
    <t>Működési költségvetés egyenlege (Bevétel-Kiadás)</t>
  </si>
  <si>
    <t>Működési célú pénzmaradvány igénybevétel a hiány belső finanszírozására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</si>
  <si>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</si>
  <si>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</si>
  <si>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</si>
  <si>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</si>
  <si>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</si>
  <si>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</si>
  <si>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</si>
  <si>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</si>
  <si>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</si>
  <si>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Fehalmozási bevételek összesen</t>
  </si>
  <si>
    <t>Felhalmozási kiadások összesen</t>
  </si>
  <si>
    <t>24.</t>
  </si>
  <si>
    <t>Felhalmozási költségvetés egyenlege (Bevétel-Kiadás)</t>
  </si>
  <si>
    <t>25.</t>
  </si>
  <si>
    <t>Fejlesztési célú pénzmaradvány igénybevétel a hiány belső finanszírozására</t>
  </si>
  <si>
    <t>26.</t>
  </si>
  <si>
    <t>II. Felhalmozási költségvetés egyenlege (Bevétel-Kiadás)</t>
  </si>
  <si>
    <t>27.</t>
  </si>
  <si>
    <t>28.</t>
  </si>
  <si>
    <t>29.</t>
  </si>
  <si>
    <t>30.</t>
  </si>
  <si>
    <t>feladatonkénti bontásban</t>
  </si>
  <si>
    <t>I.</t>
  </si>
  <si>
    <t>II.</t>
  </si>
  <si>
    <t>Önkormányzat:</t>
  </si>
  <si>
    <t>III.</t>
  </si>
  <si>
    <t>31.</t>
  </si>
  <si>
    <t>Önkormányzat</t>
  </si>
  <si>
    <t>1. melléklet a ……/(….) önkormányzati rendelethez</t>
  </si>
  <si>
    <t>Pénzeszközátadások és Egyéb működési célú kiadások</t>
  </si>
  <si>
    <t>Egyéb felhalmozási célú kiadások</t>
  </si>
  <si>
    <t>VI. Költségvetési egyenleg (II. + III.)</t>
  </si>
  <si>
    <t>Talajterhelési díj</t>
  </si>
  <si>
    <t>Önkormányzat összesen</t>
  </si>
  <si>
    <t>Saját  forrásból megvalósuló beruházások, fejlújítások összesen:</t>
  </si>
  <si>
    <t xml:space="preserve">IV. </t>
  </si>
  <si>
    <t>Kisértékű tárgyi eszközök  - egyéb beruházások</t>
  </si>
  <si>
    <t>Kisértékű tárgyi eszközök összesen:</t>
  </si>
  <si>
    <t xml:space="preserve">Egyéb felhalmozási célú kiadások 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</si>
  <si>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</si>
  <si>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</si>
  <si>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</si>
  <si>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</si>
  <si>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</si>
  <si>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</si>
  <si>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</si>
  <si>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</si>
  <si>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</si>
  <si>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</si>
  <si>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</si>
  <si>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45.</t>
  </si>
  <si>
    <t>46.</t>
  </si>
  <si>
    <t>47.</t>
  </si>
  <si>
    <t>48.</t>
  </si>
  <si>
    <t>Magánszemélyek kommunális adója</t>
  </si>
  <si>
    <t>Összesen:</t>
  </si>
  <si>
    <t>TÁJÉKOZTATÓ</t>
  </si>
  <si>
    <t>Adósságot keletkeztető ügyletek finanszírozásának középtávú terve</t>
  </si>
  <si>
    <t>Egyéb működési célú kiadások</t>
  </si>
  <si>
    <t>Tartalékok</t>
  </si>
  <si>
    <t>Dologi kiadások</t>
  </si>
  <si>
    <t>Ellátottak pénzbeli jutatása</t>
  </si>
  <si>
    <t>Egyéb működési célú kiadáok</t>
  </si>
  <si>
    <t>4. melléklet az …./….. (…..) önkormányzati rendelethez</t>
  </si>
  <si>
    <t>3. melléklet az .../….. (…...) önkormányzati rendelethez</t>
  </si>
  <si>
    <t>Működési bevételek összesen</t>
  </si>
  <si>
    <t>43.</t>
  </si>
  <si>
    <t>44.</t>
  </si>
  <si>
    <t>49.</t>
  </si>
  <si>
    <t>50.</t>
  </si>
  <si>
    <t>51.</t>
  </si>
  <si>
    <t>52.</t>
  </si>
  <si>
    <t>Ellátottak pénzbeli juttatása</t>
  </si>
  <si>
    <t>2. melléklet a…/…(..) önkormányzati rendelethez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</si>
  <si>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</si>
  <si>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</si>
  <si>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</si>
  <si>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</si>
  <si>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</si>
  <si>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</si>
  <si>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</si>
  <si>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</si>
  <si>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</si>
  <si>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</si>
  <si>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</si>
  <si>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</si>
  <si>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</si>
  <si>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Közös Önkormányzati Hivatal</t>
  </si>
  <si>
    <t>Becsehely Község mindösszesen:</t>
  </si>
  <si>
    <t>Óvoda</t>
  </si>
  <si>
    <t>Munkaadókat terhelő járulékok és szociális hozzájárulási adó</t>
  </si>
  <si>
    <t>Becsehelyi Harmatcsepp Óvoda</t>
  </si>
  <si>
    <t>Becsehely Község Önkormányzata</t>
  </si>
  <si>
    <t>Költségvetési bevételek:</t>
  </si>
  <si>
    <t>096015</t>
  </si>
  <si>
    <t>011130</t>
  </si>
  <si>
    <t>013320</t>
  </si>
  <si>
    <t>013350</t>
  </si>
  <si>
    <t>032020</t>
  </si>
  <si>
    <t>045160</t>
  </si>
  <si>
    <t>064010</t>
  </si>
  <si>
    <t>066020</t>
  </si>
  <si>
    <t>072111</t>
  </si>
  <si>
    <t>072112</t>
  </si>
  <si>
    <t>072312</t>
  </si>
  <si>
    <t>074031</t>
  </si>
  <si>
    <t>074032</t>
  </si>
  <si>
    <t>081030</t>
  </si>
  <si>
    <t>082044</t>
  </si>
  <si>
    <t>084031</t>
  </si>
  <si>
    <t>091110</t>
  </si>
  <si>
    <t>104042</t>
  </si>
  <si>
    <t>107060</t>
  </si>
  <si>
    <t>018010</t>
  </si>
  <si>
    <t>018030</t>
  </si>
  <si>
    <t>Kormányzati funkció</t>
  </si>
  <si>
    <t>Gyermekétkeztetés</t>
  </si>
  <si>
    <t>KONYHA</t>
  </si>
  <si>
    <t xml:space="preserve">Igazgatási </t>
  </si>
  <si>
    <t>Köztemető</t>
  </si>
  <si>
    <t>Vagyongazdálkodási</t>
  </si>
  <si>
    <t>Tűz- és kat.véd</t>
  </si>
  <si>
    <t>Hosszabb</t>
  </si>
  <si>
    <t>Közutak, hidak</t>
  </si>
  <si>
    <t>Közvilágítás</t>
  </si>
  <si>
    <t>Község</t>
  </si>
  <si>
    <t>Háziorvosi</t>
  </si>
  <si>
    <t>Fogorvosi</t>
  </si>
  <si>
    <t>Család és nővéd.</t>
  </si>
  <si>
    <t>Ifjúság-eü.</t>
  </si>
  <si>
    <t>Sportlétesítm.</t>
  </si>
  <si>
    <t>Könyvtári</t>
  </si>
  <si>
    <t>Közművelődés</t>
  </si>
  <si>
    <t>Civil szerv.</t>
  </si>
  <si>
    <t xml:space="preserve">Óvodai </t>
  </si>
  <si>
    <t>Gyermekjóléti</t>
  </si>
  <si>
    <t>Egyéb szociális</t>
  </si>
  <si>
    <t>Elszámolás</t>
  </si>
  <si>
    <t>Támogatási célú</t>
  </si>
  <si>
    <t>közokt. intézmény</t>
  </si>
  <si>
    <t>összesen</t>
  </si>
  <si>
    <t>tevékenység</t>
  </si>
  <si>
    <t>fenntart. és műk.</t>
  </si>
  <si>
    <t>feladatok</t>
  </si>
  <si>
    <t>közfoglalkozt.</t>
  </si>
  <si>
    <t>fenntartása</t>
  </si>
  <si>
    <t>gazdálkodás</t>
  </si>
  <si>
    <t>alapellátás</t>
  </si>
  <si>
    <t>ügyeleti ellátás</t>
  </si>
  <si>
    <t>eü. Gondozás</t>
  </si>
  <si>
    <t>gondozás</t>
  </si>
  <si>
    <t>működtetése</t>
  </si>
  <si>
    <t>szolgáltatás</t>
  </si>
  <si>
    <t>támogatása</t>
  </si>
  <si>
    <t>nevelés</t>
  </si>
  <si>
    <t>ellátások</t>
  </si>
  <si>
    <t>Sor-szám</t>
  </si>
  <si>
    <t>Rovat szám</t>
  </si>
  <si>
    <t>Becsehely</t>
  </si>
  <si>
    <t>Óvodai és Iskolai</t>
  </si>
  <si>
    <t>Vendég-</t>
  </si>
  <si>
    <t>Nem lakóing.</t>
  </si>
  <si>
    <t>Szertár</t>
  </si>
  <si>
    <t>Község-</t>
  </si>
  <si>
    <t>Védőnői</t>
  </si>
  <si>
    <t>Könyvtár</t>
  </si>
  <si>
    <t>Faluház</t>
  </si>
  <si>
    <t>Normatíva és önk-i</t>
  </si>
  <si>
    <t>étkeztetés</t>
  </si>
  <si>
    <t>üzemeltetése</t>
  </si>
  <si>
    <t>üzemeltetés</t>
  </si>
  <si>
    <t>közmunka</t>
  </si>
  <si>
    <t>szolgálat</t>
  </si>
  <si>
    <t>működtetés</t>
  </si>
  <si>
    <t>ÖSSZESEN</t>
  </si>
  <si>
    <t>B111</t>
  </si>
  <si>
    <t>Helyi önkormányzatok működésének ált. támog.</t>
  </si>
  <si>
    <t>B112</t>
  </si>
  <si>
    <t>Köznevelési feladatok támogatása</t>
  </si>
  <si>
    <t>B113</t>
  </si>
  <si>
    <t>Szociális és gyermekjóléti, gyermekétk. feladatok támogatása</t>
  </si>
  <si>
    <t>B114</t>
  </si>
  <si>
    <t>Kulturális feladatok támogatása</t>
  </si>
  <si>
    <t>B115</t>
  </si>
  <si>
    <t>Működési célú központosított támogatások</t>
  </si>
  <si>
    <t>B116</t>
  </si>
  <si>
    <t>Elszámolásból származó bevételek</t>
  </si>
  <si>
    <t>B11</t>
  </si>
  <si>
    <t>Önkormányzatok működési támogatásai</t>
  </si>
  <si>
    <t>B12</t>
  </si>
  <si>
    <t>Elvonások és befizetések bevételei</t>
  </si>
  <si>
    <t>B14</t>
  </si>
  <si>
    <t>Működ. célú visszatér. támogat., kölcsön ÁHT-n belül</t>
  </si>
  <si>
    <t>B16</t>
  </si>
  <si>
    <t>Egyéb működési támogatás ÁHT-n belülről</t>
  </si>
  <si>
    <t>B1</t>
  </si>
  <si>
    <t>Működési támogatások ÁHT-n belülről</t>
  </si>
  <si>
    <t>B21</t>
  </si>
  <si>
    <t>Felhalmozási célú önkormányzati támogatások</t>
  </si>
  <si>
    <t>B23</t>
  </si>
  <si>
    <t>Felhalm. célú kölcsönök visszatérülése ÁHT-n belülről</t>
  </si>
  <si>
    <t>B24</t>
  </si>
  <si>
    <t>Felhalm. c támog.,kölcs. igénybevét  ÁHT-n belülről</t>
  </si>
  <si>
    <t>B25</t>
  </si>
  <si>
    <t>Egyéb felhalmozási támogatás ÁHT-n belülről</t>
  </si>
  <si>
    <t>B2</t>
  </si>
  <si>
    <t>Felhalmozási célú támogatások ÁHT-n belülről</t>
  </si>
  <si>
    <t>B34</t>
  </si>
  <si>
    <t>B351</t>
  </si>
  <si>
    <t>Iparűzési adó</t>
  </si>
  <si>
    <t>B354</t>
  </si>
  <si>
    <t>Gépjárműadó 40%-a</t>
  </si>
  <si>
    <t>B36</t>
  </si>
  <si>
    <t>Egyéb közhatalmi bevételek</t>
  </si>
  <si>
    <t>B3</t>
  </si>
  <si>
    <t>B401</t>
  </si>
  <si>
    <t>Készletértékesítés</t>
  </si>
  <si>
    <t>B402</t>
  </si>
  <si>
    <t>Szolgáltatások bevételei</t>
  </si>
  <si>
    <t>B403</t>
  </si>
  <si>
    <t>Közvetített szolgáltatások ellenértéke</t>
  </si>
  <si>
    <t>B404</t>
  </si>
  <si>
    <t>Tulajdonosi bevételek</t>
  </si>
  <si>
    <t>B405</t>
  </si>
  <si>
    <t>Ellátási díjak</t>
  </si>
  <si>
    <t>B406</t>
  </si>
  <si>
    <t>Kiszámlázott ÁFA</t>
  </si>
  <si>
    <t>B407</t>
  </si>
  <si>
    <t>ÁFA visszatérítés</t>
  </si>
  <si>
    <t>B408</t>
  </si>
  <si>
    <t>Kamatbevételek</t>
  </si>
  <si>
    <t>B410</t>
  </si>
  <si>
    <t>Egyéb pénzügyi műveletek bevétele</t>
  </si>
  <si>
    <t>B411</t>
  </si>
  <si>
    <t>Egyéb működési bevételek</t>
  </si>
  <si>
    <t>B4</t>
  </si>
  <si>
    <t>B52</t>
  </si>
  <si>
    <t>Ingatlanok értékesítése</t>
  </si>
  <si>
    <t>B53</t>
  </si>
  <si>
    <t>Egyéb tárgyi eszközök értékesítése</t>
  </si>
  <si>
    <t>B5</t>
  </si>
  <si>
    <t>B64</t>
  </si>
  <si>
    <t>Működési c.támogatás, kölcsön visszatér. ÁHT-n kívülről</t>
  </si>
  <si>
    <t>B65</t>
  </si>
  <si>
    <t>Egyéb működési célú átvett pénzeszközök</t>
  </si>
  <si>
    <t>B6</t>
  </si>
  <si>
    <t>Működési célú átvett pénzeszközök</t>
  </si>
  <si>
    <t>B74</t>
  </si>
  <si>
    <t>Felhalmozási c.támog, kölcsön visszatér. ÁHT-n kívülről</t>
  </si>
  <si>
    <t>B75</t>
  </si>
  <si>
    <t>Egyéb felhalmozási célú átvett pénzeszközök</t>
  </si>
  <si>
    <t>B7</t>
  </si>
  <si>
    <t>Felhalmozási célú átvett pénzeszközök</t>
  </si>
  <si>
    <t>B811</t>
  </si>
  <si>
    <t>Hitel-, kölcsönfelvétel pénzügyi vállalkozástól</t>
  </si>
  <si>
    <t>B8131</t>
  </si>
  <si>
    <t>Előző évi költségvetési maradvány igénybevétele</t>
  </si>
  <si>
    <t>B8</t>
  </si>
  <si>
    <t>Finanszírozási bevételek</t>
  </si>
  <si>
    <t>Költségvetési bevételek</t>
  </si>
  <si>
    <t>Költségvetési kiadások:</t>
  </si>
  <si>
    <t>K1101</t>
  </si>
  <si>
    <t>Törvény szerinti illetmények</t>
  </si>
  <si>
    <t>K1105</t>
  </si>
  <si>
    <t>Végkielégítés</t>
  </si>
  <si>
    <t>K1106</t>
  </si>
  <si>
    <t>Jubileumi jutalom</t>
  </si>
  <si>
    <t>K1107</t>
  </si>
  <si>
    <t>K1109</t>
  </si>
  <si>
    <t>Közlekedési költségtérítés</t>
  </si>
  <si>
    <t>K1110</t>
  </si>
  <si>
    <t>Egyéb költségtérítés</t>
  </si>
  <si>
    <t>K1113</t>
  </si>
  <si>
    <t>K121</t>
  </si>
  <si>
    <t>Választott tisztségviselők juttatásai</t>
  </si>
  <si>
    <t>K122</t>
  </si>
  <si>
    <t>Egyéb jogviszonyban nem saját fogl. fizetett juttatások</t>
  </si>
  <si>
    <t>K123</t>
  </si>
  <si>
    <t>Egyéb külső személyi juttatások</t>
  </si>
  <si>
    <t>K1</t>
  </si>
  <si>
    <t xml:space="preserve">Személyi juttatások </t>
  </si>
  <si>
    <t>K2</t>
  </si>
  <si>
    <t>Szociális hozzájárulási adó</t>
  </si>
  <si>
    <t>K311</t>
  </si>
  <si>
    <t>Szakmai anyagok beszerzése</t>
  </si>
  <si>
    <t>K312</t>
  </si>
  <si>
    <t>Üzemeltetési anyagok beszerzése</t>
  </si>
  <si>
    <t>K313</t>
  </si>
  <si>
    <t>Árubeszerzés</t>
  </si>
  <si>
    <t>K31</t>
  </si>
  <si>
    <t xml:space="preserve">Készletbeszerzés </t>
  </si>
  <si>
    <t>K321</t>
  </si>
  <si>
    <t>Informatikai szolgáltatások</t>
  </si>
  <si>
    <t>K322</t>
  </si>
  <si>
    <t>Egyéb kommunikációs szolgáltatások</t>
  </si>
  <si>
    <t>K32</t>
  </si>
  <si>
    <t xml:space="preserve">Kommunikációs szolgáltatások </t>
  </si>
  <si>
    <t>K331-001</t>
  </si>
  <si>
    <t>Áramdíj</t>
  </si>
  <si>
    <t>K331-002</t>
  </si>
  <si>
    <t>Gázdíj</t>
  </si>
  <si>
    <t>K331-003</t>
  </si>
  <si>
    <t>Vízdíj</t>
  </si>
  <si>
    <t>K331</t>
  </si>
  <si>
    <t>Közüzemi díjak</t>
  </si>
  <si>
    <t>K332</t>
  </si>
  <si>
    <t>Vásárolt élelmezés</t>
  </si>
  <si>
    <t>K333</t>
  </si>
  <si>
    <t>Bérleti és lízing díjak</t>
  </si>
  <si>
    <t>K334</t>
  </si>
  <si>
    <t>Karbantartási, kisjavítási szolgáltatások</t>
  </si>
  <si>
    <t>K335</t>
  </si>
  <si>
    <t>Közvetített szolgáltatások</t>
  </si>
  <si>
    <t>K336</t>
  </si>
  <si>
    <t>Szakmai tevékenységet segítő szolgáltások</t>
  </si>
  <si>
    <t>K337</t>
  </si>
  <si>
    <t>Egyéb szolgáltatások</t>
  </si>
  <si>
    <t>K33</t>
  </si>
  <si>
    <t>Szolgáltatási kiadások</t>
  </si>
  <si>
    <t>K341</t>
  </si>
  <si>
    <t>Kiküldetések kiadásai</t>
  </si>
  <si>
    <t>K342</t>
  </si>
  <si>
    <t>Reklám- és propagandakiadások</t>
  </si>
  <si>
    <t>K351</t>
  </si>
  <si>
    <t>Működési célú előzetesen felszámított ÁFA</t>
  </si>
  <si>
    <t>K352</t>
  </si>
  <si>
    <t>Fizetendő ÁFA</t>
  </si>
  <si>
    <t>K353</t>
  </si>
  <si>
    <t>Kamatkiadások</t>
  </si>
  <si>
    <t>K354</t>
  </si>
  <si>
    <t>Egyéb pénzügyi műveletek kiadásai</t>
  </si>
  <si>
    <t>K355</t>
  </si>
  <si>
    <t>Egyéb dologi kiadások</t>
  </si>
  <si>
    <t>K35</t>
  </si>
  <si>
    <t>Különféle befizetések és egyéb dologi kiadások</t>
  </si>
  <si>
    <t>K3</t>
  </si>
  <si>
    <t xml:space="preserve">Dologi kiadások </t>
  </si>
  <si>
    <t>K48</t>
  </si>
  <si>
    <t>Egyéb nem intézményi ellátások (önk. által saját hatáskörben)</t>
  </si>
  <si>
    <t>K4</t>
  </si>
  <si>
    <t xml:space="preserve">Ellátottak pénzbeli juttatásai </t>
  </si>
  <si>
    <t>K504</t>
  </si>
  <si>
    <t>Működési célú kölcsön nyújtása ÁHT-n belülre</t>
  </si>
  <si>
    <t>K505</t>
  </si>
  <si>
    <t>Működési célú kölcsön törlesztése ÁHT-n belülre</t>
  </si>
  <si>
    <t>K506</t>
  </si>
  <si>
    <t>Működési célú támogatások ÁHT-n belülre</t>
  </si>
  <si>
    <t>K508</t>
  </si>
  <si>
    <t>Működési célú kölcsön nyújtása ÁHT-n kívülre</t>
  </si>
  <si>
    <t>K512</t>
  </si>
  <si>
    <t>Működési célú egyéb támogatások ÁHT-n kivülre</t>
  </si>
  <si>
    <t>K513</t>
  </si>
  <si>
    <t>K5</t>
  </si>
  <si>
    <t>K61</t>
  </si>
  <si>
    <t>Immateriális javak beszerzése</t>
  </si>
  <si>
    <t>K62</t>
  </si>
  <si>
    <t>Ingatlanok beszerzése, létesítése</t>
  </si>
  <si>
    <t>K63</t>
  </si>
  <si>
    <t>Informatikai eszközök beszerzése</t>
  </si>
  <si>
    <t>K64</t>
  </si>
  <si>
    <t>Egyéb tárgyi eszközök beszerzése, létesítése</t>
  </si>
  <si>
    <t>K67</t>
  </si>
  <si>
    <t>Beruházások ÁFA-ja</t>
  </si>
  <si>
    <t>K6</t>
  </si>
  <si>
    <t>Beruházások</t>
  </si>
  <si>
    <t>K71</t>
  </si>
  <si>
    <t>Ingatlanok felújítása</t>
  </si>
  <si>
    <t>K72</t>
  </si>
  <si>
    <t>Informatikai eszközök felújítása</t>
  </si>
  <si>
    <t>K73</t>
  </si>
  <si>
    <t>Egyéb tárgyi eszközök felújítása</t>
  </si>
  <si>
    <t>K74</t>
  </si>
  <si>
    <t>Felújítások ÁFA-ja</t>
  </si>
  <si>
    <t>K7</t>
  </si>
  <si>
    <t>Felújítások</t>
  </si>
  <si>
    <t>K84</t>
  </si>
  <si>
    <t>Egyéb felhalmozási célú támogatás ÁHT-n belülre</t>
  </si>
  <si>
    <t>K86</t>
  </si>
  <si>
    <t>Felhalmozási célú kölcsön nyújtása ÁHT-n kívülre</t>
  </si>
  <si>
    <t>K89</t>
  </si>
  <si>
    <t>Felhalmozási célú egyéb támogatás ÁHT-n kívülre</t>
  </si>
  <si>
    <t>K8</t>
  </si>
  <si>
    <t>66.</t>
  </si>
  <si>
    <t>K911</t>
  </si>
  <si>
    <t>Hitel-, kölcsöntörlesztés ÁHT-n kívülre</t>
  </si>
  <si>
    <t>67.</t>
  </si>
  <si>
    <t>K915</t>
  </si>
  <si>
    <t>Központi, irányító szervi támogatás folyósítása</t>
  </si>
  <si>
    <t>68.</t>
  </si>
  <si>
    <t>K9</t>
  </si>
  <si>
    <t>Finanszírozási kiadások</t>
  </si>
  <si>
    <t>69.</t>
  </si>
  <si>
    <t>K1-K9</t>
  </si>
  <si>
    <t xml:space="preserve">KÖLTSÉGVETÉSI KIADÁSOK </t>
  </si>
  <si>
    <t>70.</t>
  </si>
  <si>
    <t>Létszámkeret (fő)</t>
  </si>
  <si>
    <t>Kormányzati funkció bevételei összesen</t>
  </si>
  <si>
    <t>Kormányzati funkció kiadásai összesen</t>
  </si>
  <si>
    <t>Korm.funkció pénzügyi egyenlege</t>
  </si>
  <si>
    <t>091140</t>
  </si>
  <si>
    <t>Óvodai nevelés</t>
  </si>
  <si>
    <t>szakmai feladatai</t>
  </si>
  <si>
    <t>működtetési feladatai</t>
  </si>
  <si>
    <t>finansz.műv.</t>
  </si>
  <si>
    <t>Harmatcsepp</t>
  </si>
  <si>
    <t xml:space="preserve">Óvoda </t>
  </si>
  <si>
    <t>B816</t>
  </si>
  <si>
    <t>Központi, irányató szervi támogatásként kapott bevétel</t>
  </si>
  <si>
    <t>Korm. funkció pénzügyi egyenlege</t>
  </si>
  <si>
    <t>011220</t>
  </si>
  <si>
    <t>Közös Önk-i</t>
  </si>
  <si>
    <t>Becsehelyi hivatal</t>
  </si>
  <si>
    <t>Borsfai hivatal</t>
  </si>
  <si>
    <t>Hivatal</t>
  </si>
  <si>
    <t>hozzájárulások</t>
  </si>
  <si>
    <t>K502</t>
  </si>
  <si>
    <t>Elvonások és befizetések</t>
  </si>
  <si>
    <t>Egyéb működési célú támogatások ÁHT-n belülre</t>
  </si>
  <si>
    <t>Felújítások ÁFÁ-ja</t>
  </si>
  <si>
    <t>K11</t>
  </si>
  <si>
    <t>Foglalkoztatottak személyi juttatásai</t>
  </si>
  <si>
    <t>K12</t>
  </si>
  <si>
    <t>Külső személyi juttatások</t>
  </si>
  <si>
    <t>107051</t>
  </si>
  <si>
    <t>Szociális</t>
  </si>
  <si>
    <t>107052</t>
  </si>
  <si>
    <t xml:space="preserve">Házi </t>
  </si>
  <si>
    <t>segítségnyújtás</t>
  </si>
  <si>
    <t>71.</t>
  </si>
  <si>
    <t>72.</t>
  </si>
  <si>
    <t>73.</t>
  </si>
  <si>
    <t>74.</t>
  </si>
  <si>
    <t>75.</t>
  </si>
  <si>
    <t>Illetmények:</t>
  </si>
  <si>
    <t>Konyha:</t>
  </si>
  <si>
    <t>Községgazdálkodás:</t>
  </si>
  <si>
    <t>Óvoda:</t>
  </si>
  <si>
    <t>Közös Hivatal:</t>
  </si>
  <si>
    <t>ÖSSZESEN:</t>
  </si>
  <si>
    <t>Nyersanyag költség / élelmiszer beszerzés:</t>
  </si>
  <si>
    <t>Étkeztetési szolgáltatás bevétele:</t>
  </si>
  <si>
    <t>Óvoda összesen:</t>
  </si>
  <si>
    <t>Iskola összesen:</t>
  </si>
  <si>
    <t>096015 Gyermekétkeztetés</t>
  </si>
  <si>
    <t>013390 Vendég étkeztetés</t>
  </si>
  <si>
    <t>Gyermekétkeztetés összesen:</t>
  </si>
  <si>
    <t>Vendég étkeztetés összesen:</t>
  </si>
  <si>
    <t>900020</t>
  </si>
  <si>
    <t>Önk. Bevételei</t>
  </si>
  <si>
    <t>ÁHT-n kívülről</t>
  </si>
  <si>
    <t>Helyi adók</t>
  </si>
  <si>
    <t>ÁFA Összesen:</t>
  </si>
  <si>
    <t>központi ksgv-el</t>
  </si>
  <si>
    <t>76.</t>
  </si>
  <si>
    <t>K914</t>
  </si>
  <si>
    <t>Áht-n belüli megelőlegezések visszafizetése</t>
  </si>
  <si>
    <t>Munkaadókat terhelő szja kifizetés (15%)</t>
  </si>
  <si>
    <t>Balassa László</t>
  </si>
  <si>
    <t>Csárdi Csaba</t>
  </si>
  <si>
    <t>Kovács Tibor</t>
  </si>
  <si>
    <t>Faluház:</t>
  </si>
  <si>
    <t>Bölczné Tóth Anita</t>
  </si>
  <si>
    <t>Riczuné Németh Ildikó</t>
  </si>
  <si>
    <t>Sulyok Bettina</t>
  </si>
  <si>
    <t>Kériné Hajnal Renáta</t>
  </si>
  <si>
    <t>Molnárné Nemes Katalin</t>
  </si>
  <si>
    <t>Németh Józsefné</t>
  </si>
  <si>
    <t>Tálosiné Hederics Etelka</t>
  </si>
  <si>
    <t>Varga Jánosné</t>
  </si>
  <si>
    <t>Molnár Eszter</t>
  </si>
  <si>
    <t>Bedő Ildikó</t>
  </si>
  <si>
    <t>Budai Zsuzsanna</t>
  </si>
  <si>
    <t>Horváthné Szirmai Szilvia</t>
  </si>
  <si>
    <t>Kuzma Istvánné</t>
  </si>
  <si>
    <t>Liviczki Tiborné</t>
  </si>
  <si>
    <t>Serényné Sánta Szilvia</t>
  </si>
  <si>
    <t>Tóth Ferencné</t>
  </si>
  <si>
    <t>Varga Anita</t>
  </si>
  <si>
    <t xml:space="preserve">létszámkerete </t>
  </si>
  <si>
    <t xml:space="preserve">Létszámkeret </t>
  </si>
  <si>
    <t>Eredeti  terv</t>
  </si>
  <si>
    <t>Módosított   terv</t>
  </si>
  <si>
    <t>Teljesítés</t>
  </si>
  <si>
    <t>Teljes munkidősök</t>
  </si>
  <si>
    <t>Részfoglalkoztatásúak</t>
  </si>
  <si>
    <t>Összesen</t>
  </si>
  <si>
    <t>Tejes munkaidősre átszámitott létszám</t>
  </si>
  <si>
    <t>Teljes munkaidősök</t>
  </si>
  <si>
    <t>Közfoglalkoztatottak létszámkerete</t>
  </si>
  <si>
    <t>Foglalkoztatottak mindösszesen:</t>
  </si>
  <si>
    <t>Becsehely Község Önkormányzata és intézményei</t>
  </si>
  <si>
    <t>EU-s fejlesztések összesen:</t>
  </si>
  <si>
    <t>Saját  forrásból megvalósuló beruházások, felújítások</t>
  </si>
  <si>
    <t>Önkormányzat összesen:</t>
  </si>
  <si>
    <t>Becsehelyi Harmatcsepp Óvoda:</t>
  </si>
  <si>
    <t>Becsehelyi Harmatcsepp Óvoda összesen</t>
  </si>
  <si>
    <t>Felhalmozási célú kiadások összesen (I+II+III+IV):</t>
  </si>
  <si>
    <t>104037</t>
  </si>
  <si>
    <t>Intézményen kívüli</t>
  </si>
  <si>
    <t>gyermekétkeztetés</t>
  </si>
  <si>
    <t xml:space="preserve">Szünidei </t>
  </si>
  <si>
    <t>Pénzmaradvány igénybe vétele felhalmozási célú</t>
  </si>
  <si>
    <t>-</t>
  </si>
  <si>
    <t>Egyéb felhalmozási kiadások:</t>
  </si>
  <si>
    <t>Megelőlegezések visszafizetése</t>
  </si>
  <si>
    <t>Tartalékok, működési célú</t>
  </si>
  <si>
    <t>Tartalékok, fejlesztési célú</t>
  </si>
  <si>
    <t>Működési célú tartalékok</t>
  </si>
  <si>
    <t>Fejlesztési célú tartalékok</t>
  </si>
  <si>
    <t>A Kttv., Kjt., és az Mt. hatálya alá tartozó munkavállalók</t>
  </si>
  <si>
    <t>Jogcíme (jellege)</t>
  </si>
  <si>
    <t>Helyi iparűzési adó</t>
  </si>
  <si>
    <t>az Áht. 24. § (4) bekezdésének c) pontja alapján</t>
  </si>
  <si>
    <t>2020.</t>
  </si>
  <si>
    <t>az Áht. 23. § (2) bekezdés aa) pontja és ba) pontja alapján</t>
  </si>
  <si>
    <t>az Áht. 23. § (2) bekezdésének c) pontja alapján</t>
  </si>
  <si>
    <t>5.melléklet az .../….. (…...) önkormányzati rendelethez</t>
  </si>
  <si>
    <t>MEGNEVEZÉS</t>
  </si>
  <si>
    <t>I. Működési céltartalékok</t>
  </si>
  <si>
    <t>Az Önkormányzat költségvetésében</t>
  </si>
  <si>
    <t>II. Fejlesztési céltartalékok</t>
  </si>
  <si>
    <t>6. melléklet az ../…... (…..)  önkormányzati rendelethez</t>
  </si>
  <si>
    <t>az Áht. 23. § (3) bekezdése alapján</t>
  </si>
  <si>
    <t>Működési céltartalékok összesen</t>
  </si>
  <si>
    <t>Fejlesztési céltartalékok összesen:</t>
  </si>
  <si>
    <t>az Áht. 23. § (2) bekezdésének f) pontja alapján</t>
  </si>
  <si>
    <t>Tartalékok  mindösszesen (I. + II.) :</t>
  </si>
  <si>
    <t>Jogcím</t>
  </si>
  <si>
    <t>Állami támogatás</t>
  </si>
  <si>
    <t>Önkormányzati forrás</t>
  </si>
  <si>
    <t>Eredeti előirányzat</t>
  </si>
  <si>
    <t>1. Önkormányzati támogatások</t>
  </si>
  <si>
    <t>Bursa Hungarica támogatás</t>
  </si>
  <si>
    <t>Köztemetés</t>
  </si>
  <si>
    <t>Önkormányzati támogatások összesen:</t>
  </si>
  <si>
    <t>2. Szociális helyzethez köthető kölcsönök nyújtása</t>
  </si>
  <si>
    <t>Átmeneti segély kölcsön</t>
  </si>
  <si>
    <t>Temetési segély kölcsön</t>
  </si>
  <si>
    <t>Kölcsönök összesen:</t>
  </si>
  <si>
    <t>Az önkormányzat szociális pénzeszközei összesen (1+2):</t>
  </si>
  <si>
    <t>I. Működési költségvetés egyenlege (Bevétel-Kiadás)</t>
  </si>
  <si>
    <t>az Áht. 29/A. §  alapján</t>
  </si>
  <si>
    <t>adatok Ft-ban</t>
  </si>
  <si>
    <t>Települési Önkormányzatok szociális feladatainak támogatásával adható juttatások képviselő-testületi hatáskörben</t>
  </si>
  <si>
    <t>Települési segély</t>
  </si>
  <si>
    <t>051030</t>
  </si>
  <si>
    <t>Hulladék-</t>
  </si>
  <si>
    <t>Adómentesség</t>
  </si>
  <si>
    <t>Belterületi ingatlannal rendelkező adóalany zártkerti ingatlana utáni adómentessége</t>
  </si>
  <si>
    <t>Adóalany több építményére vonatkozó adómentessége</t>
  </si>
  <si>
    <t>Vállalkozó egészségügyi szolgáltatók adómentessége (háziorvos)</t>
  </si>
  <si>
    <t>Adónem</t>
  </si>
  <si>
    <t>Központi költségvetési megelőlegezések visszafizetése</t>
  </si>
  <si>
    <t>Támogatás jogcíme</t>
  </si>
  <si>
    <t>Ellátottak térítési díjának elengedése méltányosságból</t>
  </si>
  <si>
    <t>Kártérítés összegének elengedése méltányosságból</t>
  </si>
  <si>
    <t>Helyiségek, eszközök hasznosításából származó kedvezmény, mentesség</t>
  </si>
  <si>
    <t>Egyéb nyújtott kedvezmény, kölcsön elengedése</t>
  </si>
  <si>
    <t>és kormányzati funkció szerinti bontásban</t>
  </si>
  <si>
    <t>18. melléklet a ……./(…) önkormányzati rendelethez</t>
  </si>
  <si>
    <t>Önkormányzati</t>
  </si>
  <si>
    <t>Konyha</t>
  </si>
  <si>
    <t>Gyermek-</t>
  </si>
  <si>
    <t xml:space="preserve">Konyha </t>
  </si>
  <si>
    <t>Szintén Lászlóné</t>
  </si>
  <si>
    <t>Bedőné Varga Alexandra</t>
  </si>
  <si>
    <t>Egyéb személyi juttatások (bérkompenzáció)</t>
  </si>
  <si>
    <t xml:space="preserve">Béren kívüli juttatások (cafeteria) </t>
  </si>
  <si>
    <t>Béren kívüli juttatások (cafeteria)</t>
  </si>
  <si>
    <t>dec</t>
  </si>
  <si>
    <t>jan-nov</t>
  </si>
  <si>
    <t>Becsehelyi Önkormányzati Konyha</t>
  </si>
  <si>
    <t>2021.</t>
  </si>
  <si>
    <t>77.</t>
  </si>
  <si>
    <t>Járulék jellegű kötelezettségek (közteher)</t>
  </si>
  <si>
    <t>ebből:</t>
  </si>
  <si>
    <t>alapilletmény</t>
  </si>
  <si>
    <t>személyi illetmény</t>
  </si>
  <si>
    <t>idegennyelv pótlék</t>
  </si>
  <si>
    <t>egyéb munkáltatói döntésen alapuló illetmény</t>
  </si>
  <si>
    <t>Egyéb fejlesztési célú tartalék</t>
  </si>
  <si>
    <t>K5021</t>
  </si>
  <si>
    <t>Előző évi elszámolásból származó visszafizetési kötelezettség</t>
  </si>
  <si>
    <t>Nemesné Mezriczki Szandra</t>
  </si>
  <si>
    <t>Takács Júlia</t>
  </si>
  <si>
    <t>Cseresnyés Szilvia</t>
  </si>
  <si>
    <t>Lakóné Pásztori Mária</t>
  </si>
  <si>
    <t xml:space="preserve"> 18%-os ÁFA (14% rész)</t>
  </si>
  <si>
    <t xml:space="preserve"> 12%-os ÁFA (1% rész)</t>
  </si>
  <si>
    <t>082092</t>
  </si>
  <si>
    <t>2022.</t>
  </si>
  <si>
    <t>Felhalmozási célú támogatások</t>
  </si>
  <si>
    <t>Becsehelyi Közös Önkormányzati Hivatal</t>
  </si>
  <si>
    <t>27%-os ÁFA (50% rész)</t>
  </si>
  <si>
    <t>5%-os ÁFA (35% rész)</t>
  </si>
  <si>
    <t>049010</t>
  </si>
  <si>
    <t>Máshova nem sorolt</t>
  </si>
  <si>
    <t>gazdasági ügyek</t>
  </si>
  <si>
    <t>Térítésmentes étkezők 20 fő (konyhai, karbantartó, óvodai dolgozók)</t>
  </si>
  <si>
    <t>Varga Péter</t>
  </si>
  <si>
    <t>Balló-Szopos Adél</t>
  </si>
  <si>
    <t>Gyergyákné Korbuly Zsuzsanna</t>
  </si>
  <si>
    <t>Horváth Marianna</t>
  </si>
  <si>
    <t>Födőné Pintér Andrea</t>
  </si>
  <si>
    <t xml:space="preserve">Egyéb személyi juttatások </t>
  </si>
  <si>
    <t xml:space="preserve"> Ft-ban</t>
  </si>
  <si>
    <t>2023.</t>
  </si>
  <si>
    <t>Ft</t>
  </si>
  <si>
    <t>III. Működési célú egyéb pénzeszök többletének igénybevétele a felhalmozási hiány belső finanszírozására</t>
  </si>
  <si>
    <t>K1103</t>
  </si>
  <si>
    <t>Jutalmak</t>
  </si>
  <si>
    <t>Munkaadót terhelő egyéb járulék</t>
  </si>
  <si>
    <t>pályázat</t>
  </si>
  <si>
    <t>041237</t>
  </si>
  <si>
    <t xml:space="preserve"> Saját bevételek</t>
  </si>
  <si>
    <t>a helyi adóból származó bevétel,</t>
  </si>
  <si>
    <t>az önkormányzati vagyon és az önkormányzatot megillető vagyoni értékű jog értékesítéséből és hasznosításából származó bevétel,</t>
  </si>
  <si>
    <t>az osztalék, a koncessziós díj és a hozambevétel,</t>
  </si>
  <si>
    <t>a tárgyi eszköz és az immateriális jószág, részvény, részesedés, vállalat értékesítéséből vagy privatizációból származó bevétel,</t>
  </si>
  <si>
    <t>bírság-, pótlék- és díjbevétel, valamint</t>
  </si>
  <si>
    <t>a kezességvállalással kapcsolatos megtérülés.</t>
  </si>
  <si>
    <t>Adósságot keletkeztető ügyletek</t>
  </si>
  <si>
    <t xml:space="preserve">hitel, kölcsön </t>
  </si>
  <si>
    <t xml:space="preserve">értékpapír </t>
  </si>
  <si>
    <t xml:space="preserve">váltó </t>
  </si>
  <si>
    <t xml:space="preserve">pénzügyi lízing </t>
  </si>
  <si>
    <t xml:space="preserve">adásvételi szerződés  megkötése a visszavásárlási kötelezettség kikötésével </t>
  </si>
  <si>
    <t>legalább háromszázhatvanöt nap időtartamú halasztott fizetés, részletfizetés, és a még ki nem fizetett ellenérték,</t>
  </si>
  <si>
    <t>külföldi hitelintézetek által, származékos műveletek különbözeteként az Államadósság Kezelő Központ Zrt.-nél elhelyezett fedezeti betétek, és azok összege.</t>
  </si>
  <si>
    <t>Egyéb működési célú tartalék</t>
  </si>
  <si>
    <t>Fejlesztési célok megnevezése</t>
  </si>
  <si>
    <t>Adósságot keletkeztető ügylet összege</t>
  </si>
  <si>
    <t>Az adósságot keletkeztető ügylet megkötését igénylő fejlesztési célok, valamint az adósságot keletkeztető ügyletek várható</t>
  </si>
  <si>
    <t xml:space="preserve">együttes összege </t>
  </si>
  <si>
    <t>eredeti előirányzat</t>
  </si>
  <si>
    <t>módosított előriányzat</t>
  </si>
  <si>
    <t>Bruttó eredeti előirányzat</t>
  </si>
  <si>
    <t>Bruttó módosított előirányzat</t>
  </si>
  <si>
    <t>Módosított előirányzat</t>
  </si>
  <si>
    <t>Adorjánné Kolongya Melinda</t>
  </si>
  <si>
    <t>Konyha módosított:</t>
  </si>
  <si>
    <t>Marton Rita (+Tóth Lászlóné dec.)</t>
  </si>
  <si>
    <t>Csárdi Vivien</t>
  </si>
  <si>
    <t>Budai Lászlóné</t>
  </si>
  <si>
    <t>07-11. hó</t>
  </si>
  <si>
    <t>12-06. hó</t>
  </si>
  <si>
    <t>Óvodai étkeztetés nyersanyag 52 fő 220 napra nettó 374,1 Ft</t>
  </si>
  <si>
    <t>Eszteregnyei óvodai étkeztetés nyersanyag 16 fő 220 napra nettó 374,1 Ft</t>
  </si>
  <si>
    <t>Iskolai menza (1X) nyersanyag 23 fő 185 napra nettó 315,8 Ft</t>
  </si>
  <si>
    <t>Iskolai napközi (2X) nyersanyag 22 fő 185 napra nettó 370,1 Ft</t>
  </si>
  <si>
    <t>Iskolai napközi (3X ) nyersanyag 64 fő 185 napra nettó 421,2 Ft</t>
  </si>
  <si>
    <t xml:space="preserve">Vendég étkezés nyersanyag 30 fő 249 napra nettó 348,4 Ft  </t>
  </si>
  <si>
    <t xml:space="preserve">Tótszentmárton 57 fő 249 napra nettó 348,4 Ft  </t>
  </si>
  <si>
    <t>Eszteregnye 36 fő 249 napra nettó 348,4 Ft</t>
  </si>
  <si>
    <t xml:space="preserve">Rigyác 14 fő 249 napra nettó 348,4 Ft </t>
  </si>
  <si>
    <t xml:space="preserve">Valkonya 2 fő 249 napra nettó 348,4 Ft </t>
  </si>
  <si>
    <t>Petrivente 24 fő 249 napra nettó 348,4 Ft</t>
  </si>
  <si>
    <t>Becsehely 120 fő 249 napra nettó 348,4 Ft</t>
  </si>
  <si>
    <t>Óvodások teljes étk.tér.díja 9 fő 220 napra nettó 374,1 Ft</t>
  </si>
  <si>
    <t>Eszteregnyei óvodások teljes étk.tér.díja 0 fő 220 napra nettó 374,1 Ft</t>
  </si>
  <si>
    <t>Iskolai menza (1X) étk.tér.díja 50 %-os kedv. 7 fő 195 napra nettó 157,9 Ft</t>
  </si>
  <si>
    <t>Iskolai napközi (2X ) étk.tér.díja 50%-os 5 fő 195 napra nettó 185,05 Ft</t>
  </si>
  <si>
    <t>Iskolai napközi (3X ) étk.tér.díj 50%-os 15 fő 195 napra nettó 210,6 Ft</t>
  </si>
  <si>
    <t>Iskolai menza (1X) teljes étk.tér.díj 15 fő 195 napra nettó 315,8 Ft</t>
  </si>
  <si>
    <t>Iskolai napközi (2 X) teljes étk.tér.díj 15 fő 195 napra nettó 370,1 Ft</t>
  </si>
  <si>
    <t xml:space="preserve">Iskolai napközi (3X ) teljes étk.tér.díj 29 fő 195 napra nettó 421,2 Ft </t>
  </si>
  <si>
    <t>Vendég étkezés 30 fő 249 napra nettó 543,4 Ft</t>
  </si>
  <si>
    <t>Tótszentmárton szoc.étk. tér.díj 57 fő 249 napra nettó 543,4 Ft</t>
  </si>
  <si>
    <t>Eszteregnye szoc.étk. tér. díj 36 fő 42 napra nettó 460,81 Ft, 209 napra nettó 543,4 Ft</t>
  </si>
  <si>
    <t>Rigyác szoc.étk. tér. díj 14 fő 249 napra nettó 543,4 Ft</t>
  </si>
  <si>
    <t>Valkonya szoc.étk. tér. díj 2 fő 249 napra nettó 543,4 Ft</t>
  </si>
  <si>
    <t>Petrivente szoc.étk.tér.díj 24 fő 249 napra nettó 543,4 Ft</t>
  </si>
  <si>
    <t>Becsehely szoc. étk. tér. díj 120 fő 249 napra nettó 543,4 Ft</t>
  </si>
  <si>
    <t>KONYHA módosított:</t>
  </si>
  <si>
    <t>Szociális hozzájárulási adó (17,5% - 15,5%)</t>
  </si>
  <si>
    <t>Táppénz hozzájárulás</t>
  </si>
  <si>
    <t>Eszteregnyei óvodai étkeztetés nyersanyag 17 fő 220 napra nettó 374,1 Ft</t>
  </si>
  <si>
    <t>Óvodai étkeztetés nyersanyag 49 fő 220 napra nettó 374,1 Ft</t>
  </si>
  <si>
    <t>Iskolai menza (1X) nyersanyag 27 fő 185 napra nettó 315,8 Ft</t>
  </si>
  <si>
    <t>Iskolai napközi (2X) nyersanyag 16 fő 185 napra nettó 370,1 Ft</t>
  </si>
  <si>
    <t>Iskolai napközi (3X ) nyersanyag 45 fő 185 napra nettó 421,2 Ft</t>
  </si>
  <si>
    <t>049010 Vendég étkeztetés</t>
  </si>
  <si>
    <t xml:space="preserve">Vendég étkezés nyersanyag 40 fő 249 napra nettó 348,4 Ft  </t>
  </si>
  <si>
    <t>Vendég étkezés 40 fő 249 napra nettó 543,4 Ft</t>
  </si>
  <si>
    <t xml:space="preserve">Tótszentmárton 39 fő 249 napra nettó 348,4 Ft  </t>
  </si>
  <si>
    <t>Tótszentmárton szoc.étk. tér.díj 39 fő 249 napra nettó 543,4 Ft</t>
  </si>
  <si>
    <t>Eszteregnye 38 fő 249 napra nettó 348,4 Ft</t>
  </si>
  <si>
    <t>Eszteregnye szoc.étk. tér. díj 38 fő 42 napra nettó 460,81 Ft, 209 napra nettó 543,4 Ft</t>
  </si>
  <si>
    <t xml:space="preserve">Rigyác 18 fő 249 napra nettó 348,4 Ft </t>
  </si>
  <si>
    <t>Rigyác szoc.étk. tér. díj 18 fő 249 napra nettó 543,4 Ft</t>
  </si>
  <si>
    <t>Valkonya szoc.étk. tér. díj 3 fő 249 napra nettó 543,4 Ft</t>
  </si>
  <si>
    <t xml:space="preserve">Valkonya 3 fő 249 napra nettó 348,4 Ft </t>
  </si>
  <si>
    <t>Petrivente 26 fő 249 napra nettó 348,4 Ft</t>
  </si>
  <si>
    <t>Petrivente szoc.étk.tér.díj 26 fő 249 napra nettó 543,4 Ft</t>
  </si>
  <si>
    <t>Becsehely 114 fő 249 napra nettó 348,4 Ft</t>
  </si>
  <si>
    <t>Becsehely szoc. étk. tér. díj 114 fő 249 napra nettó 543,4 Ft</t>
  </si>
  <si>
    <t>Muraszemenye szociális 38 fő + vendég 6 fő 126 napra nettó 348,4 Ft</t>
  </si>
  <si>
    <t>Muraszemenye szociális 38 fő + vendég 6 fő 126 napra nettó 590,6 Ft</t>
  </si>
  <si>
    <t>Iskolai napközi (2X ) étk.tér.díja 50%-os 3 fő 195 napra nettó 185,05 Ft</t>
  </si>
  <si>
    <t>Iskolai napközi (3X ) étk.tér.díj 50%-os 12 fő 195 napra nettó 210,6 Ft</t>
  </si>
  <si>
    <t>Iskolai menza (1X) teljes étk.tér.díj 12 fő 195 napra nettó 315,8 Ft</t>
  </si>
  <si>
    <t>Iskolai napközi (2 X) teljes étk.tér.díj 12 fő 195 napra nettó 370,1 Ft</t>
  </si>
  <si>
    <t xml:space="preserve">Iskolai napközi (3X ) teljes étk.tér.díj 20 fő 195 napra nettó 421,2 Ft </t>
  </si>
  <si>
    <t>Horváth-Milei Enikő</t>
  </si>
  <si>
    <t>Közös Hivatal módosított:</t>
  </si>
  <si>
    <t>Solymosi Mónika</t>
  </si>
  <si>
    <t>Megyeri-Liviczki Lívia</t>
  </si>
  <si>
    <t>dec-jún</t>
  </si>
  <si>
    <t>júl-nov</t>
  </si>
  <si>
    <t>Szociális hozzájárulási adó (17,5%-15,5%)</t>
  </si>
  <si>
    <t>Béren kívüli juttatatás szocho adója (15,5%)</t>
  </si>
  <si>
    <t>Muraszemenye iskolai menza (1X) 5 fő 185 napra nettó 315,8 Ft</t>
  </si>
  <si>
    <t>Muraszemenye iskola napközi (2X) 0 fő 185 napra nettó 370,1 Ft</t>
  </si>
  <si>
    <t>Muraszemenye iskola napközi (3X) 19 fő 185 napra nettó 421,2 Ft</t>
  </si>
  <si>
    <t>Becsehelyi óvodások teljes étk.tér.díja 6 fő 220 napra nettó 374,1 Ft</t>
  </si>
  <si>
    <t>Muraszemenye óvoda 7 fő 220 napra nettó 374,1 Ft</t>
  </si>
  <si>
    <t>Mszemenye Iskolai menza (1X) étk.tér.díja 50 %-os kedv. 2 fő 185 napra nettó 157,9 Ft</t>
  </si>
  <si>
    <t>Mszemenye Iskolai napközi (2X ) étk.tér.díja 50%-os 0 fő 185 napra nettó 185,05 Ft</t>
  </si>
  <si>
    <t>Mszemenye Iskolai napközi (3X ) étk.tér.díj 50%-os 4 fő 185 napra nettó 210,6 Ft</t>
  </si>
  <si>
    <t>Mszemenye Iskolai menza (1X) teljes étk.tér.díj 3 fő 185 napra nettó 315,8 Ft</t>
  </si>
  <si>
    <t>Mszemenye Iskolai napközi (2 X) teljes étk.tér.díj 0 fő 185 napra nettó 370,1 Ft</t>
  </si>
  <si>
    <t xml:space="preserve">Mszemenye Iskolai napközi (3X ) teljes étk.tér.díj 6 fő 185 napra nettó 421,2 Ft </t>
  </si>
  <si>
    <t>Muraszemenyei óvodások teljes étk.tér.díja 1 fő 220 napra nettó 374,1 Ft</t>
  </si>
  <si>
    <t>Muraszemenye és térsége szünidei étkeztetés 800 adag nettó 316 Ft</t>
  </si>
  <si>
    <t>Muraszemenye és térsége szünidei étkeztetés 800 adag nettó 507,874 Ft</t>
  </si>
  <si>
    <t>Egyéb személyi juttatások</t>
  </si>
  <si>
    <t>Községgazdálkodás módosított:</t>
  </si>
  <si>
    <t>Faluház módosított:</t>
  </si>
  <si>
    <t>Óvoda módosított:</t>
  </si>
  <si>
    <t>Bogácsiné Birkás Éva</t>
  </si>
  <si>
    <t>Szociális hozzájárulási adó (17,5% - 15,5 %)</t>
  </si>
  <si>
    <t>78.</t>
  </si>
  <si>
    <t>Támogatás összege</t>
  </si>
  <si>
    <t>Magyar Falu Program - Felnőtt háziorvosi rendelő felújítása, fejlesztése</t>
  </si>
  <si>
    <t>Pályázati támogatások összesen:</t>
  </si>
  <si>
    <t>Zártkerti útfelújítás projekt záró elszámolásához kapcsolódó utófinanszírozás</t>
  </si>
  <si>
    <t>Egyéb központi támogatások összesen:</t>
  </si>
  <si>
    <t>19. melléklet a ……./(…) önkormányzati rendelethez</t>
  </si>
  <si>
    <t>2020. évi</t>
  </si>
  <si>
    <t>082091</t>
  </si>
  <si>
    <t>TOP energetikai</t>
  </si>
  <si>
    <t>energetikai pályázat</t>
  </si>
  <si>
    <t>062020</t>
  </si>
  <si>
    <t>Magyar Falu</t>
  </si>
  <si>
    <t>Program</t>
  </si>
  <si>
    <t>Háziorvosi szolgálat:</t>
  </si>
  <si>
    <t>Dr. Horváth Tibor</t>
  </si>
  <si>
    <t>Németh Ferencné</t>
  </si>
  <si>
    <t>Végh Károlyné</t>
  </si>
  <si>
    <t>Béren kívüli juttatatás szocho adója (17,5%-15,5%)</t>
  </si>
  <si>
    <t>Európai Uniós és hazai támogatással, valamint központi költségvetési támogatással megvalósuló programok, fejlesztések</t>
  </si>
  <si>
    <t>Közmunka projekt keretében motoros fűkasza vásárlás</t>
  </si>
  <si>
    <t>Kossuth Lajos út járda felújítás</t>
  </si>
  <si>
    <t>Bölcsőde kiviteli tervek és egyéb kapcsolódó költségek</t>
  </si>
  <si>
    <t>"Rádi telek" (Kossuth út 209.) parkosítása és kerítés építése</t>
  </si>
  <si>
    <t>Óvoda udvarának felújítása</t>
  </si>
  <si>
    <t>Nemzeti Ovi-Sport Programhoz nyújtott fejlesztési támogatás</t>
  </si>
  <si>
    <t>Feladatellátást biztosító eszközök beszerzése</t>
  </si>
  <si>
    <t>Becsehelyi Közös Önkormányzati Hivatal:</t>
  </si>
  <si>
    <t>Becsehelyi Közös Önkormányzati Hivatal összesen</t>
  </si>
  <si>
    <t>Lakossági közműfejlesztési hozzájárulás</t>
  </si>
  <si>
    <t>Becsehelyi Önkormányzati Konyha:</t>
  </si>
  <si>
    <t>Becsehelyi Önkormányzati Konyha összesen</t>
  </si>
  <si>
    <t>Becsehely Község Önkormányzata:</t>
  </si>
  <si>
    <t>Becsehelyi Önkormányzati Konyha összesen:</t>
  </si>
  <si>
    <t>Ételszállító badellák</t>
  </si>
  <si>
    <t>Egyéb kisértékű berendezések beszerzése</t>
  </si>
  <si>
    <t>Salgó polcrendszer beszerzés</t>
  </si>
  <si>
    <t>Hálózati adattároló eszközök beszerzése</t>
  </si>
  <si>
    <t>Faluházba feladatellátást biztosító eszközök beszerzése</t>
  </si>
  <si>
    <t>Községgazdálkodási feladatok ellátásához biztosított eszközök</t>
  </si>
  <si>
    <t>Ivóvíz- és szennyvízhálózat felújítása (forrás: közös pénzügyi alap)</t>
  </si>
  <si>
    <t>Régi kultúrházon nyílászáró csere</t>
  </si>
  <si>
    <t>Háziorvosi rendelőbe egyéb eszközök beszerzése</t>
  </si>
  <si>
    <t>Gyermekjóléti szolgálat működtetéséhez eszköz beszerzés</t>
  </si>
  <si>
    <t>Védőnői szolgálathoz eszköz beszerzés</t>
  </si>
  <si>
    <t>367/3 hrsz. Ingatlan megvásárlása</t>
  </si>
  <si>
    <t>Becsehely Község Önkormányzata 2020. évi egyéb központi- és pályázati támogatásai</t>
  </si>
  <si>
    <t>Ricsilla Sport Kft. részére nyújtott fejlesztési támogatás</t>
  </si>
  <si>
    <t>TOP - Energetikai pályázat - Faluház energetikai korszerűsítése</t>
  </si>
  <si>
    <t>TOP - Mini bölcsőde építése</t>
  </si>
  <si>
    <t>TOP - Energetikai pályázat - Faluház energetikai korszerűsítése - önerő</t>
  </si>
  <si>
    <t>Faluház konyhájának felújítása (burkolás, nyílászáró csere és javítás), valamint a támfal felújítása</t>
  </si>
  <si>
    <t>687/1. hrsz ingatlan megvásárlása</t>
  </si>
  <si>
    <t>Magyar Falu Program - Felnőtt háziorvosi rendelő felújítása, korszerűsítése</t>
  </si>
  <si>
    <t>Felhalmozási költségvetés 2020.</t>
  </si>
  <si>
    <t>Működési költségvetés 2020.</t>
  </si>
  <si>
    <t>Becsehely Község Önkormányzata és intézményei 2020. évi jóváhagyott</t>
  </si>
  <si>
    <t>2024.</t>
  </si>
  <si>
    <t>I. Pályázati támogatások</t>
  </si>
  <si>
    <t>II. Egyéb központi támogatások</t>
  </si>
  <si>
    <t>TOP Energetikai pályázat - Faluház energetikai korszerűsítése projekt tartaléka</t>
  </si>
  <si>
    <t>III. Az önkormányzat egyéb központi és pályázati támogatásai összesen (I. + II.):</t>
  </si>
  <si>
    <t>Konyha telephely felújítása</t>
  </si>
  <si>
    <t>TOP-1.4.1-19-ZA1-2019-00002 - Mini bölcsőde építése Becsehelyen (támogatási előleg)</t>
  </si>
  <si>
    <t>Polai temető melletti út 7-es főúti becsatlakozásához tartozó szakaszának megemelése</t>
  </si>
  <si>
    <t>2020. évi 2. módosított felhalmozási előirányzata</t>
  </si>
  <si>
    <t>Orvosi rendelő felújítás</t>
  </si>
  <si>
    <t>B814</t>
  </si>
  <si>
    <t>ÁHT-n belüli megelőlegezések</t>
  </si>
  <si>
    <t>Áht-n belüli megelőlegezések</t>
  </si>
  <si>
    <t>Magyar Falu Program - Pihenőpark kialakítása</t>
  </si>
  <si>
    <t>Pihenőpark kialakítása</t>
  </si>
  <si>
    <t>Mini bölcsőde építése és önrész biztosítása</t>
  </si>
  <si>
    <t>2021. évi 0. havi állami normatív támogatás 2021. évi felhasználásra</t>
  </si>
  <si>
    <t>Orvosi rendelő felújítása és pihenőpark kialakítása</t>
  </si>
  <si>
    <t>teljesítés</t>
  </si>
  <si>
    <t xml:space="preserve">Becsehelyi Önkormányzati Konyha 2020. évi teljesített költségvetési bevételei és kiadásai rovatrend </t>
  </si>
  <si>
    <t xml:space="preserve">Becsehelyi Közös Önkormányzati Hivatal 2020. évi teljesített költségvetési bevételei és kiadásai rovatrend </t>
  </si>
  <si>
    <t xml:space="preserve">Becsehelyi Harmatcsepp Óvoda 2020. évi teljesített költségvetési bevételei és kiadásai rovatrend </t>
  </si>
  <si>
    <t>Becsehely Község Önkormányzata 2020. évi teljesített költségvetési bevételei és kiadásai rovatrend és kormányzati funkció szerinti bontásban</t>
  </si>
  <si>
    <t>Becsehely Község Önkormányzata és intézményei 2020. évi teljesített kiemelt bevételi előirányzatai</t>
  </si>
  <si>
    <t>Becsehely Község Önkormányzata és intézményei 2020. évi teljesített kiemelt kiadási előirányzatai</t>
  </si>
  <si>
    <t>teljesített</t>
  </si>
  <si>
    <t xml:space="preserve">Becsehely Község Önkormányzata és intézményei 2020. évi teljesített költségvetési mérlege </t>
  </si>
  <si>
    <t>Bruttó teljesítés</t>
  </si>
  <si>
    <t>2020. évi teljesített tartalék előirányzata</t>
  </si>
  <si>
    <t>7. melléklet az …….../…... (….) önkormányzati rendelethez</t>
  </si>
  <si>
    <t>Becsehely Község Önkormányzata 2020. évi teljesített szociális pénzeszközei</t>
  </si>
  <si>
    <t>8. melléklet a …../…..(…..) önkormányzati rendelethez</t>
  </si>
  <si>
    <t>forintban</t>
  </si>
  <si>
    <t>Költségvetési törvény alapján járó támogatás</t>
  </si>
  <si>
    <t>Támogatás évközi változása (május 15.)</t>
  </si>
  <si>
    <t>Támogatás évközi változása (október 5.)</t>
  </si>
  <si>
    <t>Tényleges támogatás</t>
  </si>
  <si>
    <t>Év végi eltérés, mutatószám szerinti támogatás</t>
  </si>
  <si>
    <t>Az önkormányzat által adott célra  12.31-ig ténylegesen  felhasznált összeg</t>
  </si>
  <si>
    <t>Eltérés  (támogatásban és felhasználás szerint)</t>
  </si>
  <si>
    <t>Települési önkormányzatok működésének támogatása, hozzájárulás pénzbeli szociális ellátásokhoz, beszámítás</t>
  </si>
  <si>
    <t>Köznevelési feladatokra</t>
  </si>
  <si>
    <t>Intézményi gyermekétkeztetés támogatása</t>
  </si>
  <si>
    <t>Rászoruló gyermekek szünidei étkeztetésének támogatása</t>
  </si>
  <si>
    <t>Települési önkormányzatok közművelődési feladatainak támogatása</t>
  </si>
  <si>
    <t>9. melléklet a …../…..(…..) önkormányzati rendelethez</t>
  </si>
  <si>
    <t>Becsehely Község Önkormányzata és Intézményei pénzeszközei változásának bemutatása</t>
  </si>
  <si>
    <t>Harmatcsepp Óvoda</t>
  </si>
  <si>
    <t>Önkormányzati Konyha</t>
  </si>
  <si>
    <t>36. számla forgalma (+,-)</t>
  </si>
  <si>
    <t>Költségvetési kiadások</t>
  </si>
  <si>
    <t>Előző évi költségvetési  maradvány igényvbevétele</t>
  </si>
  <si>
    <t>Pénzkészlet változás összesen (2+3+4-5-6-7+8):</t>
  </si>
  <si>
    <t>Pénzkészlet tárgyidőszak végén (1+8):</t>
  </si>
  <si>
    <t>10. melléklet a …../…..(….) önkormányzati rendlethez</t>
  </si>
  <si>
    <t>Alaptevékenység költségvetési bevételei</t>
  </si>
  <si>
    <t>Alaptevékenység költségvetési kiadásai</t>
  </si>
  <si>
    <t>I</t>
  </si>
  <si>
    <t>Alaptevékenység költségvetési egyenlege</t>
  </si>
  <si>
    <t>Alaptevékenység finanszírozási bevételei</t>
  </si>
  <si>
    <t>Alaptevékenység finanszírozási kiadásai</t>
  </si>
  <si>
    <t>II</t>
  </si>
  <si>
    <t>Alaptevékenység  finanszírozási egyenlege</t>
  </si>
  <si>
    <t>A)</t>
  </si>
  <si>
    <t>Alaptevékenység maradványa (I.+II.)</t>
  </si>
  <si>
    <t>Vállakozási tevékenység költségvetési bevételei</t>
  </si>
  <si>
    <t>Vállakozási tevékenység költségvetési kiadásai</t>
  </si>
  <si>
    <t>Vállakozási tevékenység költségvetési egyenlege</t>
  </si>
  <si>
    <t>Vállakozási tevékenység finanszírozási bevételei</t>
  </si>
  <si>
    <t>Vállakozási tevékenység finanszírozási kiadásai</t>
  </si>
  <si>
    <t>IV</t>
  </si>
  <si>
    <t>Vállakozási tevékenység finanszírozási egyenlege</t>
  </si>
  <si>
    <t>B)</t>
  </si>
  <si>
    <t>Vállakozási tevékenység maradványa (III.+IV.)</t>
  </si>
  <si>
    <t>C)</t>
  </si>
  <si>
    <t>Összes maradvány (A +B)</t>
  </si>
  <si>
    <t>D)</t>
  </si>
  <si>
    <t>Alaptevékenység módosított maradványból kötelezettségvállalással terhelt maradványa</t>
  </si>
  <si>
    <t>E)</t>
  </si>
  <si>
    <t>Alaptevékenység szabad maradványa</t>
  </si>
  <si>
    <t>11.  melléklet a ……/(….)  önkormányzati rendelethez</t>
  </si>
  <si>
    <t>Eszközök</t>
  </si>
  <si>
    <t>Előző időszak</t>
  </si>
  <si>
    <t>Tárgyi időszak</t>
  </si>
  <si>
    <t>A/I</t>
  </si>
  <si>
    <t>Immateriális javak</t>
  </si>
  <si>
    <t>A/II</t>
  </si>
  <si>
    <t>Tárgyi eszközök</t>
  </si>
  <si>
    <t>A/III</t>
  </si>
  <si>
    <t>Befektetett pénzügyi eszközök</t>
  </si>
  <si>
    <t>A/IV</t>
  </si>
  <si>
    <t>Koncesszióba , vagyonkezelésbe adott eszközök</t>
  </si>
  <si>
    <t>NEMZETI VAGYONBA TARTOZÓ BEFEKTETETT ESZKÖZÖK</t>
  </si>
  <si>
    <t>B/1</t>
  </si>
  <si>
    <t>Készletek</t>
  </si>
  <si>
    <t>B/2</t>
  </si>
  <si>
    <t>Értékpapírok</t>
  </si>
  <si>
    <t>NEMZETI VAGYONBA TARTOZÓ FORGÓ ESZKÖZÖK</t>
  </si>
  <si>
    <t>C/II</t>
  </si>
  <si>
    <t>Pénztárak, csekkek</t>
  </si>
  <si>
    <t>C/III</t>
  </si>
  <si>
    <t>Forintszámlák</t>
  </si>
  <si>
    <t>C/V</t>
  </si>
  <si>
    <t>Devizaszámlák</t>
  </si>
  <si>
    <t>PÉNZESZKÖZÖK</t>
  </si>
  <si>
    <t>D/I</t>
  </si>
  <si>
    <t>Költségvetési évben esedékes követelések</t>
  </si>
  <si>
    <t>D/II</t>
  </si>
  <si>
    <t>Költségvetési évet követően esedékes követelések</t>
  </si>
  <si>
    <t>D/III</t>
  </si>
  <si>
    <t>Követelés jellegű sajátos elszámolások</t>
  </si>
  <si>
    <t>KÖVETELÉSEK</t>
  </si>
  <si>
    <t>EGYÉB SAJÁTOS ESZKÖZOLDALI ELSZÁMOLÁSOK</t>
  </si>
  <si>
    <t>F)</t>
  </si>
  <si>
    <t>AKTÍV IDŐBELI ELHATÁROLÁSOK</t>
  </si>
  <si>
    <t>ESZKÖZÖK ÖSSZESEN:</t>
  </si>
  <si>
    <t>Források</t>
  </si>
  <si>
    <t>G/1</t>
  </si>
  <si>
    <t>Nemzeti vagyon induláskori értéke</t>
  </si>
  <si>
    <t>G/2</t>
  </si>
  <si>
    <t>Nemzeti vagyon változásai</t>
  </si>
  <si>
    <t>G/3</t>
  </si>
  <si>
    <t>Egyéb eszközök induláskori értéke</t>
  </si>
  <si>
    <t>G/4</t>
  </si>
  <si>
    <t>Felhalmozott  eredmény</t>
  </si>
  <si>
    <t>G/5</t>
  </si>
  <si>
    <t>Eszközök értékhelyesbítésének  forrása</t>
  </si>
  <si>
    <t>G/6</t>
  </si>
  <si>
    <t>Mérlegszerinti eredmény</t>
  </si>
  <si>
    <t>G)</t>
  </si>
  <si>
    <t xml:space="preserve"> SAJÁT TŐKE</t>
  </si>
  <si>
    <t>H/I</t>
  </si>
  <si>
    <t>Költségvetési évben esedékes kötelezettségek</t>
  </si>
  <si>
    <t>H/II</t>
  </si>
  <si>
    <t>Költségvetési évet követően esedékes kötelezettségek</t>
  </si>
  <si>
    <t>H/III/1</t>
  </si>
  <si>
    <t>Kapott előlegek</t>
  </si>
  <si>
    <t>H/III/3.</t>
  </si>
  <si>
    <t>Más szervezetet megillető bevételek elszámolása</t>
  </si>
  <si>
    <t>H/III.</t>
  </si>
  <si>
    <t>Kötelezettség jellegű sajátos elszámolások</t>
  </si>
  <si>
    <t>H)</t>
  </si>
  <si>
    <t xml:space="preserve"> KÖTELEZETTSÉGEK</t>
  </si>
  <si>
    <t>I)</t>
  </si>
  <si>
    <t>EGYÉB SAJÁTOS FORRÁS OLDALI ELSZÁMOLÁSOK</t>
  </si>
  <si>
    <t>J)</t>
  </si>
  <si>
    <t xml:space="preserve">KINCSTÁRI SZÁMLAVEZETÉSSEL KAPCSOLATOS  ELSZÁMOLÁSOK </t>
  </si>
  <si>
    <t>K)</t>
  </si>
  <si>
    <t>PASSZÍV IDŐBELI ELHATÁROLÁSOK</t>
  </si>
  <si>
    <t>FORRÁSOK ÖSSZESEN:</t>
  </si>
  <si>
    <t>12. melléklet a …./…(…) önkormányzati rendelethez</t>
  </si>
  <si>
    <t>Tevékenység nettó eredményszemléletű bevétele</t>
  </si>
  <si>
    <t>Aktivált saját teljesítmények értéke</t>
  </si>
  <si>
    <t xml:space="preserve">Központi működési célú  támogatások eredményszemléletű bevételei </t>
  </si>
  <si>
    <t>Egyéb működési célú támogatások  eredményszemléletű bevétele</t>
  </si>
  <si>
    <t>Felhalmozási támogatások  eredményszemléletű bevételei</t>
  </si>
  <si>
    <t>Különféle  egyéb eredményszemléletű bevételek</t>
  </si>
  <si>
    <t>Egyéb eredményszemléletű bevételek</t>
  </si>
  <si>
    <t>Anyagköltség</t>
  </si>
  <si>
    <t>Igénybevett szolgáltatások értéke</t>
  </si>
  <si>
    <t>Eladott árúk beszerzési értéke</t>
  </si>
  <si>
    <t>Eladott (közvetített ) szolgáltatások értéke</t>
  </si>
  <si>
    <t>IV.</t>
  </si>
  <si>
    <t>Anyagjellegű ráfordítások</t>
  </si>
  <si>
    <t>Bérköltség</t>
  </si>
  <si>
    <t>Személyi jellegű egyéb kifizetések</t>
  </si>
  <si>
    <t>Bérjárulékok</t>
  </si>
  <si>
    <t xml:space="preserve">V. </t>
  </si>
  <si>
    <t>Személyi jellegű ráfordítások</t>
  </si>
  <si>
    <t>VI.</t>
  </si>
  <si>
    <t>Értékcsökkenési leírás</t>
  </si>
  <si>
    <t>VII.</t>
  </si>
  <si>
    <t>Egyéb ráfordítások</t>
  </si>
  <si>
    <t xml:space="preserve">A ) </t>
  </si>
  <si>
    <t>TEVÉKENYSÉGEK EREDMÉNYE (I.+II.+III.-IV.-V.-VI.-VII.)</t>
  </si>
  <si>
    <t>Kapott (járó) osztalék és részesedés</t>
  </si>
  <si>
    <t>Kapott kamatok</t>
  </si>
  <si>
    <t>Pénzügyi műveletek egyéb eredményszemléletű bevételei</t>
  </si>
  <si>
    <t>VIII.</t>
  </si>
  <si>
    <t>Pénzügyi műveletek eredményszemléletű  bevételei</t>
  </si>
  <si>
    <t>Fizetett kamatok</t>
  </si>
  <si>
    <t>Pénzügyi műveletek egyéb ráfordításai</t>
  </si>
  <si>
    <t xml:space="preserve">IX. </t>
  </si>
  <si>
    <t>Pénzügyi műveletek ráfordításai</t>
  </si>
  <si>
    <t xml:space="preserve">B) </t>
  </si>
  <si>
    <t>PÉNZÜGYI  MŰVELETEK EREDMÉNYE (VIII+IX)</t>
  </si>
  <si>
    <t>SZOKÁSOS EREDMÉNY{(A)+B)}</t>
  </si>
  <si>
    <t>Különféle rendkívüli eredményszemléletű bevételek</t>
  </si>
  <si>
    <t>X.</t>
  </si>
  <si>
    <t>Rendkívüli eredményszemléletű bevételek</t>
  </si>
  <si>
    <t xml:space="preserve">XI. </t>
  </si>
  <si>
    <t>Rendkívüli ráfordítások</t>
  </si>
  <si>
    <t>RENDKÍVÜLI EREDMÉNY</t>
  </si>
  <si>
    <t>E )</t>
  </si>
  <si>
    <t>MÉRLEG SZERINTI EREDMÉNY {C)+D)}</t>
  </si>
  <si>
    <t>13. melléklet  a …/…...(….) önkormányzati rendelethez</t>
  </si>
  <si>
    <t>a 4/2013. (I.11. ) kormányrendelet 30. §-a szerint</t>
  </si>
  <si>
    <t>Előző év</t>
  </si>
  <si>
    <t>Tárgyév</t>
  </si>
  <si>
    <t>1. Ingatlanok és kapcsolódó vagyonértékű jogok</t>
  </si>
  <si>
    <t>1.1. Forgalomképtelen</t>
  </si>
  <si>
    <t>1.2. Korlátozottan forgalomképes</t>
  </si>
  <si>
    <t>1.3. Üzleti vagyon</t>
  </si>
  <si>
    <t>2.Gépek ,berendezések, felszerelések, járművek</t>
  </si>
  <si>
    <t>2.1. Forgalomképtelen</t>
  </si>
  <si>
    <t>2.2. Korlátozottan forgalomképes</t>
  </si>
  <si>
    <t>2.3. Üzleti vagyon</t>
  </si>
  <si>
    <t>3. Tenyészállatok</t>
  </si>
  <si>
    <t>3.1. Forgalomképtelen</t>
  </si>
  <si>
    <t>3.2. Korlátozottan forgalomképes</t>
  </si>
  <si>
    <t>3.3. Üzleti vagyon</t>
  </si>
  <si>
    <t>4. Beruházások, felújítások</t>
  </si>
  <si>
    <t>4.1. Forgalomképtelen</t>
  </si>
  <si>
    <t>4.2. Korlátozottan forgalomképes</t>
  </si>
  <si>
    <t>4.3. Üzleti vagyon</t>
  </si>
  <si>
    <t>5. Tárgyi eszközök értékhelyesbítése</t>
  </si>
  <si>
    <t>1. Tartós részesedés</t>
  </si>
  <si>
    <t>2. Tarós hitelviszonyt megtestesítő értékpapír</t>
  </si>
  <si>
    <t>3. Befektetett pénzügyi eszközök  értékhelyesbítése</t>
  </si>
  <si>
    <t>Koncesszióba, vagyonkezelésbe adott eszközök</t>
  </si>
  <si>
    <t>NEMZETI VAGYONBA  TARTOZÓ FORGÓESZKÖZÖK</t>
  </si>
  <si>
    <t>Pénzeszközök</t>
  </si>
  <si>
    <t>Hosszú lejáratú betétek</t>
  </si>
  <si>
    <t xml:space="preserve">Pénztárak, csekkek, betétkönyvek </t>
  </si>
  <si>
    <t>Devizaszaámlák</t>
  </si>
  <si>
    <t>V.</t>
  </si>
  <si>
    <t>Idegen pénzeszközök</t>
  </si>
  <si>
    <t xml:space="preserve">Követelések </t>
  </si>
  <si>
    <t>Költségvetési évet követően esedékes  követelések</t>
  </si>
  <si>
    <t>Egyéb sajátos eszközoldali elszámolások</t>
  </si>
  <si>
    <t>Aktív időbeli elhatárolások</t>
  </si>
  <si>
    <t>SAJÁT TŐKE</t>
  </si>
  <si>
    <t>Nemzeti vagyon változása</t>
  </si>
  <si>
    <t>Egyéb eszközök induláskori értéke és változásai</t>
  </si>
  <si>
    <t>Felhalmozott eredmény</t>
  </si>
  <si>
    <t>Eszközök értékhelyesbítésének forrása</t>
  </si>
  <si>
    <t>Mérleg szerinti eredmény</t>
  </si>
  <si>
    <t>KÖTELEZETTSÉGEK</t>
  </si>
  <si>
    <t>III/1.</t>
  </si>
  <si>
    <t>III/2.</t>
  </si>
  <si>
    <t>Más szervezetet megillető bevételek elsz.</t>
  </si>
  <si>
    <t>Egyéb sajátos forrásoldali elszámolások</t>
  </si>
  <si>
    <t>Kincstári számlaveztéssel kapcsolatos elszámolások</t>
  </si>
  <si>
    <t>Passzív időbeli elhatárolások</t>
  </si>
  <si>
    <t>Könyviteli mérlegen kívüli tételek</t>
  </si>
  <si>
    <t>1. Könyviteli mérlegen kívüli eszközök</t>
  </si>
  <si>
    <t>"0"-ra leírt  eszközök állománya</t>
  </si>
  <si>
    <t>01-02. számlacsoportban nyilvántartott eszközök (ÁHT-n belüli vagyonkezelésbe adott, üzemeltetésre átvett stb.)</t>
  </si>
  <si>
    <t>A Nemzeti vagyonról szóló 2011. évi  CXCVI tv. 1.§ (2) bekezdés  g) és h) pontja szerinti tételek</t>
  </si>
  <si>
    <t>- képzőművészeti alkotások</t>
  </si>
  <si>
    <t>- régészeti leletek</t>
  </si>
  <si>
    <t>- kép- és hangarchívum</t>
  </si>
  <si>
    <t>- gyűjtemények</t>
  </si>
  <si>
    <t>- egyéb kulturális javak</t>
  </si>
  <si>
    <t>2. Könyvviteli mérlegen kívüli függő kötelezettségek</t>
  </si>
  <si>
    <t>Kezesség-illetve garancia vállalással  kapcsolatos  függő kötelezettségek</t>
  </si>
  <si>
    <t>Váltókezesi függő kötelezettségek</t>
  </si>
  <si>
    <t>Le nem zárt peres ügyekkel kapcsolatos  függő kötelezettségek</t>
  </si>
  <si>
    <t>Opciós ügyletekkel kapcsolatos függő kötelezettségek</t>
  </si>
  <si>
    <t>14. melléklet  a …/…...(….) önkormányzati rendelethez</t>
  </si>
  <si>
    <t>Becsehely Község Önkormányzatának részesedései  gazdálkodó szervezetekben</t>
  </si>
  <si>
    <t xml:space="preserve">Megnevezés </t>
  </si>
  <si>
    <t>Tulajdoni részesedés</t>
  </si>
  <si>
    <t>Működésből származő kötelezettség</t>
  </si>
  <si>
    <t xml:space="preserve">KÖZVILL ZRt. részvény  </t>
  </si>
  <si>
    <t>nincs</t>
  </si>
  <si>
    <t xml:space="preserve">Délzalai Víz- és Csatornamű Zrt. </t>
  </si>
  <si>
    <t>BEKCSÉNY Kft.</t>
  </si>
  <si>
    <t>21. melléklet a ……./(…) önkormányzati rendelethez</t>
  </si>
  <si>
    <t>20. melléklet a ……./(…) önkormányzati rendelethez</t>
  </si>
  <si>
    <t>17. melléklet az …….../…... (….) önkormányzati rendelethez</t>
  </si>
  <si>
    <t>16. melléklet a …/…(…) önkormányzati rendelethez</t>
  </si>
  <si>
    <t>15. melléklet a ……./(…) önkormányzati rendelethez</t>
  </si>
  <si>
    <t>Becsehely Község Önkormányzata 2020. évi teljesített</t>
  </si>
  <si>
    <t>Becsehely Község Önkormányzata 2020. évi teljesített közvetett támogatásai</t>
  </si>
  <si>
    <t>2020. évben</t>
  </si>
  <si>
    <t>Becsehely Község Önkormányzata 2020. évi konszolidált vagyonkimutatása</t>
  </si>
  <si>
    <t>Becsehely Község Önkormányzata 2020. évi konszolidált eredménykimutatása</t>
  </si>
  <si>
    <t xml:space="preserve">2020. évi konszolidált egyszerűsített mérlege </t>
  </si>
  <si>
    <t>Becsehely Község Önkormányzata és Intézményei 2020. évi maradványkimutatása</t>
  </si>
  <si>
    <t>Pénzkészlet 2020. január 1-én</t>
  </si>
  <si>
    <t>2020. év</t>
  </si>
  <si>
    <t>Becsehely Község Önkormányzata 2020. évi normatíva elszámolása</t>
  </si>
  <si>
    <t>Kiegészítő támogatás</t>
  </si>
  <si>
    <t>Egyes szociális és gyeremekjóléti  feladatok támogatása (gyermekjóléti szolgálat)</t>
  </si>
  <si>
    <t>Egyes szociális és gyeremekjóléti  feladatok támogatása (szoc.étkeztetés, házi segítségnyújtás)</t>
  </si>
  <si>
    <t>Táncsics, Vihar, Dózsa és Iskola utcai torkolatok szélesítése, Vihar utca aszfaltozása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</si>
</sst>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\ _F_t_-;\-* #,##0.00\ _F_t_-;_-* &quot;-&quot;??\ _F_t_-;_-@_-"/>
    <numFmt numFmtId="166" formatCode="_-* #,##0\ _F_t_-;\-* #,##0\ _F_t_-;_-* &quot;-&quot;??\ _F_t_-;_-@_-"/>
    <numFmt numFmtId="167" formatCode="#,##0\ _F_t"/>
    <numFmt numFmtId="176" formatCode="#,##0.0"/>
    <numFmt numFmtId="178" formatCode="#,##0_ ;\-#,##0\ "/>
  </numFmts>
  <fonts count="57" x14ac:knownFonts="1">
    <font>
      <sz val="10"/>
      <name val="Arial"/>
      <charset val="238"/>
    </font>
    <font>
      <sz val="10"/>
      <name val="Arial"/>
      <charset val="238"/>
    </font>
    <font>
      <sz val="10"/>
      <name val="MS Sans Serif"/>
      <family val="2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Bookman Old Style"/>
      <family val="1"/>
      <charset val="238"/>
    </font>
    <font>
      <b/>
      <sz val="16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9"/>
      <name val="Bookman Old Style"/>
      <family val="1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0"/>
      <color indexed="10"/>
      <name val="Bookman Old Style"/>
      <family val="1"/>
      <charset val="238"/>
    </font>
    <font>
      <u/>
      <sz val="10"/>
      <name val="Bookman Old Style"/>
      <family val="1"/>
      <charset val="238"/>
    </font>
    <font>
      <b/>
      <i/>
      <sz val="12"/>
      <name val="Bookman Old Style"/>
      <family val="1"/>
      <charset val="238"/>
    </font>
    <font>
      <b/>
      <i/>
      <sz val="10"/>
      <name val="Bookman Old Style"/>
      <family val="1"/>
      <charset val="238"/>
    </font>
    <font>
      <b/>
      <sz val="14"/>
      <name val="Bookman Old Style"/>
      <family val="1"/>
      <charset val="238"/>
    </font>
    <font>
      <b/>
      <sz val="10"/>
      <color indexed="10"/>
      <name val="Bookman Old Style"/>
      <family val="1"/>
      <charset val="238"/>
    </font>
    <font>
      <b/>
      <sz val="12"/>
      <color indexed="10"/>
      <name val="Bookman Old Style"/>
      <family val="1"/>
      <charset val="238"/>
    </font>
    <font>
      <b/>
      <sz val="18"/>
      <name val="Bookman Old Style"/>
      <family val="1"/>
      <charset val="238"/>
    </font>
    <font>
      <b/>
      <u/>
      <sz val="12"/>
      <name val="Bookman Old Style"/>
      <family val="1"/>
      <charset val="238"/>
    </font>
    <font>
      <sz val="8"/>
      <name val="Calibri"/>
      <family val="2"/>
      <charset val="238"/>
    </font>
    <font>
      <b/>
      <sz val="14"/>
      <color indexed="8"/>
      <name val="Bookman Old Style"/>
      <family val="1"/>
      <charset val="238"/>
    </font>
    <font>
      <sz val="10"/>
      <color indexed="8"/>
      <name val="Bookman Old Style"/>
      <family val="1"/>
      <charset val="238"/>
    </font>
    <font>
      <b/>
      <u/>
      <sz val="12"/>
      <color indexed="8"/>
      <name val="Bookman Old Style"/>
      <family val="1"/>
      <charset val="238"/>
    </font>
    <font>
      <i/>
      <sz val="10"/>
      <color indexed="8"/>
      <name val="Bookman Old Style"/>
      <family val="1"/>
      <charset val="238"/>
    </font>
    <font>
      <b/>
      <i/>
      <sz val="10"/>
      <color indexed="8"/>
      <name val="Bookman Old Style"/>
      <family val="1"/>
      <charset val="238"/>
    </font>
    <font>
      <b/>
      <sz val="10"/>
      <color indexed="8"/>
      <name val="Bookman Old Style"/>
      <family val="1"/>
      <charset val="238"/>
    </font>
    <font>
      <i/>
      <sz val="11"/>
      <color indexed="8"/>
      <name val="Calibri"/>
      <family val="2"/>
      <charset val="238"/>
    </font>
    <font>
      <b/>
      <u/>
      <sz val="10"/>
      <name val="Bookman Old Style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name val="Arial Narrow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4"/>
      <name val="Bookman Old Style"/>
      <family val="1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Bookman Old Style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"/>
      <name val="Bookman Old Style"/>
      <family val="1"/>
      <charset val="238"/>
    </font>
    <font>
      <i/>
      <sz val="9"/>
      <name val="Bookman Old Style"/>
      <family val="1"/>
      <charset val="238"/>
    </font>
    <font>
      <i/>
      <sz val="8"/>
      <name val="Bookman Old Style"/>
      <family val="1"/>
      <charset val="238"/>
    </font>
    <font>
      <i/>
      <sz val="10"/>
      <name val="Bookman Old Style"/>
      <family val="1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0"/>
      <name val="Book Antiqua"/>
      <family val="1"/>
      <charset val="238"/>
    </font>
    <font>
      <sz val="10"/>
      <name val="MS Sans Serif"/>
      <family val="2"/>
      <charset val="238"/>
    </font>
    <font>
      <b/>
      <sz val="12"/>
      <name val="Book Antiqua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1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2" fillId="0" borderId="0"/>
    <xf numFmtId="0" fontId="52" fillId="0" borderId="0"/>
    <xf numFmtId="0" fontId="50" fillId="0" borderId="0"/>
    <xf numFmtId="0" fontId="50" fillId="0" borderId="0"/>
    <xf numFmtId="0" fontId="1" fillId="0" borderId="0"/>
    <xf numFmtId="0" fontId="7" fillId="0" borderId="0"/>
    <xf numFmtId="0" fontId="50" fillId="0" borderId="0"/>
    <xf numFmtId="0" fontId="1" fillId="0" borderId="0"/>
    <xf numFmtId="0" fontId="3" fillId="0" borderId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</cellStyleXfs>
  <cellXfs count="1156">
    <xf numFmtId="0" fontId="0" fillId="0" borderId="0" xfId="0"/>
    <xf numFmtId="166" fontId="0" fillId="0" borderId="0" xfId="0" applyNumberForma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4" fillId="0" borderId="1" xfId="16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4" fillId="0" borderId="1" xfId="16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2" xfId="16" applyFont="1" applyBorder="1" applyAlignment="1">
      <alignment vertical="center" wrapText="1"/>
    </xf>
    <xf numFmtId="0" fontId="16" fillId="0" borderId="0" xfId="0" applyFont="1"/>
    <xf numFmtId="166" fontId="10" fillId="0" borderId="0" xfId="0" applyNumberFormat="1" applyFont="1" applyBorder="1"/>
    <xf numFmtId="0" fontId="10" fillId="0" borderId="0" xfId="0" applyFont="1" applyBorder="1" applyAlignment="1"/>
    <xf numFmtId="166" fontId="10" fillId="0" borderId="0" xfId="1" applyNumberFormat="1" applyFont="1" applyBorder="1"/>
    <xf numFmtId="166" fontId="12" fillId="0" borderId="0" xfId="0" applyNumberFormat="1" applyFont="1" applyBorder="1"/>
    <xf numFmtId="0" fontId="17" fillId="0" borderId="0" xfId="0" applyFont="1" applyBorder="1"/>
    <xf numFmtId="0" fontId="13" fillId="0" borderId="0" xfId="0" applyFont="1" applyBorder="1"/>
    <xf numFmtId="166" fontId="16" fillId="0" borderId="0" xfId="1" applyNumberFormat="1" applyFont="1"/>
    <xf numFmtId="166" fontId="10" fillId="0" borderId="0" xfId="0" applyNumberFormat="1" applyFont="1"/>
    <xf numFmtId="166" fontId="10" fillId="0" borderId="0" xfId="1" applyNumberFormat="1" applyFont="1"/>
    <xf numFmtId="0" fontId="14" fillId="0" borderId="3" xfId="16" applyFont="1" applyBorder="1" applyAlignment="1">
      <alignment vertical="center" wrapText="1"/>
    </xf>
    <xf numFmtId="0" fontId="14" fillId="0" borderId="3" xfId="16" applyFont="1" applyFill="1" applyBorder="1" applyAlignment="1">
      <alignment vertical="center" wrapText="1"/>
    </xf>
    <xf numFmtId="0" fontId="15" fillId="0" borderId="4" xfId="16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6" fontId="22" fillId="0" borderId="0" xfId="1" applyNumberFormat="1" applyFont="1" applyBorder="1" applyAlignment="1">
      <alignment vertical="center"/>
    </xf>
    <xf numFmtId="166" fontId="16" fillId="0" borderId="0" xfId="0" applyNumberFormat="1" applyFont="1"/>
    <xf numFmtId="0" fontId="14" fillId="0" borderId="0" xfId="16" applyFont="1" applyFill="1" applyAlignment="1">
      <alignment horizontal="right" vertical="center"/>
    </xf>
    <xf numFmtId="0" fontId="10" fillId="0" borderId="0" xfId="0" applyFont="1" applyFill="1"/>
    <xf numFmtId="0" fontId="10" fillId="0" borderId="6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6" fillId="0" borderId="0" xfId="0" applyNumberFormat="1" applyFont="1"/>
    <xf numFmtId="0" fontId="21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14" fillId="0" borderId="0" xfId="16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20" applyFont="1" applyFill="1" applyBorder="1" applyAlignment="1">
      <alignment horizontal="center" vertical="center"/>
    </xf>
    <xf numFmtId="3" fontId="14" fillId="0" borderId="5" xfId="1" applyNumberFormat="1" applyFont="1" applyBorder="1" applyAlignment="1">
      <alignment horizontal="right" vertical="center"/>
    </xf>
    <xf numFmtId="3" fontId="15" fillId="0" borderId="5" xfId="1" applyNumberFormat="1" applyFont="1" applyBorder="1" applyAlignment="1">
      <alignment horizontal="right" vertical="center"/>
    </xf>
    <xf numFmtId="0" fontId="14" fillId="0" borderId="5" xfId="16" applyFont="1" applyBorder="1" applyAlignment="1">
      <alignment vertical="center" wrapText="1"/>
    </xf>
    <xf numFmtId="0" fontId="15" fillId="0" borderId="5" xfId="16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/>
    <xf numFmtId="3" fontId="12" fillId="0" borderId="5" xfId="0" applyNumberFormat="1" applyFont="1" applyBorder="1" applyAlignment="1">
      <alignment vertical="center"/>
    </xf>
    <xf numFmtId="3" fontId="10" fillId="0" borderId="5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3" fontId="27" fillId="0" borderId="5" xfId="1" applyNumberFormat="1" applyFont="1" applyFill="1" applyBorder="1" applyAlignment="1">
      <alignment horizontal="right" vertical="center"/>
    </xf>
    <xf numFmtId="3" fontId="31" fillId="8" borderId="5" xfId="1" applyNumberFormat="1" applyFont="1" applyFill="1" applyBorder="1" applyAlignment="1">
      <alignment horizontal="right" vertical="center"/>
    </xf>
    <xf numFmtId="3" fontId="27" fillId="0" borderId="12" xfId="1" applyNumberFormat="1" applyFont="1" applyFill="1" applyBorder="1" applyAlignment="1">
      <alignment horizontal="right" vertical="center"/>
    </xf>
    <xf numFmtId="3" fontId="27" fillId="0" borderId="5" xfId="1" applyNumberFormat="1" applyFont="1" applyBorder="1" applyAlignment="1">
      <alignment horizontal="right" vertical="center"/>
    </xf>
    <xf numFmtId="3" fontId="31" fillId="8" borderId="12" xfId="1" applyNumberFormat="1" applyFont="1" applyFill="1" applyBorder="1" applyAlignment="1">
      <alignment horizontal="right" vertical="center"/>
    </xf>
    <xf numFmtId="3" fontId="27" fillId="0" borderId="12" xfId="1" applyNumberFormat="1" applyFont="1" applyBorder="1" applyAlignment="1">
      <alignment horizontal="right" vertical="center"/>
    </xf>
    <xf numFmtId="3" fontId="29" fillId="0" borderId="5" xfId="1" applyNumberFormat="1" applyFont="1" applyBorder="1" applyAlignment="1">
      <alignment horizontal="right" vertical="center"/>
    </xf>
    <xf numFmtId="3" fontId="31" fillId="0" borderId="5" xfId="1" applyNumberFormat="1" applyFont="1" applyBorder="1" applyAlignment="1">
      <alignment horizontal="right" vertical="center"/>
    </xf>
    <xf numFmtId="3" fontId="31" fillId="0" borderId="5" xfId="21" applyNumberFormat="1" applyFont="1" applyBorder="1" applyAlignment="1">
      <alignment horizontal="right" vertical="center"/>
    </xf>
    <xf numFmtId="3" fontId="27" fillId="0" borderId="0" xfId="21" applyNumberFormat="1" applyFont="1" applyAlignment="1">
      <alignment horizontal="right" vertical="center"/>
    </xf>
    <xf numFmtId="0" fontId="31" fillId="8" borderId="13" xfId="21" applyFont="1" applyFill="1" applyBorder="1" applyAlignment="1">
      <alignment horizontal="left" vertical="center"/>
    </xf>
    <xf numFmtId="0" fontId="31" fillId="0" borderId="5" xfId="2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166" fontId="12" fillId="0" borderId="0" xfId="1" applyNumberFormat="1" applyFont="1" applyBorder="1" applyAlignment="1">
      <alignment vertical="center"/>
    </xf>
    <xf numFmtId="3" fontId="29" fillId="0" borderId="5" xfId="1" applyNumberFormat="1" applyFont="1" applyFill="1" applyBorder="1" applyAlignment="1">
      <alignment horizontal="right" vertical="center"/>
    </xf>
    <xf numFmtId="0" fontId="31" fillId="0" borderId="14" xfId="21" applyFont="1" applyFill="1" applyBorder="1" applyAlignment="1">
      <alignment horizontal="center" vertical="center"/>
    </xf>
    <xf numFmtId="3" fontId="31" fillId="8" borderId="5" xfId="1" applyNumberFormat="1" applyFont="1" applyFill="1" applyBorder="1" applyAlignment="1">
      <alignment vertical="center"/>
    </xf>
    <xf numFmtId="3" fontId="27" fillId="8" borderId="12" xfId="1" applyNumberFormat="1" applyFont="1" applyFill="1" applyBorder="1" applyAlignment="1">
      <alignment vertical="center"/>
    </xf>
    <xf numFmtId="3" fontId="27" fillId="0" borderId="5" xfId="1" applyNumberFormat="1" applyFont="1" applyFill="1" applyBorder="1" applyAlignment="1">
      <alignment vertical="center"/>
    </xf>
    <xf numFmtId="3" fontId="27" fillId="0" borderId="12" xfId="1" applyNumberFormat="1" applyFont="1" applyFill="1" applyBorder="1" applyAlignment="1">
      <alignment vertical="center"/>
    </xf>
    <xf numFmtId="3" fontId="27" fillId="8" borderId="5" xfId="1" applyNumberFormat="1" applyFont="1" applyFill="1" applyBorder="1" applyAlignment="1">
      <alignment vertical="center"/>
    </xf>
    <xf numFmtId="3" fontId="31" fillId="8" borderId="12" xfId="1" applyNumberFormat="1" applyFont="1" applyFill="1" applyBorder="1" applyAlignment="1">
      <alignment vertical="center"/>
    </xf>
    <xf numFmtId="3" fontId="27" fillId="0" borderId="5" xfId="1" applyNumberFormat="1" applyFont="1" applyBorder="1" applyAlignment="1">
      <alignment vertical="center"/>
    </xf>
    <xf numFmtId="3" fontId="27" fillId="0" borderId="12" xfId="1" applyNumberFormat="1" applyFont="1" applyBorder="1" applyAlignment="1">
      <alignment vertical="center"/>
    </xf>
    <xf numFmtId="3" fontId="29" fillId="0" borderId="5" xfId="1" applyNumberFormat="1" applyFont="1" applyBorder="1" applyAlignment="1">
      <alignment vertical="center"/>
    </xf>
    <xf numFmtId="3" fontId="31" fillId="8" borderId="15" xfId="1" applyNumberFormat="1" applyFont="1" applyFill="1" applyBorder="1" applyAlignment="1">
      <alignment vertical="center"/>
    </xf>
    <xf numFmtId="3" fontId="31" fillId="0" borderId="5" xfId="1" applyNumberFormat="1" applyFont="1" applyBorder="1" applyAlignment="1">
      <alignment vertical="center"/>
    </xf>
    <xf numFmtId="3" fontId="27" fillId="0" borderId="0" xfId="21" applyNumberFormat="1" applyFont="1" applyAlignment="1">
      <alignment vertical="center"/>
    </xf>
    <xf numFmtId="3" fontId="27" fillId="0" borderId="0" xfId="1" applyNumberFormat="1" applyFont="1" applyBorder="1" applyAlignment="1">
      <alignment vertical="center"/>
    </xf>
    <xf numFmtId="0" fontId="26" fillId="0" borderId="0" xfId="21" applyFont="1" applyAlignment="1">
      <alignment vertical="center"/>
    </xf>
    <xf numFmtId="0" fontId="27" fillId="0" borderId="0" xfId="21" applyFont="1" applyAlignment="1">
      <alignment horizontal="center" vertical="center"/>
    </xf>
    <xf numFmtId="0" fontId="27" fillId="0" borderId="0" xfId="21" applyFont="1" applyAlignment="1">
      <alignment vertical="center"/>
    </xf>
    <xf numFmtId="0" fontId="7" fillId="0" borderId="0" xfId="21" applyAlignment="1">
      <alignment vertical="center"/>
    </xf>
    <xf numFmtId="0" fontId="28" fillId="0" borderId="0" xfId="21" applyFont="1" applyAlignment="1">
      <alignment vertical="center"/>
    </xf>
    <xf numFmtId="0" fontId="29" fillId="0" borderId="0" xfId="21" applyFont="1" applyAlignment="1">
      <alignment horizontal="center" vertical="center"/>
    </xf>
    <xf numFmtId="0" fontId="27" fillId="0" borderId="13" xfId="21" applyFont="1" applyFill="1" applyBorder="1" applyAlignment="1">
      <alignment vertical="center"/>
    </xf>
    <xf numFmtId="0" fontId="27" fillId="0" borderId="5" xfId="21" applyFont="1" applyFill="1" applyBorder="1" applyAlignment="1">
      <alignment horizontal="center" vertical="center"/>
    </xf>
    <xf numFmtId="0" fontId="31" fillId="0" borderId="16" xfId="21" applyFont="1" applyFill="1" applyBorder="1" applyAlignment="1">
      <alignment horizontal="center" vertical="center"/>
    </xf>
    <xf numFmtId="0" fontId="27" fillId="0" borderId="17" xfId="21" applyFont="1" applyFill="1" applyBorder="1" applyAlignment="1">
      <alignment vertical="center"/>
    </xf>
    <xf numFmtId="0" fontId="31" fillId="8" borderId="5" xfId="21" applyFont="1" applyFill="1" applyBorder="1" applyAlignment="1">
      <alignment horizontal="center" vertical="center"/>
    </xf>
    <xf numFmtId="0" fontId="31" fillId="8" borderId="5" xfId="21" applyFont="1" applyFill="1" applyBorder="1" applyAlignment="1">
      <alignment vertical="center"/>
    </xf>
    <xf numFmtId="0" fontId="27" fillId="0" borderId="5" xfId="21" applyFont="1" applyFill="1" applyBorder="1" applyAlignment="1">
      <alignment horizontal="left" vertical="center"/>
    </xf>
    <xf numFmtId="0" fontId="31" fillId="8" borderId="5" xfId="21" applyFont="1" applyFill="1" applyBorder="1" applyAlignment="1">
      <alignment horizontal="left" vertical="center"/>
    </xf>
    <xf numFmtId="0" fontId="8" fillId="0" borderId="0" xfId="21" applyFont="1" applyAlignment="1">
      <alignment vertical="center"/>
    </xf>
    <xf numFmtId="0" fontId="31" fillId="0" borderId="0" xfId="21" applyFont="1" applyAlignment="1">
      <alignment horizontal="center" vertical="center"/>
    </xf>
    <xf numFmtId="0" fontId="31" fillId="0" borderId="0" xfId="21" applyFont="1" applyAlignment="1">
      <alignment vertical="center"/>
    </xf>
    <xf numFmtId="49" fontId="29" fillId="0" borderId="0" xfId="21" applyNumberFormat="1" applyFont="1" applyAlignment="1">
      <alignment horizontal="center" vertical="center"/>
    </xf>
    <xf numFmtId="0" fontId="27" fillId="0" borderId="13" xfId="21" applyFont="1" applyBorder="1" applyAlignment="1">
      <alignment vertical="center"/>
    </xf>
    <xf numFmtId="0" fontId="27" fillId="0" borderId="5" xfId="21" applyFont="1" applyBorder="1" applyAlignment="1">
      <alignment horizontal="center" vertical="center"/>
    </xf>
    <xf numFmtId="0" fontId="27" fillId="0" borderId="5" xfId="21" applyFont="1" applyBorder="1" applyAlignment="1">
      <alignment vertical="center"/>
    </xf>
    <xf numFmtId="0" fontId="27" fillId="0" borderId="5" xfId="21" applyFont="1" applyFill="1" applyBorder="1" applyAlignment="1">
      <alignment vertical="center"/>
    </xf>
    <xf numFmtId="0" fontId="27" fillId="0" borderId="0" xfId="21" applyFont="1" applyFill="1" applyAlignment="1">
      <alignment vertical="center"/>
    </xf>
    <xf numFmtId="0" fontId="29" fillId="0" borderId="5" xfId="21" applyFont="1" applyBorder="1" applyAlignment="1">
      <alignment horizontal="center" vertical="center"/>
    </xf>
    <xf numFmtId="0" fontId="29" fillId="0" borderId="5" xfId="21" applyFont="1" applyBorder="1" applyAlignment="1">
      <alignment horizontal="left" vertical="center"/>
    </xf>
    <xf numFmtId="0" fontId="27" fillId="0" borderId="5" xfId="21" applyFont="1" applyBorder="1" applyAlignment="1">
      <alignment horizontal="left" vertical="center"/>
    </xf>
    <xf numFmtId="0" fontId="7" fillId="0" borderId="0" xfId="21" applyFont="1" applyFill="1" applyAlignment="1">
      <alignment vertical="center"/>
    </xf>
    <xf numFmtId="0" fontId="31" fillId="8" borderId="15" xfId="21" applyFont="1" applyFill="1" applyBorder="1" applyAlignment="1">
      <alignment horizontal="center" vertical="center"/>
    </xf>
    <xf numFmtId="0" fontId="31" fillId="8" borderId="15" xfId="21" applyFont="1" applyFill="1" applyBorder="1" applyAlignment="1">
      <alignment horizontal="left" vertical="center"/>
    </xf>
    <xf numFmtId="0" fontId="31" fillId="0" borderId="5" xfId="21" applyFont="1" applyBorder="1" applyAlignment="1">
      <alignment vertical="center"/>
    </xf>
    <xf numFmtId="0" fontId="31" fillId="8" borderId="18" xfId="21" applyFont="1" applyFill="1" applyBorder="1" applyAlignment="1">
      <alignment horizontal="center" vertical="center"/>
    </xf>
    <xf numFmtId="0" fontId="29" fillId="0" borderId="0" xfId="21" applyFont="1" applyAlignment="1">
      <alignment vertical="center"/>
    </xf>
    <xf numFmtId="0" fontId="31" fillId="0" borderId="0" xfId="21" applyFont="1" applyFill="1" applyAlignment="1">
      <alignment vertical="center"/>
    </xf>
    <xf numFmtId="49" fontId="29" fillId="0" borderId="0" xfId="21" applyNumberFormat="1" applyFont="1" applyAlignment="1">
      <alignment vertical="center"/>
    </xf>
    <xf numFmtId="3" fontId="31" fillId="0" borderId="12" xfId="1" applyNumberFormat="1" applyFont="1" applyBorder="1" applyAlignment="1">
      <alignment vertical="center"/>
    </xf>
    <xf numFmtId="0" fontId="31" fillId="0" borderId="19" xfId="21" applyFont="1" applyFill="1" applyBorder="1" applyAlignment="1">
      <alignment horizontal="center" vertical="center"/>
    </xf>
    <xf numFmtId="166" fontId="31" fillId="0" borderId="0" xfId="21" applyNumberFormat="1" applyFont="1" applyFill="1" applyAlignment="1">
      <alignment vertical="center"/>
    </xf>
    <xf numFmtId="0" fontId="31" fillId="9" borderId="5" xfId="21" applyFont="1" applyFill="1" applyBorder="1" applyAlignment="1">
      <alignment horizontal="center" vertical="center"/>
    </xf>
    <xf numFmtId="0" fontId="31" fillId="9" borderId="0" xfId="21" applyFont="1" applyFill="1" applyAlignment="1">
      <alignment vertical="center"/>
    </xf>
    <xf numFmtId="166" fontId="27" fillId="0" borderId="0" xfId="21" applyNumberFormat="1" applyFont="1" applyAlignment="1">
      <alignment vertical="center"/>
    </xf>
    <xf numFmtId="3" fontId="29" fillId="0" borderId="12" xfId="1" applyNumberFormat="1" applyFont="1" applyBorder="1" applyAlignment="1">
      <alignment vertical="center"/>
    </xf>
    <xf numFmtId="0" fontId="32" fillId="0" borderId="0" xfId="21" applyFont="1" applyAlignment="1">
      <alignment vertical="center"/>
    </xf>
    <xf numFmtId="0" fontId="10" fillId="0" borderId="5" xfId="15" applyFont="1" applyBorder="1" applyAlignment="1">
      <alignment horizontal="left" vertical="center" wrapText="1"/>
    </xf>
    <xf numFmtId="0" fontId="10" fillId="0" borderId="12" xfId="15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5" xfId="15" applyFont="1" applyBorder="1" applyAlignment="1">
      <alignment horizontal="right" vertical="center" wrapText="1"/>
    </xf>
    <xf numFmtId="3" fontId="10" fillId="0" borderId="5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3" fontId="10" fillId="0" borderId="20" xfId="0" applyNumberFormat="1" applyFont="1" applyBorder="1" applyAlignment="1">
      <alignment horizontal="right" vertical="center"/>
    </xf>
    <xf numFmtId="0" fontId="12" fillId="0" borderId="21" xfId="15" applyFont="1" applyBorder="1" applyAlignment="1">
      <alignment horizontal="right" vertical="center" wrapText="1"/>
    </xf>
    <xf numFmtId="0" fontId="12" fillId="0" borderId="21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3" fontId="10" fillId="0" borderId="23" xfId="0" applyNumberFormat="1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0" fillId="0" borderId="15" xfId="15" applyFont="1" applyBorder="1" applyAlignment="1">
      <alignment horizontal="left" vertical="center" wrapText="1"/>
    </xf>
    <xf numFmtId="0" fontId="12" fillId="0" borderId="24" xfId="15" applyFont="1" applyBorder="1" applyAlignment="1">
      <alignment horizontal="right" vertical="center" wrapText="1"/>
    </xf>
    <xf numFmtId="3" fontId="12" fillId="0" borderId="25" xfId="0" applyNumberFormat="1" applyFont="1" applyBorder="1" applyAlignment="1">
      <alignment horizontal="right" vertical="center"/>
    </xf>
    <xf numFmtId="0" fontId="19" fillId="0" borderId="15" xfId="15" applyFont="1" applyBorder="1" applyAlignment="1">
      <alignment horizontal="right" vertical="center" wrapText="1"/>
    </xf>
    <xf numFmtId="3" fontId="19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12" fillId="0" borderId="28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3" fontId="10" fillId="0" borderId="14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13" xfId="0" applyNumberFormat="1" applyFont="1" applyBorder="1" applyAlignment="1">
      <alignment horizontal="right" vertical="center"/>
    </xf>
    <xf numFmtId="3" fontId="12" fillId="0" borderId="29" xfId="0" applyNumberFormat="1" applyFont="1" applyBorder="1" applyAlignment="1">
      <alignment horizontal="right" vertical="center"/>
    </xf>
    <xf numFmtId="3" fontId="19" fillId="0" borderId="31" xfId="0" applyNumberFormat="1" applyFont="1" applyBorder="1" applyAlignment="1">
      <alignment horizontal="right" vertical="center"/>
    </xf>
    <xf numFmtId="3" fontId="19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3" fontId="27" fillId="0" borderId="0" xfId="1" applyNumberFormat="1" applyFont="1" applyFill="1" applyBorder="1" applyAlignment="1">
      <alignment horizontal="right" vertical="center"/>
    </xf>
    <xf numFmtId="3" fontId="31" fillId="0" borderId="0" xfId="1" applyNumberFormat="1" applyFont="1" applyFill="1" applyBorder="1" applyAlignment="1">
      <alignment horizontal="right" vertical="center"/>
    </xf>
    <xf numFmtId="3" fontId="16" fillId="0" borderId="5" xfId="1" applyNumberFormat="1" applyFont="1" applyBorder="1" applyAlignment="1">
      <alignment horizontal="right" vertical="center"/>
    </xf>
    <xf numFmtId="3" fontId="10" fillId="0" borderId="14" xfId="1" applyNumberFormat="1" applyFont="1" applyBorder="1" applyAlignment="1">
      <alignment horizontal="right" vertical="center"/>
    </xf>
    <xf numFmtId="3" fontId="10" fillId="0" borderId="5" xfId="1" applyNumberFormat="1" applyFont="1" applyBorder="1" applyAlignment="1">
      <alignment horizontal="right" vertical="center"/>
    </xf>
    <xf numFmtId="3" fontId="10" fillId="0" borderId="19" xfId="1" applyNumberFormat="1" applyFont="1" applyBorder="1" applyAlignment="1">
      <alignment horizontal="right" vertical="center"/>
    </xf>
    <xf numFmtId="3" fontId="10" fillId="0" borderId="32" xfId="1" applyNumberFormat="1" applyFont="1" applyBorder="1" applyAlignment="1">
      <alignment horizontal="right" vertical="center"/>
    </xf>
    <xf numFmtId="3" fontId="10" fillId="0" borderId="33" xfId="1" applyNumberFormat="1" applyFont="1" applyBorder="1" applyAlignment="1">
      <alignment horizontal="right" vertical="center"/>
    </xf>
    <xf numFmtId="3" fontId="12" fillId="0" borderId="11" xfId="1" applyNumberFormat="1" applyFont="1" applyBorder="1" applyAlignment="1">
      <alignment horizontal="right" vertical="center"/>
    </xf>
    <xf numFmtId="3" fontId="12" fillId="0" borderId="21" xfId="1" applyNumberFormat="1" applyFont="1" applyBorder="1" applyAlignment="1">
      <alignment horizontal="right" vertical="center"/>
    </xf>
    <xf numFmtId="3" fontId="12" fillId="0" borderId="34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3" fontId="12" fillId="0" borderId="5" xfId="1" applyNumberFormat="1" applyFont="1" applyBorder="1" applyAlignment="1">
      <alignment horizontal="right" vertical="center"/>
    </xf>
    <xf numFmtId="166" fontId="10" fillId="0" borderId="0" xfId="1" applyNumberFormat="1" applyFont="1" applyAlignment="1">
      <alignment vertical="center"/>
    </xf>
    <xf numFmtId="0" fontId="14" fillId="0" borderId="5" xfId="20" applyFont="1" applyBorder="1" applyAlignment="1">
      <alignment horizontal="center" vertical="center" textRotation="90" wrapText="1"/>
    </xf>
    <xf numFmtId="0" fontId="15" fillId="0" borderId="5" xfId="20" applyFont="1" applyBorder="1" applyAlignment="1">
      <alignment horizontal="center" vertical="center" textRotation="90" wrapText="1"/>
    </xf>
    <xf numFmtId="3" fontId="15" fillId="0" borderId="5" xfId="1" quotePrefix="1" applyNumberFormat="1" applyFont="1" applyBorder="1" applyAlignment="1">
      <alignment horizontal="right" vertical="center"/>
    </xf>
    <xf numFmtId="0" fontId="15" fillId="0" borderId="0" xfId="16" applyFont="1" applyBorder="1" applyAlignment="1">
      <alignment horizontal="center" vertical="center"/>
    </xf>
    <xf numFmtId="0" fontId="15" fillId="0" borderId="0" xfId="16" applyFont="1" applyBorder="1" applyAlignment="1">
      <alignment vertical="center" wrapText="1"/>
    </xf>
    <xf numFmtId="3" fontId="15" fillId="0" borderId="0" xfId="1" applyNumberFormat="1" applyFont="1" applyBorder="1" applyAlignment="1">
      <alignment horizontal="right" vertical="center"/>
    </xf>
    <xf numFmtId="0" fontId="14" fillId="0" borderId="0" xfId="20" applyFont="1" applyBorder="1" applyAlignment="1">
      <alignment horizontal="center" vertical="center"/>
    </xf>
    <xf numFmtId="0" fontId="10" fillId="0" borderId="5" xfId="20" applyFont="1" applyFill="1" applyBorder="1" applyAlignment="1">
      <alignment horizontal="center" vertical="center"/>
    </xf>
    <xf numFmtId="0" fontId="10" fillId="0" borderId="0" xfId="20" applyFont="1" applyFill="1" applyBorder="1" applyAlignment="1">
      <alignment vertical="center"/>
    </xf>
    <xf numFmtId="0" fontId="10" fillId="0" borderId="0" xfId="20" applyFont="1" applyAlignment="1">
      <alignment vertical="center"/>
    </xf>
    <xf numFmtId="0" fontId="14" fillId="0" borderId="5" xfId="20" applyFont="1" applyBorder="1" applyAlignment="1">
      <alignment vertical="center"/>
    </xf>
    <xf numFmtId="0" fontId="10" fillId="0" borderId="0" xfId="20" applyFont="1" applyFill="1" applyAlignment="1">
      <alignment vertical="center"/>
    </xf>
    <xf numFmtId="3" fontId="14" fillId="0" borderId="5" xfId="20" applyNumberFormat="1" applyFont="1" applyBorder="1" applyAlignment="1">
      <alignment horizontal="right" vertical="center"/>
    </xf>
    <xf numFmtId="3" fontId="15" fillId="0" borderId="5" xfId="20" applyNumberFormat="1" applyFont="1" applyBorder="1" applyAlignment="1">
      <alignment horizontal="right" vertical="center"/>
    </xf>
    <xf numFmtId="0" fontId="14" fillId="0" borderId="5" xfId="20" applyFont="1" applyFill="1" applyBorder="1" applyAlignment="1">
      <alignment vertical="center"/>
    </xf>
    <xf numFmtId="0" fontId="15" fillId="0" borderId="5" xfId="2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3" fontId="10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4" fillId="0" borderId="0" xfId="16" applyFont="1" applyAlignment="1">
      <alignment horizontal="right" vertical="center"/>
    </xf>
    <xf numFmtId="0" fontId="20" fillId="0" borderId="0" xfId="2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/>
    <xf numFmtId="3" fontId="12" fillId="0" borderId="9" xfId="1" applyNumberFormat="1" applyFont="1" applyBorder="1" applyAlignment="1">
      <alignment horizontal="right" vertical="center"/>
    </xf>
    <xf numFmtId="0" fontId="14" fillId="0" borderId="0" xfId="20" applyFont="1" applyBorder="1" applyAlignment="1">
      <alignment vertical="center"/>
    </xf>
    <xf numFmtId="0" fontId="3" fillId="0" borderId="0" xfId="23" applyFont="1"/>
    <xf numFmtId="0" fontId="38" fillId="0" borderId="0" xfId="23" applyFont="1" applyAlignment="1">
      <alignment horizontal="center" vertical="center"/>
    </xf>
    <xf numFmtId="0" fontId="37" fillId="0" borderId="0" xfId="23" applyFont="1"/>
    <xf numFmtId="0" fontId="3" fillId="0" borderId="0" xfId="23" applyFont="1" applyFill="1"/>
    <xf numFmtId="0" fontId="10" fillId="0" borderId="0" xfId="23" applyFont="1" applyFill="1"/>
    <xf numFmtId="0" fontId="10" fillId="0" borderId="0" xfId="23" applyFont="1" applyFill="1" applyBorder="1" applyAlignment="1">
      <alignment horizontal="center" vertical="center"/>
    </xf>
    <xf numFmtId="0" fontId="20" fillId="0" borderId="0" xfId="23" applyFont="1" applyAlignment="1">
      <alignment horizontal="center"/>
    </xf>
    <xf numFmtId="0" fontId="10" fillId="0" borderId="0" xfId="23" applyFont="1"/>
    <xf numFmtId="0" fontId="10" fillId="0" borderId="0" xfId="23" applyFont="1" applyAlignment="1">
      <alignment horizontal="right"/>
    </xf>
    <xf numFmtId="0" fontId="10" fillId="0" borderId="5" xfId="23" applyFont="1" applyFill="1" applyBorder="1" applyAlignment="1">
      <alignment horizontal="center" vertical="center"/>
    </xf>
    <xf numFmtId="3" fontId="12" fillId="0" borderId="5" xfId="23" applyNumberFormat="1" applyFont="1" applyBorder="1" applyAlignment="1">
      <alignment vertical="center"/>
    </xf>
    <xf numFmtId="0" fontId="10" fillId="0" borderId="13" xfId="23" applyFont="1" applyBorder="1" applyAlignment="1">
      <alignment vertical="center" wrapText="1"/>
    </xf>
    <xf numFmtId="3" fontId="10" fillId="0" borderId="5" xfId="1" applyNumberFormat="1" applyFont="1" applyFill="1" applyBorder="1"/>
    <xf numFmtId="0" fontId="40" fillId="0" borderId="0" xfId="16" applyFont="1" applyAlignment="1">
      <alignment vertical="center"/>
    </xf>
    <xf numFmtId="0" fontId="36" fillId="0" borderId="0" xfId="16" applyFont="1" applyAlignment="1">
      <alignment vertical="center"/>
    </xf>
    <xf numFmtId="167" fontId="40" fillId="0" borderId="0" xfId="1" applyNumberFormat="1" applyFont="1" applyAlignment="1">
      <alignment vertical="center"/>
    </xf>
    <xf numFmtId="0" fontId="41" fillId="0" borderId="0" xfId="16" applyFont="1" applyAlignment="1">
      <alignment vertical="center"/>
    </xf>
    <xf numFmtId="0" fontId="40" fillId="0" borderId="0" xfId="16" applyFont="1" applyAlignment="1">
      <alignment vertical="center" wrapText="1"/>
    </xf>
    <xf numFmtId="0" fontId="40" fillId="0" borderId="0" xfId="16" quotePrefix="1" applyFont="1" applyAlignment="1">
      <alignment vertical="center"/>
    </xf>
    <xf numFmtId="0" fontId="40" fillId="0" borderId="0" xfId="16" applyFont="1" applyAlignment="1">
      <alignment horizontal="center" vertical="center"/>
    </xf>
    <xf numFmtId="0" fontId="14" fillId="0" borderId="0" xfId="16" applyFont="1" applyAlignment="1">
      <alignment horizontal="center" vertical="center"/>
    </xf>
    <xf numFmtId="0" fontId="14" fillId="0" borderId="0" xfId="16" applyFont="1" applyAlignment="1">
      <alignment vertical="center" wrapText="1"/>
    </xf>
    <xf numFmtId="167" fontId="14" fillId="0" borderId="0" xfId="1" applyNumberFormat="1" applyFont="1" applyAlignment="1">
      <alignment vertical="center"/>
    </xf>
    <xf numFmtId="0" fontId="23" fillId="0" borderId="0" xfId="16" applyFont="1" applyAlignment="1">
      <alignment horizontal="center" vertical="center" wrapText="1"/>
    </xf>
    <xf numFmtId="0" fontId="10" fillId="0" borderId="0" xfId="16" applyFont="1" applyAlignment="1">
      <alignment horizontal="center" vertical="center" wrapText="1"/>
    </xf>
    <xf numFmtId="0" fontId="14" fillId="0" borderId="15" xfId="16" applyFont="1" applyBorder="1" applyAlignment="1">
      <alignment horizontal="center" vertical="center"/>
    </xf>
    <xf numFmtId="3" fontId="14" fillId="0" borderId="16" xfId="16" applyNumberFormat="1" applyFont="1" applyBorder="1" applyAlignment="1">
      <alignment vertical="center"/>
    </xf>
    <xf numFmtId="0" fontId="14" fillId="0" borderId="36" xfId="16" applyFont="1" applyBorder="1" applyAlignment="1">
      <alignment horizontal="center" vertical="center"/>
    </xf>
    <xf numFmtId="0" fontId="14" fillId="0" borderId="16" xfId="16" applyFont="1" applyBorder="1" applyAlignment="1">
      <alignment vertical="center" wrapText="1"/>
    </xf>
    <xf numFmtId="0" fontId="14" fillId="0" borderId="16" xfId="16" applyFont="1" applyBorder="1" applyAlignment="1">
      <alignment vertical="center"/>
    </xf>
    <xf numFmtId="0" fontId="14" fillId="0" borderId="12" xfId="16" applyFont="1" applyBorder="1" applyAlignment="1">
      <alignment horizontal="center" vertical="center"/>
    </xf>
    <xf numFmtId="0" fontId="14" fillId="0" borderId="17" xfId="16" applyFont="1" applyBorder="1" applyAlignment="1">
      <alignment vertical="center"/>
    </xf>
    <xf numFmtId="3" fontId="15" fillId="0" borderId="12" xfId="16" applyNumberFormat="1" applyFont="1" applyBorder="1" applyAlignment="1">
      <alignment vertical="center"/>
    </xf>
    <xf numFmtId="0" fontId="15" fillId="0" borderId="27" xfId="16" applyFont="1" applyFill="1" applyBorder="1" applyAlignment="1">
      <alignment horizontal="center" vertical="center"/>
    </xf>
    <xf numFmtId="0" fontId="14" fillId="0" borderId="37" xfId="16" applyFont="1" applyBorder="1" applyAlignment="1">
      <alignment vertical="center"/>
    </xf>
    <xf numFmtId="0" fontId="15" fillId="0" borderId="37" xfId="16" applyFont="1" applyBorder="1" applyAlignment="1">
      <alignment horizontal="left" vertical="center"/>
    </xf>
    <xf numFmtId="0" fontId="15" fillId="0" borderId="27" xfId="16" applyFont="1" applyBorder="1" applyAlignment="1">
      <alignment vertical="center"/>
    </xf>
    <xf numFmtId="0" fontId="10" fillId="0" borderId="0" xfId="0" applyFont="1" applyFill="1" applyAlignment="1">
      <alignment horizontal="center"/>
    </xf>
    <xf numFmtId="166" fontId="12" fillId="0" borderId="0" xfId="1" applyNumberFormat="1" applyFont="1" applyFill="1" applyBorder="1"/>
    <xf numFmtId="166" fontId="15" fillId="0" borderId="0" xfId="1" applyNumberFormat="1" applyFont="1" applyFill="1" applyBorder="1"/>
    <xf numFmtId="0" fontId="14" fillId="0" borderId="0" xfId="0" applyFont="1" applyFill="1" applyBorder="1"/>
    <xf numFmtId="0" fontId="14" fillId="0" borderId="0" xfId="0" applyFont="1" applyFill="1"/>
    <xf numFmtId="166" fontId="15" fillId="0" borderId="38" xfId="1" applyNumberFormat="1" applyFont="1" applyFill="1" applyBorder="1" applyAlignment="1">
      <alignment horizontal="center" vertical="center" wrapText="1"/>
    </xf>
    <xf numFmtId="166" fontId="10" fillId="0" borderId="5" xfId="1" applyNumberFormat="1" applyFont="1" applyFill="1" applyBorder="1"/>
    <xf numFmtId="3" fontId="14" fillId="0" borderId="0" xfId="0" applyNumberFormat="1" applyFont="1" applyFill="1"/>
    <xf numFmtId="3" fontId="10" fillId="0" borderId="0" xfId="0" applyNumberFormat="1" applyFont="1" applyFill="1"/>
    <xf numFmtId="166" fontId="12" fillId="0" borderId="5" xfId="1" applyNumberFormat="1" applyFont="1" applyFill="1" applyBorder="1"/>
    <xf numFmtId="3" fontId="10" fillId="0" borderId="5" xfId="0" applyNumberFormat="1" applyFont="1" applyFill="1" applyBorder="1"/>
    <xf numFmtId="166" fontId="10" fillId="0" borderId="21" xfId="1" applyNumberFormat="1" applyFont="1" applyFill="1" applyBorder="1"/>
    <xf numFmtId="3" fontId="10" fillId="0" borderId="21" xfId="1" applyNumberFormat="1" applyFont="1" applyFill="1" applyBorder="1"/>
    <xf numFmtId="166" fontId="12" fillId="0" borderId="12" xfId="1" applyNumberFormat="1" applyFont="1" applyFill="1" applyBorder="1"/>
    <xf numFmtId="3" fontId="12" fillId="0" borderId="12" xfId="1" applyNumberFormat="1" applyFont="1" applyFill="1" applyBorder="1"/>
    <xf numFmtId="3" fontId="12" fillId="0" borderId="12" xfId="0" applyNumberFormat="1" applyFont="1" applyFill="1" applyBorder="1"/>
    <xf numFmtId="166" fontId="12" fillId="0" borderId="5" xfId="1" applyNumberFormat="1" applyFont="1" applyFill="1" applyBorder="1" applyAlignment="1">
      <alignment vertical="center" wrapText="1"/>
    </xf>
    <xf numFmtId="3" fontId="12" fillId="0" borderId="5" xfId="1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/>
    </xf>
    <xf numFmtId="3" fontId="27" fillId="0" borderId="0" xfId="1" applyNumberFormat="1" applyFont="1" applyBorder="1" applyAlignment="1">
      <alignment horizontal="right" vertical="center"/>
    </xf>
    <xf numFmtId="0" fontId="12" fillId="0" borderId="5" xfId="23" applyFont="1" applyBorder="1" applyAlignment="1">
      <alignment horizontal="center" vertical="center"/>
    </xf>
    <xf numFmtId="0" fontId="10" fillId="0" borderId="5" xfId="1" applyNumberFormat="1" applyFont="1" applyFill="1" applyBorder="1"/>
    <xf numFmtId="0" fontId="10" fillId="9" borderId="0" xfId="23" applyFont="1" applyFill="1"/>
    <xf numFmtId="3" fontId="12" fillId="0" borderId="5" xfId="1" applyNumberFormat="1" applyFont="1" applyFill="1" applyBorder="1"/>
    <xf numFmtId="0" fontId="12" fillId="9" borderId="0" xfId="23" applyFont="1" applyFill="1"/>
    <xf numFmtId="0" fontId="26" fillId="0" borderId="0" xfId="21" applyFont="1" applyAlignment="1">
      <alignment horizontal="left" vertical="center"/>
    </xf>
    <xf numFmtId="3" fontId="31" fillId="0" borderId="5" xfId="1" applyNumberFormat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5" xfId="20" applyFont="1" applyBorder="1" applyAlignment="1">
      <alignment vertical="center" wrapText="1"/>
    </xf>
    <xf numFmtId="0" fontId="14" fillId="0" borderId="5" xfId="20" applyFont="1" applyBorder="1" applyAlignment="1">
      <alignment horizontal="right" vertical="center" wrapText="1"/>
    </xf>
    <xf numFmtId="0" fontId="15" fillId="0" borderId="5" xfId="20" applyFont="1" applyBorder="1" applyAlignment="1">
      <alignment horizontal="right" vertical="center" wrapText="1"/>
    </xf>
    <xf numFmtId="3" fontId="14" fillId="0" borderId="5" xfId="20" applyNumberFormat="1" applyFont="1" applyBorder="1" applyAlignment="1">
      <alignment horizontal="right" vertical="center" wrapText="1"/>
    </xf>
    <xf numFmtId="3" fontId="45" fillId="0" borderId="5" xfId="1" applyNumberFormat="1" applyFont="1" applyBorder="1" applyAlignment="1">
      <alignment vertical="center"/>
    </xf>
    <xf numFmtId="3" fontId="45" fillId="0" borderId="12" xfId="1" applyNumberFormat="1" applyFont="1" applyBorder="1" applyAlignment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5" xfId="21" applyFont="1" applyBorder="1" applyAlignment="1">
      <alignment vertical="center"/>
    </xf>
    <xf numFmtId="0" fontId="10" fillId="0" borderId="39" xfId="15" applyFont="1" applyBorder="1" applyAlignment="1">
      <alignment horizontal="left" vertical="center" wrapText="1"/>
    </xf>
    <xf numFmtId="3" fontId="10" fillId="0" borderId="40" xfId="0" applyNumberFormat="1" applyFont="1" applyBorder="1" applyAlignment="1">
      <alignment horizontal="right" vertical="center"/>
    </xf>
    <xf numFmtId="3" fontId="10" fillId="0" borderId="41" xfId="0" applyNumberFormat="1" applyFont="1" applyBorder="1" applyAlignment="1">
      <alignment horizontal="right" vertical="center"/>
    </xf>
    <xf numFmtId="3" fontId="10" fillId="0" borderId="42" xfId="0" applyNumberFormat="1" applyFont="1" applyBorder="1" applyAlignment="1">
      <alignment horizontal="right" vertical="center"/>
    </xf>
    <xf numFmtId="3" fontId="15" fillId="0" borderId="5" xfId="16" applyNumberFormat="1" applyFont="1" applyBorder="1" applyAlignment="1">
      <alignment vertical="center"/>
    </xf>
    <xf numFmtId="3" fontId="12" fillId="0" borderId="43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horizontal="right" vertical="center"/>
    </xf>
    <xf numFmtId="3" fontId="12" fillId="0" borderId="28" xfId="0" applyNumberFormat="1" applyFont="1" applyBorder="1" applyAlignment="1">
      <alignment horizontal="right" vertical="center"/>
    </xf>
    <xf numFmtId="3" fontId="15" fillId="0" borderId="5" xfId="20" applyNumberFormat="1" applyFont="1" applyBorder="1" applyAlignment="1">
      <alignment horizontal="right" vertical="center" wrapText="1"/>
    </xf>
    <xf numFmtId="167" fontId="14" fillId="0" borderId="0" xfId="1" applyNumberFormat="1" applyFont="1" applyAlignment="1">
      <alignment horizontal="right" vertical="center"/>
    </xf>
    <xf numFmtId="3" fontId="31" fillId="16" borderId="12" xfId="1" applyNumberFormat="1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center" vertical="center" wrapText="1"/>
    </xf>
    <xf numFmtId="0" fontId="12" fillId="0" borderId="25" xfId="12" applyFont="1" applyBorder="1" applyAlignment="1">
      <alignment vertical="center"/>
    </xf>
    <xf numFmtId="0" fontId="12" fillId="0" borderId="43" xfId="12" applyFont="1" applyBorder="1" applyAlignment="1">
      <alignment horizontal="center" vertical="center"/>
    </xf>
    <xf numFmtId="0" fontId="12" fillId="0" borderId="30" xfId="12" applyFont="1" applyBorder="1" applyAlignment="1">
      <alignment horizontal="center" vertical="center"/>
    </xf>
    <xf numFmtId="0" fontId="12" fillId="0" borderId="44" xfId="12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1" xfId="12" applyFont="1" applyBorder="1" applyAlignment="1">
      <alignment horizontal="justify" vertical="center" wrapText="1"/>
    </xf>
    <xf numFmtId="0" fontId="10" fillId="0" borderId="1" xfId="12" applyFont="1" applyBorder="1" applyAlignment="1">
      <alignment horizontal="justify" vertical="center"/>
    </xf>
    <xf numFmtId="0" fontId="10" fillId="0" borderId="5" xfId="12" applyFont="1" applyBorder="1" applyAlignment="1">
      <alignment vertical="center"/>
    </xf>
    <xf numFmtId="0" fontId="10" fillId="0" borderId="33" xfId="12" applyFont="1" applyBorder="1" applyAlignment="1">
      <alignment vertical="center"/>
    </xf>
    <xf numFmtId="0" fontId="10" fillId="0" borderId="2" xfId="12" applyFont="1" applyBorder="1" applyAlignment="1">
      <alignment horizontal="justify" vertical="center"/>
    </xf>
    <xf numFmtId="0" fontId="10" fillId="0" borderId="2" xfId="0" applyFont="1" applyFill="1" applyBorder="1" applyAlignment="1">
      <alignment horizontal="center" vertical="center" wrapText="1"/>
    </xf>
    <xf numFmtId="3" fontId="12" fillId="0" borderId="43" xfId="12" applyNumberFormat="1" applyFont="1" applyBorder="1" applyAlignment="1">
      <alignment vertical="center"/>
    </xf>
    <xf numFmtId="3" fontId="12" fillId="0" borderId="28" xfId="12" applyNumberFormat="1" applyFont="1" applyBorder="1" applyAlignment="1">
      <alignment vertical="center"/>
    </xf>
    <xf numFmtId="3" fontId="12" fillId="0" borderId="44" xfId="12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12" applyFont="1" applyBorder="1" applyAlignment="1">
      <alignment vertical="center"/>
    </xf>
    <xf numFmtId="0" fontId="10" fillId="0" borderId="0" xfId="12" applyFont="1" applyBorder="1" applyAlignment="1">
      <alignment vertical="center"/>
    </xf>
    <xf numFmtId="0" fontId="10" fillId="0" borderId="0" xfId="12" applyFont="1" applyAlignment="1">
      <alignment vertical="center"/>
    </xf>
    <xf numFmtId="0" fontId="12" fillId="0" borderId="25" xfId="12" applyFont="1" applyFill="1" applyBorder="1" applyAlignment="1">
      <alignment horizontal="justify" vertical="center"/>
    </xf>
    <xf numFmtId="0" fontId="12" fillId="0" borderId="24" xfId="12" applyFont="1" applyFill="1" applyBorder="1" applyAlignment="1">
      <alignment horizontal="center" vertical="center"/>
    </xf>
    <xf numFmtId="0" fontId="12" fillId="0" borderId="30" xfId="12" applyFont="1" applyFill="1" applyBorder="1" applyAlignment="1">
      <alignment horizontal="center" vertical="center"/>
    </xf>
    <xf numFmtId="0" fontId="12" fillId="0" borderId="44" xfId="12" applyFont="1" applyFill="1" applyBorder="1" applyAlignment="1">
      <alignment horizontal="center" vertical="center"/>
    </xf>
    <xf numFmtId="0" fontId="10" fillId="0" borderId="1" xfId="12" applyFont="1" applyFill="1" applyBorder="1" applyAlignment="1">
      <alignment horizontal="justify" vertical="center"/>
    </xf>
    <xf numFmtId="0" fontId="10" fillId="0" borderId="32" xfId="12" applyFont="1" applyFill="1" applyBorder="1" applyAlignment="1">
      <alignment vertical="center"/>
    </xf>
    <xf numFmtId="0" fontId="10" fillId="0" borderId="5" xfId="12" applyFont="1" applyFill="1" applyBorder="1" applyAlignment="1">
      <alignment vertical="center"/>
    </xf>
    <xf numFmtId="0" fontId="10" fillId="0" borderId="33" xfId="12" applyFont="1" applyFill="1" applyBorder="1" applyAlignment="1">
      <alignment vertical="center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" xfId="12" applyFont="1" applyFill="1" applyBorder="1" applyAlignment="1">
      <alignment horizontal="left" vertical="center" wrapText="1"/>
    </xf>
    <xf numFmtId="0" fontId="10" fillId="0" borderId="2" xfId="12" applyFont="1" applyFill="1" applyBorder="1" applyAlignment="1">
      <alignment horizontal="justify" vertical="center"/>
    </xf>
    <xf numFmtId="0" fontId="10" fillId="0" borderId="34" xfId="12" applyFont="1" applyFill="1" applyBorder="1" applyAlignment="1">
      <alignment vertical="center"/>
    </xf>
    <xf numFmtId="0" fontId="10" fillId="0" borderId="45" xfId="0" applyFont="1" applyFill="1" applyBorder="1" applyAlignment="1">
      <alignment horizontal="center" vertical="center" wrapText="1"/>
    </xf>
    <xf numFmtId="0" fontId="12" fillId="0" borderId="24" xfId="12" applyFont="1" applyBorder="1" applyAlignment="1">
      <alignment vertical="center"/>
    </xf>
    <xf numFmtId="0" fontId="12" fillId="0" borderId="28" xfId="12" applyFont="1" applyBorder="1" applyAlignment="1">
      <alignment vertical="center"/>
    </xf>
    <xf numFmtId="0" fontId="12" fillId="0" borderId="44" xfId="12" applyFont="1" applyBorder="1" applyAlignment="1">
      <alignment vertical="center"/>
    </xf>
    <xf numFmtId="166" fontId="10" fillId="0" borderId="12" xfId="1" applyNumberFormat="1" applyFont="1" applyBorder="1" applyAlignment="1">
      <alignment vertical="center"/>
    </xf>
    <xf numFmtId="3" fontId="14" fillId="0" borderId="5" xfId="20" applyNumberFormat="1" applyFont="1" applyBorder="1" applyAlignment="1">
      <alignment vertical="center"/>
    </xf>
    <xf numFmtId="166" fontId="10" fillId="0" borderId="5" xfId="1" applyNumberFormat="1" applyFont="1" applyBorder="1" applyAlignment="1">
      <alignment vertical="center"/>
    </xf>
    <xf numFmtId="166" fontId="10" fillId="0" borderId="8" xfId="1" applyNumberFormat="1" applyFont="1" applyBorder="1" applyAlignment="1">
      <alignment vertical="center"/>
    </xf>
    <xf numFmtId="166" fontId="10" fillId="0" borderId="46" xfId="1" applyNumberFormat="1" applyFont="1" applyBorder="1" applyAlignment="1">
      <alignment vertical="center"/>
    </xf>
    <xf numFmtId="0" fontId="10" fillId="0" borderId="3" xfId="12" applyFont="1" applyBorder="1" applyAlignment="1">
      <alignment vertical="center"/>
    </xf>
    <xf numFmtId="0" fontId="10" fillId="0" borderId="4" xfId="12" applyFont="1" applyBorder="1" applyAlignment="1">
      <alignment vertical="center"/>
    </xf>
    <xf numFmtId="0" fontId="10" fillId="0" borderId="21" xfId="12" applyFont="1" applyBorder="1" applyAlignment="1">
      <alignment vertical="center"/>
    </xf>
    <xf numFmtId="0" fontId="10" fillId="0" borderId="35" xfId="12" applyFont="1" applyBorder="1" applyAlignment="1">
      <alignment vertical="center"/>
    </xf>
    <xf numFmtId="166" fontId="10" fillId="0" borderId="33" xfId="1" applyNumberFormat="1" applyFont="1" applyBorder="1" applyAlignment="1">
      <alignment vertical="center"/>
    </xf>
    <xf numFmtId="166" fontId="10" fillId="0" borderId="3" xfId="1" applyNumberFormat="1" applyFont="1" applyBorder="1" applyAlignment="1">
      <alignment vertical="center"/>
    </xf>
    <xf numFmtId="0" fontId="12" fillId="0" borderId="0" xfId="0" applyFont="1" applyAlignment="1"/>
    <xf numFmtId="0" fontId="10" fillId="0" borderId="47" xfId="0" applyFont="1" applyBorder="1"/>
    <xf numFmtId="0" fontId="10" fillId="0" borderId="48" xfId="0" applyFont="1" applyBorder="1"/>
    <xf numFmtId="0" fontId="10" fillId="0" borderId="38" xfId="0" applyFont="1" applyBorder="1"/>
    <xf numFmtId="0" fontId="10" fillId="0" borderId="49" xfId="0" applyFont="1" applyBorder="1"/>
    <xf numFmtId="0" fontId="10" fillId="0" borderId="50" xfId="0" applyFont="1" applyBorder="1"/>
    <xf numFmtId="0" fontId="10" fillId="0" borderId="51" xfId="0" applyFont="1" applyBorder="1"/>
    <xf numFmtId="0" fontId="10" fillId="0" borderId="52" xfId="0" applyFont="1" applyBorder="1"/>
    <xf numFmtId="0" fontId="20" fillId="0" borderId="0" xfId="0" applyFont="1" applyAlignment="1">
      <alignment horizontal="center"/>
    </xf>
    <xf numFmtId="0" fontId="12" fillId="0" borderId="41" xfId="16" applyFont="1" applyBorder="1" applyAlignment="1">
      <alignment horizontal="center" vertical="center" wrapText="1"/>
    </xf>
    <xf numFmtId="166" fontId="10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3" xfId="16" applyFont="1" applyBorder="1" applyAlignment="1">
      <alignment horizontal="center" vertical="center" wrapText="1"/>
    </xf>
    <xf numFmtId="0" fontId="10" fillId="0" borderId="0" xfId="16" applyFont="1" applyFill="1" applyAlignment="1">
      <alignment horizontal="right" vertical="center"/>
    </xf>
    <xf numFmtId="166" fontId="12" fillId="0" borderId="5" xfId="1" applyNumberFormat="1" applyFont="1" applyFill="1" applyBorder="1" applyAlignment="1">
      <alignment horizontal="center" vertical="center" wrapText="1"/>
    </xf>
    <xf numFmtId="166" fontId="15" fillId="0" borderId="0" xfId="1" applyNumberFormat="1" applyFont="1" applyFill="1" applyBorder="1" applyAlignment="1">
      <alignment horizontal="center" vertical="center" wrapText="1"/>
    </xf>
    <xf numFmtId="3" fontId="10" fillId="0" borderId="0" xfId="1" applyNumberFormat="1" applyFont="1" applyBorder="1" applyAlignment="1">
      <alignment horizontal="right" vertical="center"/>
    </xf>
    <xf numFmtId="0" fontId="46" fillId="0" borderId="17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8" fillId="0" borderId="0" xfId="0" applyFont="1" applyAlignment="1"/>
    <xf numFmtId="0" fontId="46" fillId="0" borderId="3" xfId="0" applyFont="1" applyBorder="1" applyAlignment="1">
      <alignment horizontal="center" vertical="center" wrapText="1"/>
    </xf>
    <xf numFmtId="167" fontId="15" fillId="0" borderId="15" xfId="1" applyNumberFormat="1" applyFont="1" applyBorder="1" applyAlignment="1">
      <alignment horizontal="center" vertical="center" wrapText="1"/>
    </xf>
    <xf numFmtId="167" fontId="15" fillId="0" borderId="49" xfId="1" applyNumberFormat="1" applyFont="1" applyBorder="1" applyAlignment="1">
      <alignment vertical="center"/>
    </xf>
    <xf numFmtId="3" fontId="15" fillId="0" borderId="38" xfId="16" applyNumberFormat="1" applyFont="1" applyBorder="1" applyAlignment="1">
      <alignment vertical="center"/>
    </xf>
    <xf numFmtId="167" fontId="15" fillId="0" borderId="5" xfId="1" applyNumberFormat="1" applyFont="1" applyBorder="1" applyAlignment="1">
      <alignment horizontal="center" vertical="center" wrapText="1"/>
    </xf>
    <xf numFmtId="3" fontId="14" fillId="0" borderId="15" xfId="16" applyNumberFormat="1" applyFont="1" applyBorder="1" applyAlignment="1">
      <alignment vertical="center"/>
    </xf>
    <xf numFmtId="3" fontId="14" fillId="0" borderId="36" xfId="16" applyNumberFormat="1" applyFont="1" applyBorder="1" applyAlignment="1">
      <alignment vertical="center"/>
    </xf>
    <xf numFmtId="3" fontId="14" fillId="0" borderId="12" xfId="16" applyNumberFormat="1" applyFont="1" applyBorder="1" applyAlignment="1">
      <alignment vertical="center"/>
    </xf>
    <xf numFmtId="3" fontId="14" fillId="0" borderId="36" xfId="1" applyNumberFormat="1" applyFont="1" applyBorder="1" applyAlignment="1">
      <alignment vertical="center"/>
    </xf>
    <xf numFmtId="166" fontId="42" fillId="0" borderId="0" xfId="1" applyNumberFormat="1" applyFont="1" applyFill="1" applyBorder="1" applyAlignment="1">
      <alignment horizontal="center" vertical="center" wrapText="1"/>
    </xf>
    <xf numFmtId="3" fontId="12" fillId="0" borderId="5" xfId="0" applyNumberFormat="1" applyFont="1" applyFill="1" applyBorder="1"/>
    <xf numFmtId="3" fontId="29" fillId="0" borderId="12" xfId="1" applyNumberFormat="1" applyFont="1" applyBorder="1" applyAlignment="1">
      <alignment horizontal="right" vertical="center"/>
    </xf>
    <xf numFmtId="3" fontId="10" fillId="0" borderId="12" xfId="1" applyNumberFormat="1" applyFont="1" applyFill="1" applyBorder="1" applyAlignment="1">
      <alignment horizontal="right" vertical="center"/>
    </xf>
    <xf numFmtId="0" fontId="31" fillId="0" borderId="0" xfId="21" applyFont="1" applyFill="1" applyBorder="1" applyAlignment="1">
      <alignment horizontal="center" vertical="center"/>
    </xf>
    <xf numFmtId="0" fontId="29" fillId="0" borderId="18" xfId="21" applyFont="1" applyFill="1" applyBorder="1" applyAlignment="1">
      <alignment vertical="center"/>
    </xf>
    <xf numFmtId="0" fontId="29" fillId="0" borderId="13" xfId="21" applyFont="1" applyFill="1" applyBorder="1" applyAlignment="1">
      <alignment vertical="center"/>
    </xf>
    <xf numFmtId="0" fontId="29" fillId="0" borderId="27" xfId="21" applyFont="1" applyFill="1" applyBorder="1" applyAlignment="1">
      <alignment vertical="center"/>
    </xf>
    <xf numFmtId="0" fontId="29" fillId="0" borderId="17" xfId="21" applyFont="1" applyFill="1" applyBorder="1" applyAlignment="1">
      <alignment vertical="center"/>
    </xf>
    <xf numFmtId="49" fontId="29" fillId="0" borderId="19" xfId="21" applyNumberFormat="1" applyFont="1" applyFill="1" applyBorder="1" applyAlignment="1">
      <alignment vertical="center"/>
    </xf>
    <xf numFmtId="49" fontId="29" fillId="0" borderId="14" xfId="21" applyNumberFormat="1" applyFont="1" applyFill="1" applyBorder="1" applyAlignment="1">
      <alignment vertical="center"/>
    </xf>
    <xf numFmtId="3" fontId="31" fillId="16" borderId="5" xfId="1" applyNumberFormat="1" applyFont="1" applyFill="1" applyBorder="1" applyAlignment="1">
      <alignment horizontal="right" vertical="center"/>
    </xf>
    <xf numFmtId="3" fontId="27" fillId="0" borderId="27" xfId="1" applyNumberFormat="1" applyFont="1" applyBorder="1" applyAlignment="1">
      <alignment horizontal="right" vertical="center"/>
    </xf>
    <xf numFmtId="3" fontId="31" fillId="16" borderId="27" xfId="1" applyNumberFormat="1" applyFont="1" applyFill="1" applyBorder="1" applyAlignment="1">
      <alignment horizontal="right" vertical="center"/>
    </xf>
    <xf numFmtId="3" fontId="29" fillId="0" borderId="12" xfId="1" applyNumberFormat="1" applyFont="1" applyFill="1" applyBorder="1" applyAlignment="1">
      <alignment horizontal="right" vertical="center"/>
    </xf>
    <xf numFmtId="3" fontId="27" fillId="0" borderId="27" xfId="1" applyNumberFormat="1" applyFont="1" applyBorder="1" applyAlignment="1">
      <alignment vertical="center"/>
    </xf>
    <xf numFmtId="3" fontId="31" fillId="0" borderId="12" xfId="1" applyNumberFormat="1" applyFont="1" applyFill="1" applyBorder="1" applyAlignment="1">
      <alignment vertical="center"/>
    </xf>
    <xf numFmtId="3" fontId="31" fillId="16" borderId="27" xfId="1" applyNumberFormat="1" applyFont="1" applyFill="1" applyBorder="1" applyAlignment="1">
      <alignment vertical="center"/>
    </xf>
    <xf numFmtId="3" fontId="31" fillId="16" borderId="12" xfId="1" applyNumberFormat="1" applyFont="1" applyFill="1" applyBorder="1" applyAlignment="1">
      <alignment vertical="center"/>
    </xf>
    <xf numFmtId="3" fontId="29" fillId="0" borderId="27" xfId="1" applyNumberFormat="1" applyFont="1" applyBorder="1" applyAlignment="1">
      <alignment vertical="center"/>
    </xf>
    <xf numFmtId="3" fontId="31" fillId="16" borderId="37" xfId="1" applyNumberFormat="1" applyFont="1" applyFill="1" applyBorder="1" applyAlignment="1">
      <alignment vertical="center"/>
    </xf>
    <xf numFmtId="3" fontId="31" fillId="16" borderId="5" xfId="1" applyNumberFormat="1" applyFont="1" applyFill="1" applyBorder="1" applyAlignment="1">
      <alignment vertical="center"/>
    </xf>
    <xf numFmtId="0" fontId="27" fillId="0" borderId="31" xfId="21" applyFont="1" applyFill="1" applyBorder="1" applyAlignment="1">
      <alignment vertical="center"/>
    </xf>
    <xf numFmtId="3" fontId="27" fillId="16" borderId="12" xfId="1" applyNumberFormat="1" applyFont="1" applyFill="1" applyBorder="1" applyAlignment="1">
      <alignment vertical="center"/>
    </xf>
    <xf numFmtId="3" fontId="10" fillId="0" borderId="21" xfId="0" applyNumberFormat="1" applyFont="1" applyFill="1" applyBorder="1"/>
    <xf numFmtId="3" fontId="10" fillId="0" borderId="3" xfId="1" applyNumberFormat="1" applyFont="1" applyBorder="1" applyAlignment="1">
      <alignment horizontal="right" vertical="center"/>
    </xf>
    <xf numFmtId="3" fontId="12" fillId="0" borderId="4" xfId="1" applyNumberFormat="1" applyFont="1" applyBorder="1" applyAlignment="1">
      <alignment horizontal="right" vertical="center"/>
    </xf>
    <xf numFmtId="0" fontId="46" fillId="0" borderId="33" xfId="0" applyFont="1" applyBorder="1" applyAlignment="1">
      <alignment horizontal="center" vertical="center" wrapText="1"/>
    </xf>
    <xf numFmtId="3" fontId="12" fillId="0" borderId="3" xfId="1" applyNumberFormat="1" applyFont="1" applyBorder="1" applyAlignment="1">
      <alignment horizontal="right" vertical="center"/>
    </xf>
    <xf numFmtId="3" fontId="12" fillId="0" borderId="33" xfId="1" applyNumberFormat="1" applyFont="1" applyBorder="1" applyAlignment="1">
      <alignment horizontal="right" vertical="center"/>
    </xf>
    <xf numFmtId="3" fontId="12" fillId="0" borderId="8" xfId="1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48" fillId="0" borderId="32" xfId="0" applyFont="1" applyBorder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10" fillId="0" borderId="19" xfId="15" applyFont="1" applyBorder="1" applyAlignment="1">
      <alignment horizontal="left" vertical="center" wrapText="1"/>
    </xf>
    <xf numFmtId="0" fontId="10" fillId="0" borderId="27" xfId="15" applyFont="1" applyBorder="1" applyAlignment="1">
      <alignment horizontal="left" vertical="center" wrapText="1"/>
    </xf>
    <xf numFmtId="0" fontId="10" fillId="0" borderId="18" xfId="15" applyFont="1" applyBorder="1" applyAlignment="1">
      <alignment horizontal="left" vertical="center" wrapText="1"/>
    </xf>
    <xf numFmtId="3" fontId="10" fillId="0" borderId="13" xfId="0" applyNumberFormat="1" applyFont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0" fontId="12" fillId="0" borderId="43" xfId="15" applyFont="1" applyBorder="1" applyAlignment="1">
      <alignment horizontal="right" vertical="center" wrapText="1"/>
    </xf>
    <xf numFmtId="3" fontId="10" fillId="0" borderId="23" xfId="0" applyNumberFormat="1" applyFont="1" applyFill="1" applyBorder="1" applyAlignment="1">
      <alignment horizontal="right" vertical="center"/>
    </xf>
    <xf numFmtId="3" fontId="10" fillId="0" borderId="41" xfId="0" applyNumberFormat="1" applyFont="1" applyFill="1" applyBorder="1" applyAlignment="1">
      <alignment horizontal="right" vertical="center"/>
    </xf>
    <xf numFmtId="3" fontId="19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0" fontId="10" fillId="0" borderId="0" xfId="12" applyFont="1" applyBorder="1" applyAlignment="1"/>
    <xf numFmtId="0" fontId="3" fillId="0" borderId="0" xfId="12"/>
    <xf numFmtId="0" fontId="10" fillId="0" borderId="0" xfId="12" applyFont="1" applyBorder="1" applyAlignment="1">
      <alignment horizontal="right"/>
    </xf>
    <xf numFmtId="0" fontId="20" fillId="0" borderId="0" xfId="12" applyFont="1" applyFill="1" applyAlignment="1">
      <alignment vertical="center" wrapText="1"/>
    </xf>
    <xf numFmtId="0" fontId="10" fillId="0" borderId="0" xfId="12" applyFont="1" applyFill="1" applyAlignment="1">
      <alignment horizontal="center"/>
    </xf>
    <xf numFmtId="0" fontId="10" fillId="0" borderId="0" xfId="12" applyFont="1" applyFill="1" applyAlignment="1"/>
    <xf numFmtId="0" fontId="10" fillId="0" borderId="0" xfId="12" applyFont="1" applyFill="1"/>
    <xf numFmtId="0" fontId="10" fillId="0" borderId="0" xfId="12" applyFont="1" applyFill="1" applyBorder="1" applyAlignment="1">
      <alignment vertical="center"/>
    </xf>
    <xf numFmtId="166" fontId="15" fillId="0" borderId="0" xfId="2" applyNumberFormat="1" applyFont="1" applyFill="1" applyBorder="1"/>
    <xf numFmtId="0" fontId="14" fillId="0" borderId="0" xfId="12" applyFont="1" applyFill="1" applyBorder="1"/>
    <xf numFmtId="166" fontId="15" fillId="0" borderId="38" xfId="2" applyNumberFormat="1" applyFont="1" applyFill="1" applyBorder="1" applyAlignment="1">
      <alignment horizontal="center" vertical="center" wrapText="1"/>
    </xf>
    <xf numFmtId="166" fontId="42" fillId="0" borderId="0" xfId="2" applyNumberFormat="1" applyFont="1" applyFill="1" applyBorder="1" applyAlignment="1">
      <alignment horizontal="center" vertical="center" wrapText="1"/>
    </xf>
    <xf numFmtId="166" fontId="15" fillId="0" borderId="0" xfId="2" applyNumberFormat="1" applyFont="1" applyFill="1" applyBorder="1" applyAlignment="1">
      <alignment horizontal="center" vertical="center" wrapText="1"/>
    </xf>
    <xf numFmtId="0" fontId="10" fillId="0" borderId="5" xfId="12" applyFont="1" applyFill="1" applyBorder="1" applyAlignment="1">
      <alignment horizontal="center" vertical="center"/>
    </xf>
    <xf numFmtId="166" fontId="12" fillId="0" borderId="5" xfId="2" applyNumberFormat="1" applyFont="1" applyFill="1" applyBorder="1" applyAlignment="1">
      <alignment horizontal="center" vertical="center" wrapText="1"/>
    </xf>
    <xf numFmtId="0" fontId="12" fillId="0" borderId="5" xfId="12" applyFont="1" applyFill="1" applyBorder="1" applyAlignment="1">
      <alignment horizontal="center" vertical="center" wrapText="1"/>
    </xf>
    <xf numFmtId="166" fontId="12" fillId="0" borderId="5" xfId="2" applyNumberFormat="1" applyFont="1" applyFill="1" applyBorder="1" applyAlignment="1">
      <alignment vertical="center" wrapText="1"/>
    </xf>
    <xf numFmtId="3" fontId="12" fillId="0" borderId="5" xfId="2" applyNumberFormat="1" applyFont="1" applyFill="1" applyBorder="1" applyAlignment="1">
      <alignment vertical="center" wrapText="1"/>
    </xf>
    <xf numFmtId="3" fontId="10" fillId="0" borderId="0" xfId="12" applyNumberFormat="1" applyFont="1" applyFill="1"/>
    <xf numFmtId="3" fontId="27" fillId="0" borderId="5" xfId="2" applyNumberFormat="1" applyFont="1" applyBorder="1" applyAlignment="1">
      <alignment horizontal="right" vertical="center"/>
    </xf>
    <xf numFmtId="0" fontId="27" fillId="0" borderId="0" xfId="21" applyFont="1" applyFill="1" applyBorder="1" applyAlignment="1">
      <alignment horizontal="center" vertical="center"/>
    </xf>
    <xf numFmtId="0" fontId="31" fillId="0" borderId="0" xfId="21" applyFont="1" applyFill="1" applyBorder="1" applyAlignment="1">
      <alignment vertical="center"/>
    </xf>
    <xf numFmtId="176" fontId="31" fillId="0" borderId="5" xfId="1" applyNumberFormat="1" applyFont="1" applyBorder="1" applyAlignment="1">
      <alignment horizontal="right" vertical="center"/>
    </xf>
    <xf numFmtId="3" fontId="27" fillId="0" borderId="5" xfId="21" applyNumberFormat="1" applyFont="1" applyFill="1" applyBorder="1" applyAlignment="1">
      <alignment vertical="center"/>
    </xf>
    <xf numFmtId="176" fontId="14" fillId="0" borderId="5" xfId="1" applyNumberFormat="1" applyFont="1" applyBorder="1" applyAlignment="1">
      <alignment horizontal="right" vertical="center"/>
    </xf>
    <xf numFmtId="3" fontId="31" fillId="0" borderId="27" xfId="1" applyNumberFormat="1" applyFont="1" applyBorder="1" applyAlignment="1">
      <alignment horizontal="right" vertical="center"/>
    </xf>
    <xf numFmtId="0" fontId="10" fillId="0" borderId="53" xfId="0" applyFont="1" applyBorder="1" applyAlignment="1">
      <alignment vertical="center"/>
    </xf>
    <xf numFmtId="3" fontId="10" fillId="0" borderId="33" xfId="0" applyNumberFormat="1" applyFont="1" applyBorder="1" applyAlignment="1">
      <alignment vertical="center"/>
    </xf>
    <xf numFmtId="3" fontId="12" fillId="0" borderId="33" xfId="0" applyNumberFormat="1" applyFont="1" applyBorder="1" applyAlignment="1">
      <alignment vertical="center"/>
    </xf>
    <xf numFmtId="3" fontId="12" fillId="0" borderId="53" xfId="0" applyNumberFormat="1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3" fontId="15" fillId="0" borderId="3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2" fillId="0" borderId="19" xfId="0" applyNumberFormat="1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3" fontId="10" fillId="0" borderId="19" xfId="0" applyNumberFormat="1" applyFont="1" applyBorder="1" applyAlignment="1">
      <alignment vertical="center" wrapText="1"/>
    </xf>
    <xf numFmtId="3" fontId="15" fillId="0" borderId="9" xfId="0" applyNumberFormat="1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3" fontId="10" fillId="0" borderId="50" xfId="0" applyNumberFormat="1" applyFont="1" applyBorder="1" applyAlignment="1">
      <alignment vertical="center"/>
    </xf>
    <xf numFmtId="3" fontId="15" fillId="0" borderId="33" xfId="0" applyNumberFormat="1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3" fontId="10" fillId="0" borderId="33" xfId="0" applyNumberFormat="1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0" fillId="0" borderId="0" xfId="12" applyFont="1" applyBorder="1" applyAlignment="1">
      <alignment horizontal="right" vertical="center"/>
    </xf>
    <xf numFmtId="3" fontId="10" fillId="0" borderId="33" xfId="0" applyNumberFormat="1" applyFont="1" applyFill="1" applyBorder="1" applyAlignment="1">
      <alignment horizontal="right" vertical="center"/>
    </xf>
    <xf numFmtId="0" fontId="10" fillId="0" borderId="0" xfId="12" applyFont="1" applyFill="1" applyAlignment="1">
      <alignment horizontal="center" vertical="center"/>
    </xf>
    <xf numFmtId="0" fontId="10" fillId="0" borderId="0" xfId="12" applyFont="1" applyFill="1" applyAlignment="1">
      <alignment vertical="center"/>
    </xf>
    <xf numFmtId="166" fontId="12" fillId="0" borderId="0" xfId="2" applyNumberFormat="1" applyFont="1" applyFill="1" applyBorder="1" applyAlignment="1">
      <alignment vertical="center"/>
    </xf>
    <xf numFmtId="166" fontId="12" fillId="0" borderId="5" xfId="2" applyNumberFormat="1" applyFont="1" applyFill="1" applyBorder="1" applyAlignment="1">
      <alignment vertical="center"/>
    </xf>
    <xf numFmtId="3" fontId="10" fillId="0" borderId="5" xfId="2" applyNumberFormat="1" applyFont="1" applyFill="1" applyBorder="1" applyAlignment="1">
      <alignment vertical="center"/>
    </xf>
    <xf numFmtId="166" fontId="10" fillId="0" borderId="5" xfId="2" applyNumberFormat="1" applyFont="1" applyFill="1" applyBorder="1" applyAlignment="1">
      <alignment vertical="center"/>
    </xf>
    <xf numFmtId="166" fontId="10" fillId="0" borderId="21" xfId="2" applyNumberFormat="1" applyFont="1" applyFill="1" applyBorder="1" applyAlignment="1">
      <alignment vertical="center"/>
    </xf>
    <xf numFmtId="3" fontId="10" fillId="0" borderId="21" xfId="2" applyNumberFormat="1" applyFont="1" applyFill="1" applyBorder="1" applyAlignment="1">
      <alignment vertical="center"/>
    </xf>
    <xf numFmtId="166" fontId="12" fillId="0" borderId="12" xfId="2" applyNumberFormat="1" applyFont="1" applyFill="1" applyBorder="1" applyAlignment="1">
      <alignment vertical="center"/>
    </xf>
    <xf numFmtId="3" fontId="12" fillId="0" borderId="12" xfId="2" applyNumberFormat="1" applyFont="1" applyFill="1" applyBorder="1" applyAlignment="1">
      <alignment vertical="center"/>
    </xf>
    <xf numFmtId="3" fontId="15" fillId="0" borderId="31" xfId="16" applyNumberFormat="1" applyFont="1" applyBorder="1" applyAlignment="1">
      <alignment vertical="center"/>
    </xf>
    <xf numFmtId="0" fontId="14" fillId="0" borderId="36" xfId="16" applyFont="1" applyBorder="1" applyAlignment="1">
      <alignment vertical="center"/>
    </xf>
    <xf numFmtId="0" fontId="14" fillId="0" borderId="12" xfId="16" applyFont="1" applyBorder="1" applyAlignment="1">
      <alignment vertical="center"/>
    </xf>
    <xf numFmtId="0" fontId="14" fillId="0" borderId="15" xfId="16" applyFont="1" applyBorder="1" applyAlignment="1">
      <alignment vertical="center" wrapText="1"/>
    </xf>
    <xf numFmtId="167" fontId="15" fillId="0" borderId="16" xfId="1" applyNumberFormat="1" applyFont="1" applyBorder="1" applyAlignment="1">
      <alignment vertical="center"/>
    </xf>
    <xf numFmtId="3" fontId="15" fillId="0" borderId="14" xfId="16" applyNumberFormat="1" applyFont="1" applyBorder="1" applyAlignment="1">
      <alignment vertical="center"/>
    </xf>
    <xf numFmtId="3" fontId="15" fillId="0" borderId="16" xfId="16" applyNumberFormat="1" applyFont="1" applyBorder="1" applyAlignment="1">
      <alignment vertical="center"/>
    </xf>
    <xf numFmtId="0" fontId="46" fillId="0" borderId="5" xfId="0" applyFont="1" applyFill="1" applyBorder="1" applyAlignment="1">
      <alignment horizontal="center" vertical="center" wrapText="1"/>
    </xf>
    <xf numFmtId="3" fontId="31" fillId="0" borderId="5" xfId="21" applyNumberFormat="1" applyFont="1" applyFill="1" applyBorder="1" applyAlignment="1">
      <alignment horizontal="right" vertical="center"/>
    </xf>
    <xf numFmtId="3" fontId="27" fillId="0" borderId="0" xfId="21" applyNumberFormat="1" applyFont="1" applyFill="1" applyAlignment="1">
      <alignment horizontal="right" vertical="center"/>
    </xf>
    <xf numFmtId="0" fontId="10" fillId="0" borderId="49" xfId="0" applyFont="1" applyBorder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3" fontId="31" fillId="8" borderId="27" xfId="1" applyNumberFormat="1" applyFont="1" applyFill="1" applyBorder="1" applyAlignment="1">
      <alignment horizontal="right" vertical="center"/>
    </xf>
    <xf numFmtId="3" fontId="31" fillId="8" borderId="27" xfId="1" applyNumberFormat="1" applyFont="1" applyFill="1" applyBorder="1" applyAlignment="1">
      <alignment vertical="center"/>
    </xf>
    <xf numFmtId="3" fontId="29" fillId="0" borderId="27" xfId="1" applyNumberFormat="1" applyFont="1" applyFill="1" applyBorder="1" applyAlignment="1">
      <alignment horizontal="right" vertical="center"/>
    </xf>
    <xf numFmtId="3" fontId="27" fillId="0" borderId="27" xfId="1" applyNumberFormat="1" applyFont="1" applyFill="1" applyBorder="1" applyAlignment="1">
      <alignment horizontal="right" vertical="center"/>
    </xf>
    <xf numFmtId="3" fontId="29" fillId="0" borderId="27" xfId="1" applyNumberFormat="1" applyFont="1" applyBorder="1" applyAlignment="1">
      <alignment horizontal="right" vertical="center"/>
    </xf>
    <xf numFmtId="3" fontId="10" fillId="0" borderId="27" xfId="1" applyNumberFormat="1" applyFont="1" applyFill="1" applyBorder="1" applyAlignment="1">
      <alignment horizontal="right" vertical="center"/>
    </xf>
    <xf numFmtId="49" fontId="29" fillId="0" borderId="49" xfId="21" applyNumberFormat="1" applyFont="1" applyFill="1" applyBorder="1" applyAlignment="1">
      <alignment vertical="center"/>
    </xf>
    <xf numFmtId="0" fontId="29" fillId="0" borderId="31" xfId="21" applyFont="1" applyFill="1" applyBorder="1" applyAlignment="1">
      <alignment vertical="center"/>
    </xf>
    <xf numFmtId="0" fontId="29" fillId="0" borderId="38" xfId="21" applyFont="1" applyFill="1" applyBorder="1" applyAlignment="1">
      <alignment vertical="center"/>
    </xf>
    <xf numFmtId="3" fontId="12" fillId="0" borderId="19" xfId="1" applyNumberFormat="1" applyFont="1" applyBorder="1" applyAlignment="1">
      <alignment horizontal="right" vertical="center"/>
    </xf>
    <xf numFmtId="0" fontId="46" fillId="0" borderId="6" xfId="0" applyFont="1" applyBorder="1" applyAlignment="1">
      <alignment horizontal="center" vertical="center" wrapText="1"/>
    </xf>
    <xf numFmtId="3" fontId="12" fillId="0" borderId="54" xfId="1" applyNumberFormat="1" applyFont="1" applyBorder="1" applyAlignment="1">
      <alignment horizontal="right" vertical="center"/>
    </xf>
    <xf numFmtId="3" fontId="10" fillId="0" borderId="32" xfId="0" applyNumberFormat="1" applyFont="1" applyBorder="1" applyAlignment="1">
      <alignment vertical="center"/>
    </xf>
    <xf numFmtId="0" fontId="46" fillId="0" borderId="8" xfId="0" applyFont="1" applyBorder="1" applyAlignment="1">
      <alignment horizontal="center" vertical="center" wrapText="1"/>
    </xf>
    <xf numFmtId="3" fontId="10" fillId="0" borderId="50" xfId="1" applyNumberFormat="1" applyFont="1" applyBorder="1" applyAlignment="1">
      <alignment horizontal="right" vertical="center"/>
    </xf>
    <xf numFmtId="0" fontId="46" fillId="0" borderId="46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0" fillId="0" borderId="53" xfId="0" applyBorder="1" applyAlignment="1">
      <alignment vertical="center"/>
    </xf>
    <xf numFmtId="3" fontId="10" fillId="0" borderId="6" xfId="1" applyNumberFormat="1" applyFont="1" applyBorder="1" applyAlignment="1">
      <alignment horizontal="right" vertical="center"/>
    </xf>
    <xf numFmtId="3" fontId="10" fillId="0" borderId="19" xfId="0" applyNumberFormat="1" applyFont="1" applyFill="1" applyBorder="1" applyAlignment="1">
      <alignment horizontal="right" vertical="center"/>
    </xf>
    <xf numFmtId="3" fontId="10" fillId="0" borderId="49" xfId="0" applyNumberFormat="1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7" fontId="15" fillId="0" borderId="0" xfId="1" applyNumberFormat="1" applyFont="1" applyBorder="1" applyAlignment="1">
      <alignment vertical="center"/>
    </xf>
    <xf numFmtId="3" fontId="14" fillId="0" borderId="0" xfId="16" applyNumberFormat="1" applyFont="1" applyBorder="1" applyAlignment="1">
      <alignment vertical="center"/>
    </xf>
    <xf numFmtId="3" fontId="15" fillId="0" borderId="0" xfId="16" applyNumberFormat="1" applyFont="1" applyBorder="1" applyAlignment="1">
      <alignment vertical="center"/>
    </xf>
    <xf numFmtId="167" fontId="15" fillId="0" borderId="19" xfId="1" applyNumberFormat="1" applyFont="1" applyBorder="1" applyAlignment="1">
      <alignment horizontal="center" vertical="center" wrapText="1"/>
    </xf>
    <xf numFmtId="3" fontId="14" fillId="0" borderId="37" xfId="16" applyNumberFormat="1" applyFont="1" applyBorder="1" applyAlignment="1">
      <alignment vertical="center"/>
    </xf>
    <xf numFmtId="3" fontId="14" fillId="0" borderId="27" xfId="16" applyNumberFormat="1" applyFont="1" applyBorder="1" applyAlignment="1">
      <alignment vertical="center"/>
    </xf>
    <xf numFmtId="3" fontId="15" fillId="0" borderId="19" xfId="16" applyNumberFormat="1" applyFont="1" applyBorder="1" applyAlignment="1">
      <alignment vertical="center"/>
    </xf>
    <xf numFmtId="3" fontId="15" fillId="0" borderId="49" xfId="16" applyNumberFormat="1" applyFont="1" applyBorder="1" applyAlignment="1">
      <alignment vertical="center"/>
    </xf>
    <xf numFmtId="3" fontId="14" fillId="0" borderId="18" xfId="16" applyNumberFormat="1" applyFont="1" applyBorder="1" applyAlignment="1">
      <alignment vertical="center"/>
    </xf>
    <xf numFmtId="3" fontId="14" fillId="0" borderId="37" xfId="1" applyNumberFormat="1" applyFont="1" applyBorder="1" applyAlignment="1">
      <alignment vertical="center"/>
    </xf>
    <xf numFmtId="3" fontId="15" fillId="0" borderId="27" xfId="16" applyNumberFormat="1" applyFont="1" applyBorder="1" applyAlignment="1">
      <alignment vertical="center"/>
    </xf>
    <xf numFmtId="167" fontId="15" fillId="0" borderId="31" xfId="1" applyNumberFormat="1" applyFont="1" applyBorder="1" applyAlignment="1">
      <alignment vertical="center"/>
    </xf>
    <xf numFmtId="167" fontId="15" fillId="0" borderId="14" xfId="1" applyNumberFormat="1" applyFont="1" applyBorder="1" applyAlignment="1">
      <alignment vertical="center"/>
    </xf>
    <xf numFmtId="0" fontId="51" fillId="0" borderId="0" xfId="13" applyFont="1" applyFill="1"/>
    <xf numFmtId="0" fontId="10" fillId="0" borderId="0" xfId="19" applyFont="1" applyFill="1"/>
    <xf numFmtId="0" fontId="10" fillId="0" borderId="0" xfId="13" applyFont="1" applyFill="1"/>
    <xf numFmtId="0" fontId="53" fillId="0" borderId="0" xfId="13" applyFont="1" applyFill="1" applyAlignment="1">
      <alignment horizontal="center" vertical="center"/>
    </xf>
    <xf numFmtId="0" fontId="14" fillId="0" borderId="0" xfId="19" applyFont="1" applyFill="1" applyBorder="1" applyAlignment="1">
      <alignment horizontal="center" vertical="center"/>
    </xf>
    <xf numFmtId="0" fontId="14" fillId="0" borderId="0" xfId="19" applyFont="1" applyFill="1" applyBorder="1" applyAlignment="1">
      <alignment vertical="center" wrapText="1"/>
    </xf>
    <xf numFmtId="3" fontId="14" fillId="0" borderId="0" xfId="19" applyNumberFormat="1" applyFont="1" applyFill="1" applyBorder="1"/>
    <xf numFmtId="3" fontId="14" fillId="0" borderId="0" xfId="19" applyNumberFormat="1" applyFont="1" applyFill="1" applyBorder="1" applyAlignment="1"/>
    <xf numFmtId="0" fontId="14" fillId="0" borderId="0" xfId="13" applyFont="1" applyFill="1"/>
    <xf numFmtId="0" fontId="14" fillId="0" borderId="0" xfId="13" applyFont="1" applyFill="1" applyAlignment="1">
      <alignment horizontal="right"/>
    </xf>
    <xf numFmtId="0" fontId="15" fillId="0" borderId="20" xfId="19" applyFont="1" applyFill="1" applyBorder="1" applyAlignment="1">
      <alignment horizontal="center" vertical="center" wrapText="1"/>
    </xf>
    <xf numFmtId="3" fontId="15" fillId="0" borderId="20" xfId="19" applyNumberFormat="1" applyFont="1" applyFill="1" applyBorder="1" applyAlignment="1">
      <alignment horizontal="center" vertical="center" wrapText="1"/>
    </xf>
    <xf numFmtId="3" fontId="15" fillId="0" borderId="39" xfId="19" applyNumberFormat="1" applyFont="1" applyFill="1" applyBorder="1" applyAlignment="1">
      <alignment horizontal="center" vertical="center" wrapText="1"/>
    </xf>
    <xf numFmtId="0" fontId="14" fillId="0" borderId="5" xfId="19" applyFont="1" applyFill="1" applyBorder="1" applyAlignment="1">
      <alignment vertical="center" wrapText="1"/>
    </xf>
    <xf numFmtId="166" fontId="14" fillId="0" borderId="5" xfId="4" applyNumberFormat="1" applyFont="1" applyFill="1" applyBorder="1" applyAlignment="1">
      <alignment horizontal="right" vertical="center"/>
    </xf>
    <xf numFmtId="166" fontId="14" fillId="0" borderId="33" xfId="4" applyNumberFormat="1" applyFont="1" applyFill="1" applyBorder="1" applyAlignment="1">
      <alignment horizontal="right" vertical="center"/>
    </xf>
    <xf numFmtId="0" fontId="14" fillId="0" borderId="5" xfId="13" applyFont="1" applyFill="1" applyBorder="1" applyAlignment="1">
      <alignment vertical="center" wrapText="1"/>
    </xf>
    <xf numFmtId="0" fontId="14" fillId="0" borderId="15" xfId="13" applyFont="1" applyFill="1" applyBorder="1" applyAlignment="1">
      <alignment vertical="center" wrapText="1"/>
    </xf>
    <xf numFmtId="166" fontId="14" fillId="0" borderId="15" xfId="4" applyNumberFormat="1" applyFont="1" applyFill="1" applyBorder="1" applyAlignment="1">
      <alignment horizontal="right" vertical="center"/>
    </xf>
    <xf numFmtId="0" fontId="15" fillId="0" borderId="21" xfId="13" applyFont="1" applyFill="1" applyBorder="1" applyAlignment="1">
      <alignment vertical="center"/>
    </xf>
    <xf numFmtId="166" fontId="15" fillId="0" borderId="21" xfId="4" applyNumberFormat="1" applyFont="1" applyFill="1" applyBorder="1" applyAlignment="1">
      <alignment horizontal="right" vertical="center"/>
    </xf>
    <xf numFmtId="166" fontId="15" fillId="0" borderId="35" xfId="4" applyNumberFormat="1" applyFont="1" applyFill="1" applyBorder="1" applyAlignment="1">
      <alignment horizontal="right" vertical="center"/>
    </xf>
    <xf numFmtId="0" fontId="10" fillId="0" borderId="0" xfId="13" applyFont="1"/>
    <xf numFmtId="0" fontId="10" fillId="0" borderId="0" xfId="19" applyFont="1" applyAlignment="1">
      <alignment horizontal="right" vertical="center"/>
    </xf>
    <xf numFmtId="0" fontId="10" fillId="0" borderId="0" xfId="13" applyFont="1" applyAlignment="1">
      <alignment horizontal="right" vertical="center"/>
    </xf>
    <xf numFmtId="0" fontId="20" fillId="0" borderId="0" xfId="18" applyFont="1" applyAlignment="1">
      <alignment horizontal="center" vertical="center"/>
    </xf>
    <xf numFmtId="0" fontId="20" fillId="0" borderId="0" xfId="13" applyFont="1" applyAlignment="1">
      <alignment horizontal="center" vertical="center"/>
    </xf>
    <xf numFmtId="0" fontId="14" fillId="0" borderId="0" xfId="13" applyFont="1"/>
    <xf numFmtId="0" fontId="15" fillId="0" borderId="0" xfId="13" applyFont="1" applyAlignment="1">
      <alignment horizontal="center" vertical="center"/>
    </xf>
    <xf numFmtId="0" fontId="14" fillId="0" borderId="0" xfId="13" applyFont="1" applyAlignment="1">
      <alignment vertical="center"/>
    </xf>
    <xf numFmtId="0" fontId="14" fillId="0" borderId="0" xfId="13" applyFont="1" applyBorder="1" applyAlignment="1">
      <alignment vertical="center"/>
    </xf>
    <xf numFmtId="3" fontId="14" fillId="0" borderId="0" xfId="13" applyNumberFormat="1" applyFont="1" applyBorder="1" applyAlignment="1">
      <alignment horizontal="right" vertical="center"/>
    </xf>
    <xf numFmtId="0" fontId="14" fillId="0" borderId="24" xfId="13" applyFont="1" applyBorder="1" applyAlignment="1">
      <alignment horizontal="center" vertical="center"/>
    </xf>
    <xf numFmtId="166" fontId="15" fillId="0" borderId="30" xfId="4" applyNumberFormat="1" applyFont="1" applyBorder="1" applyAlignment="1">
      <alignment horizontal="center" vertical="center"/>
    </xf>
    <xf numFmtId="0" fontId="15" fillId="0" borderId="30" xfId="13" applyFont="1" applyBorder="1" applyAlignment="1">
      <alignment horizontal="center" vertical="center" wrapText="1"/>
    </xf>
    <xf numFmtId="0" fontId="15" fillId="0" borderId="47" xfId="13" applyFont="1" applyBorder="1" applyAlignment="1">
      <alignment horizontal="center" vertical="center" wrapText="1"/>
    </xf>
    <xf numFmtId="3" fontId="15" fillId="0" borderId="25" xfId="13" applyNumberFormat="1" applyFont="1" applyBorder="1" applyAlignment="1">
      <alignment horizontal="center" vertical="center"/>
    </xf>
    <xf numFmtId="0" fontId="14" fillId="0" borderId="42" xfId="13" applyFont="1" applyBorder="1" applyAlignment="1">
      <alignment horizontal="center" vertical="center"/>
    </xf>
    <xf numFmtId="166" fontId="15" fillId="0" borderId="12" xfId="4" applyNumberFormat="1" applyFont="1" applyBorder="1" applyAlignment="1">
      <alignment horizontal="center" vertical="center"/>
    </xf>
    <xf numFmtId="166" fontId="15" fillId="0" borderId="12" xfId="4" applyNumberFormat="1" applyFont="1" applyBorder="1" applyAlignment="1">
      <alignment horizontal="center" vertical="center" wrapText="1"/>
    </xf>
    <xf numFmtId="166" fontId="15" fillId="0" borderId="38" xfId="4" applyNumberFormat="1" applyFont="1" applyBorder="1" applyAlignment="1">
      <alignment horizontal="center" vertical="center"/>
    </xf>
    <xf numFmtId="3" fontId="15" fillId="0" borderId="41" xfId="13" applyNumberFormat="1" applyFont="1" applyBorder="1" applyAlignment="1">
      <alignment horizontal="center" vertical="center"/>
    </xf>
    <xf numFmtId="0" fontId="14" fillId="0" borderId="32" xfId="13" applyFont="1" applyBorder="1" applyAlignment="1">
      <alignment horizontal="center" vertical="center"/>
    </xf>
    <xf numFmtId="166" fontId="14" fillId="0" borderId="5" xfId="4" applyNumberFormat="1" applyFont="1" applyBorder="1" applyAlignment="1">
      <alignment vertical="center"/>
    </xf>
    <xf numFmtId="166" fontId="14" fillId="0" borderId="49" xfId="4" applyNumberFormat="1" applyFont="1" applyBorder="1" applyAlignment="1">
      <alignment vertical="center"/>
    </xf>
    <xf numFmtId="0" fontId="14" fillId="0" borderId="55" xfId="13" applyFont="1" applyBorder="1" applyAlignment="1">
      <alignment horizontal="center" vertical="center"/>
    </xf>
    <xf numFmtId="166" fontId="15" fillId="0" borderId="15" xfId="4" applyNumberFormat="1" applyFont="1" applyBorder="1" applyAlignment="1">
      <alignment vertical="center"/>
    </xf>
    <xf numFmtId="166" fontId="15" fillId="0" borderId="26" xfId="4" applyNumberFormat="1" applyFont="1" applyBorder="1" applyAlignment="1">
      <alignment vertical="center"/>
    </xf>
    <xf numFmtId="166" fontId="15" fillId="0" borderId="30" xfId="4" applyNumberFormat="1" applyFont="1" applyBorder="1" applyAlignment="1">
      <alignment vertical="center"/>
    </xf>
    <xf numFmtId="166" fontId="15" fillId="0" borderId="25" xfId="4" applyNumberFormat="1" applyFont="1" applyBorder="1" applyAlignment="1">
      <alignment vertical="center"/>
    </xf>
    <xf numFmtId="0" fontId="10" fillId="0" borderId="0" xfId="13" applyFont="1" applyBorder="1"/>
    <xf numFmtId="166" fontId="16" fillId="0" borderId="0" xfId="4" applyNumberFormat="1" applyFont="1"/>
    <xf numFmtId="0" fontId="16" fillId="0" borderId="0" xfId="13" applyFont="1" applyAlignment="1">
      <alignment horizontal="center"/>
    </xf>
    <xf numFmtId="0" fontId="10" fillId="0" borderId="0" xfId="13" applyFont="1" applyAlignment="1">
      <alignment horizontal="right"/>
    </xf>
    <xf numFmtId="0" fontId="14" fillId="0" borderId="0" xfId="13" applyFont="1" applyAlignment="1">
      <alignment horizontal="center" vertical="center"/>
    </xf>
    <xf numFmtId="0" fontId="15" fillId="0" borderId="0" xfId="13" applyFont="1" applyAlignment="1">
      <alignment horizontal="center"/>
    </xf>
    <xf numFmtId="0" fontId="15" fillId="0" borderId="0" xfId="13" applyFont="1" applyFill="1" applyAlignment="1">
      <alignment horizontal="center"/>
    </xf>
    <xf numFmtId="0" fontId="15" fillId="0" borderId="0" xfId="13" applyFont="1" applyFill="1" applyAlignment="1">
      <alignment horizontal="right"/>
    </xf>
    <xf numFmtId="0" fontId="14" fillId="0" borderId="0" xfId="13" applyFont="1" applyAlignment="1">
      <alignment horizontal="right"/>
    </xf>
    <xf numFmtId="0" fontId="14" fillId="0" borderId="56" xfId="13" applyFont="1" applyBorder="1" applyAlignment="1">
      <alignment horizontal="center" vertical="center"/>
    </xf>
    <xf numFmtId="0" fontId="15" fillId="0" borderId="40" xfId="13" applyFont="1" applyFill="1" applyBorder="1" applyAlignment="1">
      <alignment horizontal="center" vertical="center" wrapText="1"/>
    </xf>
    <xf numFmtId="0" fontId="15" fillId="0" borderId="20" xfId="13" applyFont="1" applyFill="1" applyBorder="1" applyAlignment="1">
      <alignment horizontal="center" vertical="center" wrapText="1"/>
    </xf>
    <xf numFmtId="0" fontId="15" fillId="0" borderId="57" xfId="13" applyFont="1" applyBorder="1" applyAlignment="1">
      <alignment horizontal="center" vertical="center" wrapText="1"/>
    </xf>
    <xf numFmtId="0" fontId="15" fillId="0" borderId="20" xfId="13" applyFont="1" applyBorder="1" applyAlignment="1">
      <alignment horizontal="center" vertical="center" wrapText="1"/>
    </xf>
    <xf numFmtId="0" fontId="15" fillId="0" borderId="58" xfId="13" applyFont="1" applyBorder="1" applyAlignment="1">
      <alignment horizontal="center" vertical="center" wrapText="1"/>
    </xf>
    <xf numFmtId="0" fontId="15" fillId="0" borderId="23" xfId="13" applyFont="1" applyFill="1" applyBorder="1" applyAlignment="1">
      <alignment horizontal="center" vertical="center" wrapText="1"/>
    </xf>
    <xf numFmtId="0" fontId="14" fillId="0" borderId="3" xfId="13" applyFont="1" applyBorder="1" applyAlignment="1">
      <alignment horizontal="center" vertical="center"/>
    </xf>
    <xf numFmtId="0" fontId="14" fillId="0" borderId="32" xfId="13" applyFont="1" applyFill="1" applyBorder="1" applyAlignment="1">
      <alignment vertical="center"/>
    </xf>
    <xf numFmtId="166" fontId="14" fillId="0" borderId="5" xfId="4" applyNumberFormat="1" applyFont="1" applyFill="1" applyBorder="1" applyAlignment="1">
      <alignment horizontal="center" vertical="center"/>
    </xf>
    <xf numFmtId="166" fontId="14" fillId="0" borderId="14" xfId="4" applyNumberFormat="1" applyFont="1" applyBorder="1" applyAlignment="1">
      <alignment vertical="center"/>
    </xf>
    <xf numFmtId="166" fontId="14" fillId="0" borderId="1" xfId="4" applyNumberFormat="1" applyFont="1" applyFill="1" applyBorder="1" applyAlignment="1">
      <alignment horizontal="center" vertical="center"/>
    </xf>
    <xf numFmtId="0" fontId="10" fillId="0" borderId="0" xfId="13" applyFont="1" applyAlignment="1">
      <alignment vertical="center"/>
    </xf>
    <xf numFmtId="0" fontId="14" fillId="0" borderId="32" xfId="13" applyFont="1" applyFill="1" applyBorder="1" applyAlignment="1">
      <alignment vertical="center" wrapText="1"/>
    </xf>
    <xf numFmtId="166" fontId="14" fillId="0" borderId="19" xfId="4" applyNumberFormat="1" applyFont="1" applyFill="1" applyBorder="1" applyAlignment="1">
      <alignment horizontal="center" vertical="center"/>
    </xf>
    <xf numFmtId="0" fontId="15" fillId="0" borderId="3" xfId="13" applyFont="1" applyBorder="1" applyAlignment="1">
      <alignment horizontal="center" vertical="center"/>
    </xf>
    <xf numFmtId="0" fontId="15" fillId="0" borderId="32" xfId="13" applyFont="1" applyFill="1" applyBorder="1" applyAlignment="1">
      <alignment vertical="center" wrapText="1"/>
    </xf>
    <xf numFmtId="166" fontId="15" fillId="0" borderId="19" xfId="4" applyNumberFormat="1" applyFont="1" applyFill="1" applyBorder="1" applyAlignment="1">
      <alignment horizontal="center" vertical="center"/>
    </xf>
    <xf numFmtId="166" fontId="15" fillId="0" borderId="1" xfId="4" applyNumberFormat="1" applyFont="1" applyFill="1" applyBorder="1" applyAlignment="1">
      <alignment horizontal="center" vertical="center"/>
    </xf>
    <xf numFmtId="49" fontId="14" fillId="0" borderId="32" xfId="13" applyNumberFormat="1" applyFont="1" applyFill="1" applyBorder="1" applyAlignment="1">
      <alignment vertical="center" wrapText="1"/>
    </xf>
    <xf numFmtId="0" fontId="10" fillId="0" borderId="0" xfId="13" applyFont="1" applyBorder="1" applyAlignment="1">
      <alignment vertical="center"/>
    </xf>
    <xf numFmtId="166" fontId="15" fillId="0" borderId="5" xfId="4" applyNumberFormat="1" applyFont="1" applyFill="1" applyBorder="1" applyAlignment="1">
      <alignment horizontal="center" vertical="center"/>
    </xf>
    <xf numFmtId="166" fontId="15" fillId="0" borderId="49" xfId="4" applyNumberFormat="1" applyFont="1" applyFill="1" applyBorder="1" applyAlignment="1">
      <alignment horizontal="center" vertical="center"/>
    </xf>
    <xf numFmtId="49" fontId="15" fillId="0" borderId="32" xfId="13" applyNumberFormat="1" applyFont="1" applyFill="1" applyBorder="1" applyAlignment="1">
      <alignment vertical="center" wrapText="1"/>
    </xf>
    <xf numFmtId="166" fontId="15" fillId="0" borderId="5" xfId="13" applyNumberFormat="1" applyFont="1" applyBorder="1" applyAlignment="1">
      <alignment vertical="center"/>
    </xf>
    <xf numFmtId="3" fontId="12" fillId="0" borderId="0" xfId="13" applyNumberFormat="1" applyFont="1" applyFill="1" applyBorder="1" applyAlignment="1">
      <alignment horizontal="center" vertical="center"/>
    </xf>
    <xf numFmtId="0" fontId="15" fillId="0" borderId="59" xfId="13" applyFont="1" applyBorder="1" applyAlignment="1">
      <alignment horizontal="center" vertical="center"/>
    </xf>
    <xf numFmtId="49" fontId="15" fillId="0" borderId="55" xfId="13" applyNumberFormat="1" applyFont="1" applyFill="1" applyBorder="1" applyAlignment="1">
      <alignment vertical="center" wrapText="1"/>
    </xf>
    <xf numFmtId="166" fontId="15" fillId="0" borderId="18" xfId="4" applyNumberFormat="1" applyFont="1" applyFill="1" applyBorder="1" applyAlignment="1">
      <alignment horizontal="center" vertical="center"/>
    </xf>
    <xf numFmtId="166" fontId="15" fillId="0" borderId="15" xfId="4" applyNumberFormat="1" applyFont="1" applyFill="1" applyBorder="1" applyAlignment="1">
      <alignment horizontal="center" vertical="center"/>
    </xf>
    <xf numFmtId="166" fontId="15" fillId="0" borderId="31" xfId="4" applyNumberFormat="1" applyFont="1" applyFill="1" applyBorder="1" applyAlignment="1">
      <alignment horizontal="center" vertical="center"/>
    </xf>
    <xf numFmtId="166" fontId="14" fillId="0" borderId="26" xfId="4" applyNumberFormat="1" applyFont="1" applyFill="1" applyBorder="1" applyAlignment="1">
      <alignment horizontal="center" vertical="center"/>
    </xf>
    <xf numFmtId="0" fontId="15" fillId="0" borderId="43" xfId="13" applyFont="1" applyBorder="1" applyAlignment="1">
      <alignment horizontal="center" vertical="center"/>
    </xf>
    <xf numFmtId="49" fontId="15" fillId="0" borderId="24" xfId="13" applyNumberFormat="1" applyFont="1" applyFill="1" applyBorder="1" applyAlignment="1">
      <alignment vertical="center" wrapText="1"/>
    </xf>
    <xf numFmtId="166" fontId="15" fillId="0" borderId="28" xfId="4" applyNumberFormat="1" applyFont="1" applyFill="1" applyBorder="1" applyAlignment="1">
      <alignment horizontal="center" vertical="center"/>
    </xf>
    <xf numFmtId="166" fontId="15" fillId="0" borderId="30" xfId="4" applyNumberFormat="1" applyFont="1" applyFill="1" applyBorder="1" applyAlignment="1">
      <alignment horizontal="center" vertical="center"/>
    </xf>
    <xf numFmtId="166" fontId="15" fillId="0" borderId="25" xfId="4" applyNumberFormat="1" applyFont="1" applyFill="1" applyBorder="1" applyAlignment="1">
      <alignment horizontal="center" vertical="center"/>
    </xf>
    <xf numFmtId="166" fontId="15" fillId="0" borderId="29" xfId="4" applyNumberFormat="1" applyFont="1" applyBorder="1" applyAlignment="1">
      <alignment vertical="center"/>
    </xf>
    <xf numFmtId="166" fontId="15" fillId="0" borderId="47" xfId="4" applyNumberFormat="1" applyFont="1" applyBorder="1" applyAlignment="1">
      <alignment vertical="center"/>
    </xf>
    <xf numFmtId="0" fontId="15" fillId="0" borderId="24" xfId="13" applyFont="1" applyFill="1" applyBorder="1" applyAlignment="1">
      <alignment vertical="center"/>
    </xf>
    <xf numFmtId="0" fontId="10" fillId="0" borderId="0" xfId="13" applyFont="1" applyAlignment="1">
      <alignment horizontal="center" vertical="center"/>
    </xf>
    <xf numFmtId="166" fontId="10" fillId="0" borderId="0" xfId="4" applyNumberFormat="1" applyFont="1"/>
    <xf numFmtId="0" fontId="14" fillId="0" borderId="0" xfId="13" applyFont="1" applyAlignment="1">
      <alignment horizontal="center"/>
    </xf>
    <xf numFmtId="0" fontId="54" fillId="0" borderId="0" xfId="13" applyFont="1"/>
    <xf numFmtId="0" fontId="14" fillId="0" borderId="0" xfId="13" applyFont="1" applyFill="1" applyBorder="1"/>
    <xf numFmtId="0" fontId="14" fillId="0" borderId="0" xfId="13" applyFont="1" applyFill="1" applyBorder="1" applyAlignment="1">
      <alignment horizontal="center"/>
    </xf>
    <xf numFmtId="0" fontId="15" fillId="0" borderId="0" xfId="13" applyFont="1" applyFill="1" applyBorder="1" applyAlignment="1">
      <alignment horizontal="center" vertical="center"/>
    </xf>
    <xf numFmtId="0" fontId="14" fillId="0" borderId="0" xfId="17" applyFont="1" applyFill="1" applyBorder="1" applyAlignment="1">
      <alignment horizontal="center" vertical="center"/>
    </xf>
    <xf numFmtId="0" fontId="14" fillId="0" borderId="0" xfId="18" applyFont="1" applyFill="1" applyBorder="1" applyAlignment="1">
      <alignment horizontal="center"/>
    </xf>
    <xf numFmtId="0" fontId="54" fillId="0" borderId="0" xfId="13" applyFont="1" applyFill="1" applyBorder="1"/>
    <xf numFmtId="0" fontId="39" fillId="0" borderId="0" xfId="13" applyFont="1" applyAlignment="1">
      <alignment horizontal="center"/>
    </xf>
    <xf numFmtId="0" fontId="15" fillId="0" borderId="0" xfId="18" applyFont="1" applyAlignment="1">
      <alignment horizontal="center"/>
    </xf>
    <xf numFmtId="0" fontId="14" fillId="0" borderId="0" xfId="18" applyFont="1"/>
    <xf numFmtId="0" fontId="55" fillId="0" borderId="0" xfId="13" applyFont="1"/>
    <xf numFmtId="0" fontId="14" fillId="0" borderId="40" xfId="13" applyFont="1" applyFill="1" applyBorder="1" applyAlignment="1">
      <alignment horizontal="center"/>
    </xf>
    <xf numFmtId="0" fontId="15" fillId="0" borderId="20" xfId="18" applyFont="1" applyBorder="1" applyAlignment="1">
      <alignment horizontal="center" vertical="center" wrapText="1"/>
    </xf>
    <xf numFmtId="0" fontId="15" fillId="0" borderId="39" xfId="18" applyFont="1" applyBorder="1" applyAlignment="1">
      <alignment horizontal="center" vertical="center" wrapText="1"/>
    </xf>
    <xf numFmtId="0" fontId="14" fillId="0" borderId="32" xfId="13" applyFont="1" applyFill="1" applyBorder="1" applyAlignment="1">
      <alignment horizontal="center"/>
    </xf>
    <xf numFmtId="0" fontId="15" fillId="0" borderId="5" xfId="13" applyFont="1" applyBorder="1" applyAlignment="1">
      <alignment horizontal="center" vertical="center"/>
    </xf>
    <xf numFmtId="0" fontId="14" fillId="0" borderId="5" xfId="18" applyFont="1" applyBorder="1" applyAlignment="1">
      <alignment vertical="center"/>
    </xf>
    <xf numFmtId="178" fontId="14" fillId="0" borderId="5" xfId="4" applyNumberFormat="1" applyFont="1" applyBorder="1" applyAlignment="1">
      <alignment horizontal="right" vertical="center"/>
    </xf>
    <xf numFmtId="178" fontId="14" fillId="0" borderId="50" xfId="4" applyNumberFormat="1" applyFont="1" applyBorder="1" applyAlignment="1">
      <alignment horizontal="right" vertical="center"/>
    </xf>
    <xf numFmtId="0" fontId="14" fillId="0" borderId="17" xfId="13" applyFont="1" applyBorder="1" applyAlignment="1">
      <alignment horizontal="center"/>
    </xf>
    <xf numFmtId="0" fontId="14" fillId="0" borderId="5" xfId="18" applyFont="1" applyBorder="1" applyAlignment="1">
      <alignment vertical="center" wrapText="1"/>
    </xf>
    <xf numFmtId="0" fontId="15" fillId="0" borderId="14" xfId="13" applyFont="1" applyBorder="1" applyAlignment="1">
      <alignment horizontal="center" vertical="center"/>
    </xf>
    <xf numFmtId="178" fontId="15" fillId="0" borderId="5" xfId="4" applyNumberFormat="1" applyFont="1" applyBorder="1" applyAlignment="1">
      <alignment horizontal="right" vertical="center"/>
    </xf>
    <xf numFmtId="178" fontId="15" fillId="0" borderId="50" xfId="4" applyNumberFormat="1" applyFont="1" applyBorder="1" applyAlignment="1">
      <alignment horizontal="right" vertical="center"/>
    </xf>
    <xf numFmtId="0" fontId="15" fillId="0" borderId="5" xfId="18" applyFont="1" applyBorder="1" applyAlignment="1">
      <alignment horizontal="left" vertical="center"/>
    </xf>
    <xf numFmtId="0" fontId="15" fillId="0" borderId="5" xfId="18" applyFont="1" applyBorder="1" applyAlignment="1">
      <alignment horizontal="center" vertical="center"/>
    </xf>
    <xf numFmtId="178" fontId="15" fillId="0" borderId="21" xfId="4" applyNumberFormat="1" applyFont="1" applyBorder="1" applyAlignment="1">
      <alignment horizontal="right" vertical="center"/>
    </xf>
    <xf numFmtId="0" fontId="14" fillId="0" borderId="0" xfId="13" applyFont="1" applyBorder="1" applyAlignment="1">
      <alignment horizontal="center"/>
    </xf>
    <xf numFmtId="0" fontId="15" fillId="0" borderId="0" xfId="13" applyFont="1" applyBorder="1" applyAlignment="1">
      <alignment horizontal="center" vertical="center"/>
    </xf>
    <xf numFmtId="0" fontId="14" fillId="0" borderId="0" xfId="18" applyFont="1" applyBorder="1" applyAlignment="1">
      <alignment vertical="center"/>
    </xf>
    <xf numFmtId="0" fontId="14" fillId="0" borderId="0" xfId="18" applyFont="1" applyBorder="1"/>
    <xf numFmtId="0" fontId="14" fillId="0" borderId="53" xfId="18" applyFont="1" applyBorder="1"/>
    <xf numFmtId="178" fontId="14" fillId="0" borderId="50" xfId="4" applyNumberFormat="1" applyFont="1" applyFill="1" applyBorder="1" applyAlignment="1">
      <alignment horizontal="right" vertical="center"/>
    </xf>
    <xf numFmtId="178" fontId="15" fillId="0" borderId="50" xfId="4" applyNumberFormat="1" applyFont="1" applyFill="1" applyBorder="1" applyAlignment="1">
      <alignment horizontal="right" vertical="center"/>
    </xf>
    <xf numFmtId="0" fontId="14" fillId="0" borderId="34" xfId="13" applyFont="1" applyFill="1" applyBorder="1" applyAlignment="1">
      <alignment horizontal="center"/>
    </xf>
    <xf numFmtId="0" fontId="10" fillId="0" borderId="0" xfId="13" applyFont="1" applyFill="1" applyBorder="1"/>
    <xf numFmtId="0" fontId="10" fillId="0" borderId="40" xfId="13" applyFont="1" applyFill="1" applyBorder="1" applyAlignment="1">
      <alignment horizontal="center" vertical="center"/>
    </xf>
    <xf numFmtId="0" fontId="12" fillId="0" borderId="57" xfId="13" applyFont="1" applyBorder="1" applyAlignment="1">
      <alignment horizontal="center" vertical="center"/>
    </xf>
    <xf numFmtId="0" fontId="12" fillId="0" borderId="20" xfId="13" applyFont="1" applyBorder="1" applyAlignment="1">
      <alignment horizontal="center" vertical="center"/>
    </xf>
    <xf numFmtId="0" fontId="12" fillId="0" borderId="20" xfId="13" applyFont="1" applyBorder="1" applyAlignment="1">
      <alignment horizontal="center" vertical="center" wrapText="1"/>
    </xf>
    <xf numFmtId="0" fontId="12" fillId="0" borderId="39" xfId="13" applyFont="1" applyBorder="1" applyAlignment="1">
      <alignment horizontal="center" vertical="center" wrapText="1"/>
    </xf>
    <xf numFmtId="0" fontId="10" fillId="0" borderId="32" xfId="13" applyFont="1" applyFill="1" applyBorder="1" applyAlignment="1">
      <alignment horizontal="center" vertical="center"/>
    </xf>
    <xf numFmtId="0" fontId="12" fillId="0" borderId="14" xfId="13" applyFont="1" applyBorder="1" applyAlignment="1">
      <alignment horizontal="center" vertical="center"/>
    </xf>
    <xf numFmtId="0" fontId="12" fillId="0" borderId="5" xfId="13" applyFont="1" applyBorder="1" applyAlignment="1">
      <alignment vertical="center"/>
    </xf>
    <xf numFmtId="166" fontId="12" fillId="0" borderId="5" xfId="4" applyNumberFormat="1" applyFont="1" applyBorder="1" applyAlignment="1">
      <alignment vertical="center"/>
    </xf>
    <xf numFmtId="166" fontId="12" fillId="0" borderId="50" xfId="4" applyNumberFormat="1" applyFont="1" applyBorder="1" applyAlignment="1">
      <alignment vertical="center"/>
    </xf>
    <xf numFmtId="0" fontId="10" fillId="0" borderId="5" xfId="13" applyFont="1" applyBorder="1" applyAlignment="1">
      <alignment vertical="center" wrapText="1"/>
    </xf>
    <xf numFmtId="166" fontId="10" fillId="0" borderId="5" xfId="4" applyNumberFormat="1" applyFont="1" applyBorder="1" applyAlignment="1">
      <alignment vertical="center"/>
    </xf>
    <xf numFmtId="166" fontId="10" fillId="0" borderId="50" xfId="4" applyNumberFormat="1" applyFont="1" applyBorder="1" applyAlignment="1">
      <alignment vertical="center"/>
    </xf>
    <xf numFmtId="0" fontId="10" fillId="0" borderId="5" xfId="13" applyFont="1" applyBorder="1" applyAlignment="1">
      <alignment vertical="center"/>
    </xf>
    <xf numFmtId="166" fontId="10" fillId="0" borderId="5" xfId="5" applyNumberFormat="1" applyFont="1" applyBorder="1" applyAlignment="1">
      <alignment vertical="center"/>
    </xf>
    <xf numFmtId="0" fontId="12" fillId="0" borderId="17" xfId="13" applyFont="1" applyBorder="1" applyAlignment="1">
      <alignment horizontal="center" vertical="center"/>
    </xf>
    <xf numFmtId="0" fontId="10" fillId="0" borderId="14" xfId="13" applyFont="1" applyBorder="1" applyAlignment="1">
      <alignment horizontal="center" vertical="center"/>
    </xf>
    <xf numFmtId="0" fontId="12" fillId="0" borderId="11" xfId="13" applyFont="1" applyBorder="1" applyAlignment="1">
      <alignment horizontal="center" vertical="center"/>
    </xf>
    <xf numFmtId="0" fontId="12" fillId="0" borderId="21" xfId="13" applyFont="1" applyBorder="1" applyAlignment="1">
      <alignment vertical="center"/>
    </xf>
    <xf numFmtId="166" fontId="12" fillId="0" borderId="21" xfId="4" applyNumberFormat="1" applyFont="1" applyBorder="1" applyAlignment="1">
      <alignment vertical="center"/>
    </xf>
    <xf numFmtId="166" fontId="12" fillId="0" borderId="54" xfId="4" applyNumberFormat="1" applyFont="1" applyBorder="1" applyAlignment="1">
      <alignment vertical="center"/>
    </xf>
    <xf numFmtId="0" fontId="10" fillId="0" borderId="0" xfId="17" applyFont="1" applyFill="1" applyAlignment="1">
      <alignment vertical="center"/>
    </xf>
    <xf numFmtId="0" fontId="10" fillId="0" borderId="0" xfId="17" applyFont="1" applyAlignment="1">
      <alignment vertical="center"/>
    </xf>
    <xf numFmtId="0" fontId="10" fillId="0" borderId="0" xfId="22" applyFont="1" applyAlignment="1">
      <alignment horizontal="right" vertical="center"/>
    </xf>
    <xf numFmtId="0" fontId="10" fillId="0" borderId="0" xfId="22" applyFont="1"/>
    <xf numFmtId="0" fontId="10" fillId="0" borderId="0" xfId="22" applyFont="1" applyAlignment="1">
      <alignment horizontal="center"/>
    </xf>
    <xf numFmtId="0" fontId="10" fillId="0" borderId="0" xfId="22" applyFont="1" applyFill="1" applyAlignment="1">
      <alignment horizontal="center" vertical="center"/>
    </xf>
    <xf numFmtId="0" fontId="10" fillId="0" borderId="0" xfId="22" applyFont="1" applyAlignment="1">
      <alignment horizontal="center" vertical="center"/>
    </xf>
    <xf numFmtId="0" fontId="12" fillId="0" borderId="0" xfId="22" applyFont="1" applyAlignment="1">
      <alignment horizontal="center"/>
    </xf>
    <xf numFmtId="0" fontId="10" fillId="0" borderId="0" xfId="22" applyFont="1" applyAlignment="1">
      <alignment horizontal="right"/>
    </xf>
    <xf numFmtId="0" fontId="10" fillId="0" borderId="19" xfId="17" applyFont="1" applyFill="1" applyBorder="1" applyAlignment="1">
      <alignment horizontal="center" vertical="center"/>
    </xf>
    <xf numFmtId="0" fontId="12" fillId="0" borderId="60" xfId="13" applyFont="1" applyBorder="1" applyAlignment="1">
      <alignment horizontal="center" vertical="center" wrapText="1"/>
    </xf>
    <xf numFmtId="0" fontId="10" fillId="0" borderId="0" xfId="22" applyFont="1" applyBorder="1" applyAlignment="1">
      <alignment horizontal="center" vertical="center" wrapText="1"/>
    </xf>
    <xf numFmtId="0" fontId="10" fillId="0" borderId="0" xfId="22" applyFont="1" applyBorder="1"/>
    <xf numFmtId="166" fontId="12" fillId="0" borderId="32" xfId="4" applyNumberFormat="1" applyFont="1" applyFill="1" applyBorder="1" applyAlignment="1">
      <alignment horizontal="center" vertical="center"/>
    </xf>
    <xf numFmtId="166" fontId="12" fillId="0" borderId="50" xfId="4" applyNumberFormat="1" applyFont="1" applyFill="1" applyBorder="1"/>
    <xf numFmtId="178" fontId="10" fillId="0" borderId="0" xfId="4" applyNumberFormat="1" applyFont="1" applyBorder="1" applyAlignment="1">
      <alignment horizontal="right"/>
    </xf>
    <xf numFmtId="178" fontId="10" fillId="0" borderId="0" xfId="4" applyNumberFormat="1" applyFont="1" applyBorder="1" applyAlignment="1"/>
    <xf numFmtId="166" fontId="10" fillId="0" borderId="55" xfId="4" applyNumberFormat="1" applyFont="1" applyFill="1" applyBorder="1" applyAlignment="1">
      <alignment horizontal="center" vertical="center"/>
    </xf>
    <xf numFmtId="166" fontId="12" fillId="0" borderId="14" xfId="4" applyNumberFormat="1" applyFont="1" applyFill="1" applyBorder="1" applyAlignment="1">
      <alignment horizontal="center" vertical="center"/>
    </xf>
    <xf numFmtId="166" fontId="12" fillId="0" borderId="5" xfId="4" applyNumberFormat="1" applyFont="1" applyFill="1" applyBorder="1" applyAlignment="1">
      <alignment vertical="center" wrapText="1"/>
    </xf>
    <xf numFmtId="166" fontId="10" fillId="0" borderId="5" xfId="4" applyNumberFormat="1" applyFont="1" applyFill="1" applyBorder="1" applyAlignment="1">
      <alignment horizontal="center" vertical="center"/>
    </xf>
    <xf numFmtId="166" fontId="10" fillId="0" borderId="5" xfId="4" applyNumberFormat="1" applyFont="1" applyFill="1" applyBorder="1" applyAlignment="1">
      <alignment vertical="center" wrapText="1"/>
    </xf>
    <xf numFmtId="166" fontId="10" fillId="0" borderId="5" xfId="4" applyNumberFormat="1" applyFont="1" applyFill="1" applyBorder="1"/>
    <xf numFmtId="166" fontId="10" fillId="0" borderId="50" xfId="4" applyNumberFormat="1" applyFont="1" applyFill="1" applyBorder="1"/>
    <xf numFmtId="178" fontId="10" fillId="0" borderId="7" xfId="4" applyNumberFormat="1" applyFont="1" applyBorder="1" applyAlignment="1">
      <alignment horizontal="right"/>
    </xf>
    <xf numFmtId="166" fontId="12" fillId="0" borderId="5" xfId="4" applyNumberFormat="1" applyFont="1" applyFill="1" applyBorder="1" applyAlignment="1">
      <alignment horizontal="center" vertical="center"/>
    </xf>
    <xf numFmtId="166" fontId="10" fillId="0" borderId="32" xfId="4" applyNumberFormat="1" applyFont="1" applyFill="1" applyBorder="1" applyAlignment="1">
      <alignment horizontal="center" vertical="center"/>
    </xf>
    <xf numFmtId="166" fontId="12" fillId="0" borderId="55" xfId="4" applyNumberFormat="1" applyFont="1" applyFill="1" applyBorder="1" applyAlignment="1">
      <alignment horizontal="center" vertical="center"/>
    </xf>
    <xf numFmtId="166" fontId="10" fillId="0" borderId="15" xfId="4" applyNumberFormat="1" applyFont="1" applyFill="1" applyBorder="1" applyAlignment="1">
      <alignment vertical="center" wrapText="1"/>
    </xf>
    <xf numFmtId="166" fontId="12" fillId="0" borderId="13" xfId="4" applyNumberFormat="1" applyFont="1" applyFill="1" applyBorder="1" applyAlignment="1">
      <alignment horizontal="center" vertical="center"/>
    </xf>
    <xf numFmtId="166" fontId="12" fillId="0" borderId="54" xfId="4" applyNumberFormat="1" applyFont="1" applyFill="1" applyBorder="1"/>
    <xf numFmtId="166" fontId="10" fillId="0" borderId="3" xfId="4" applyNumberFormat="1" applyFont="1" applyFill="1" applyBorder="1" applyAlignment="1">
      <alignment horizontal="center" vertical="center"/>
    </xf>
    <xf numFmtId="166" fontId="12" fillId="0" borderId="60" xfId="4" applyNumberFormat="1" applyFont="1" applyFill="1" applyBorder="1" applyAlignment="1">
      <alignment vertical="center"/>
    </xf>
    <xf numFmtId="166" fontId="10" fillId="0" borderId="5" xfId="4" applyNumberFormat="1" applyFont="1" applyFill="1" applyBorder="1" applyAlignment="1">
      <alignment vertical="center"/>
    </xf>
    <xf numFmtId="166" fontId="10" fillId="0" borderId="50" xfId="4" applyNumberFormat="1" applyFont="1" applyFill="1" applyBorder="1" applyAlignment="1">
      <alignment vertical="center"/>
    </xf>
    <xf numFmtId="166" fontId="12" fillId="0" borderId="50" xfId="4" applyNumberFormat="1" applyFont="1" applyFill="1" applyBorder="1" applyAlignment="1">
      <alignment vertical="center"/>
    </xf>
    <xf numFmtId="166" fontId="10" fillId="0" borderId="14" xfId="4" applyNumberFormat="1" applyFont="1" applyFill="1" applyBorder="1" applyAlignment="1">
      <alignment horizontal="center" vertical="center"/>
    </xf>
    <xf numFmtId="166" fontId="10" fillId="0" borderId="14" xfId="4" applyNumberFormat="1" applyFont="1" applyFill="1" applyBorder="1" applyAlignment="1">
      <alignment vertical="center" wrapText="1"/>
    </xf>
    <xf numFmtId="166" fontId="12" fillId="0" borderId="54" xfId="4" applyNumberFormat="1" applyFont="1" applyFill="1" applyBorder="1" applyAlignment="1">
      <alignment vertical="center"/>
    </xf>
    <xf numFmtId="0" fontId="10" fillId="0" borderId="0" xfId="17" applyFont="1" applyFill="1" applyBorder="1" applyAlignment="1">
      <alignment horizontal="center" vertical="center"/>
    </xf>
    <xf numFmtId="0" fontId="10" fillId="0" borderId="0" xfId="22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0" fontId="12" fillId="0" borderId="0" xfId="22" applyFont="1" applyFill="1" applyBorder="1" applyAlignment="1">
      <alignment horizontal="center" vertical="center"/>
    </xf>
    <xf numFmtId="0" fontId="12" fillId="0" borderId="0" xfId="22" applyFont="1" applyBorder="1" applyAlignment="1">
      <alignment horizontal="center" vertical="center"/>
    </xf>
    <xf numFmtId="0" fontId="10" fillId="0" borderId="0" xfId="22" applyFont="1" applyFill="1" applyBorder="1" applyAlignment="1">
      <alignment horizontal="center" vertical="center"/>
    </xf>
    <xf numFmtId="0" fontId="12" fillId="0" borderId="0" xfId="22" applyFont="1" applyAlignment="1">
      <alignment horizontal="left"/>
    </xf>
    <xf numFmtId="166" fontId="10" fillId="0" borderId="0" xfId="4" applyNumberFormat="1" applyFont="1" applyFill="1" applyAlignment="1">
      <alignment horizontal="right"/>
    </xf>
    <xf numFmtId="166" fontId="12" fillId="0" borderId="56" xfId="4" applyNumberFormat="1" applyFont="1" applyFill="1" applyBorder="1" applyAlignment="1">
      <alignment vertical="center"/>
    </xf>
    <xf numFmtId="0" fontId="10" fillId="0" borderId="8" xfId="22" applyFont="1" applyFill="1" applyBorder="1" applyAlignment="1">
      <alignment horizontal="center" vertical="center"/>
    </xf>
    <xf numFmtId="166" fontId="10" fillId="0" borderId="33" xfId="4" applyNumberFormat="1" applyFont="1" applyFill="1" applyBorder="1"/>
    <xf numFmtId="0" fontId="10" fillId="0" borderId="32" xfId="22" applyFont="1" applyFill="1" applyBorder="1" applyAlignment="1">
      <alignment horizontal="center" vertical="center"/>
    </xf>
    <xf numFmtId="0" fontId="10" fillId="0" borderId="34" xfId="22" applyFont="1" applyFill="1" applyBorder="1" applyAlignment="1">
      <alignment horizontal="center" vertical="center"/>
    </xf>
    <xf numFmtId="166" fontId="10" fillId="0" borderId="21" xfId="4" applyNumberFormat="1" applyFont="1" applyFill="1" applyBorder="1"/>
    <xf numFmtId="166" fontId="10" fillId="0" borderId="54" xfId="4" applyNumberFormat="1" applyFont="1" applyFill="1" applyBorder="1"/>
    <xf numFmtId="166" fontId="10" fillId="0" borderId="0" xfId="4" applyNumberFormat="1" applyFont="1" applyBorder="1"/>
    <xf numFmtId="166" fontId="10" fillId="0" borderId="0" xfId="4" applyNumberFormat="1" applyFont="1" applyBorder="1" applyAlignment="1">
      <alignment horizontal="right"/>
    </xf>
    <xf numFmtId="0" fontId="10" fillId="0" borderId="5" xfId="22" applyFont="1" applyFill="1" applyBorder="1" applyAlignment="1">
      <alignment horizontal="center" vertical="center"/>
    </xf>
    <xf numFmtId="0" fontId="10" fillId="0" borderId="57" xfId="22" applyFont="1" applyFill="1" applyBorder="1" applyAlignment="1">
      <alignment horizontal="center" vertical="center"/>
    </xf>
    <xf numFmtId="166" fontId="10" fillId="0" borderId="61" xfId="4" applyNumberFormat="1" applyFont="1" applyBorder="1"/>
    <xf numFmtId="166" fontId="10" fillId="0" borderId="60" xfId="4" applyNumberFormat="1" applyFont="1" applyBorder="1"/>
    <xf numFmtId="0" fontId="10" fillId="0" borderId="14" xfId="22" applyFont="1" applyFill="1" applyBorder="1" applyAlignment="1">
      <alignment horizontal="center" vertical="center"/>
    </xf>
    <xf numFmtId="166" fontId="10" fillId="0" borderId="5" xfId="4" applyNumberFormat="1" applyFont="1" applyBorder="1"/>
    <xf numFmtId="166" fontId="10" fillId="0" borderId="50" xfId="4" applyNumberFormat="1" applyFont="1" applyBorder="1"/>
    <xf numFmtId="0" fontId="10" fillId="0" borderId="11" xfId="22" applyFont="1" applyFill="1" applyBorder="1" applyAlignment="1">
      <alignment horizontal="center" vertical="center"/>
    </xf>
    <xf numFmtId="166" fontId="10" fillId="0" borderId="62" xfId="4" applyNumberFormat="1" applyFont="1" applyBorder="1"/>
    <xf numFmtId="166" fontId="10" fillId="0" borderId="54" xfId="4" applyNumberFormat="1" applyFont="1" applyBorder="1"/>
    <xf numFmtId="49" fontId="10" fillId="0" borderId="0" xfId="22" applyNumberFormat="1" applyFont="1" applyFill="1" applyBorder="1" applyAlignment="1">
      <alignment vertical="center"/>
    </xf>
    <xf numFmtId="49" fontId="10" fillId="0" borderId="0" xfId="22" applyNumberFormat="1" applyFont="1" applyAlignment="1">
      <alignment vertical="center"/>
    </xf>
    <xf numFmtId="49" fontId="10" fillId="0" borderId="0" xfId="22" applyNumberFormat="1" applyFont="1" applyFill="1" applyAlignment="1">
      <alignment vertical="center"/>
    </xf>
    <xf numFmtId="0" fontId="10" fillId="0" borderId="0" xfId="22" applyFont="1" applyFill="1" applyAlignment="1">
      <alignment vertical="center"/>
    </xf>
    <xf numFmtId="0" fontId="10" fillId="0" borderId="0" xfId="22" applyFont="1" applyAlignment="1">
      <alignment vertical="center"/>
    </xf>
    <xf numFmtId="0" fontId="54" fillId="0" borderId="0" xfId="24" applyFont="1"/>
    <xf numFmtId="0" fontId="10" fillId="0" borderId="0" xfId="24" applyFont="1"/>
    <xf numFmtId="0" fontId="12" fillId="0" borderId="0" xfId="24" applyFont="1" applyAlignment="1">
      <alignment horizontal="center" vertical="center"/>
    </xf>
    <xf numFmtId="0" fontId="10" fillId="0" borderId="0" xfId="17" applyFont="1" applyFill="1" applyBorder="1" applyAlignment="1">
      <alignment horizontal="center" vertical="center" wrapText="1"/>
    </xf>
    <xf numFmtId="0" fontId="55" fillId="0" borderId="0" xfId="17" applyFont="1" applyFill="1" applyBorder="1" applyAlignment="1">
      <alignment horizontal="center" vertical="center"/>
    </xf>
    <xf numFmtId="0" fontId="10" fillId="0" borderId="0" xfId="24" applyFont="1" applyBorder="1"/>
    <xf numFmtId="0" fontId="10" fillId="0" borderId="0" xfId="24" applyFont="1" applyBorder="1" applyAlignment="1">
      <alignment horizontal="right"/>
    </xf>
    <xf numFmtId="0" fontId="10" fillId="0" borderId="40" xfId="24" applyFont="1" applyBorder="1"/>
    <xf numFmtId="0" fontId="12" fillId="0" borderId="20" xfId="24" applyFont="1" applyBorder="1" applyAlignment="1">
      <alignment horizontal="center" vertical="center"/>
    </xf>
    <xf numFmtId="0" fontId="12" fillId="0" borderId="20" xfId="24" applyFont="1" applyBorder="1" applyAlignment="1">
      <alignment horizontal="center" vertical="center" wrapText="1"/>
    </xf>
    <xf numFmtId="0" fontId="12" fillId="0" borderId="39" xfId="24" applyFont="1" applyBorder="1" applyAlignment="1">
      <alignment horizontal="center" vertical="center" wrapText="1"/>
    </xf>
    <xf numFmtId="0" fontId="10" fillId="0" borderId="32" xfId="24" applyFont="1" applyBorder="1" applyAlignment="1">
      <alignment horizontal="center" vertical="center"/>
    </xf>
    <xf numFmtId="0" fontId="10" fillId="0" borderId="5" xfId="24" applyFont="1" applyBorder="1"/>
    <xf numFmtId="3" fontId="10" fillId="0" borderId="5" xfId="24" applyNumberFormat="1" applyFont="1" applyBorder="1"/>
    <xf numFmtId="0" fontId="10" fillId="0" borderId="33" xfId="24" applyFont="1" applyBorder="1" applyAlignment="1">
      <alignment horizontal="center"/>
    </xf>
    <xf numFmtId="0" fontId="10" fillId="0" borderId="15" xfId="24" applyFont="1" applyBorder="1"/>
    <xf numFmtId="3" fontId="10" fillId="0" borderId="15" xfId="24" applyNumberFormat="1" applyFont="1" applyBorder="1"/>
    <xf numFmtId="0" fontId="10" fillId="0" borderId="63" xfId="24" applyFont="1" applyBorder="1" applyAlignment="1">
      <alignment horizontal="center"/>
    </xf>
    <xf numFmtId="0" fontId="10" fillId="0" borderId="24" xfId="24" applyFont="1" applyBorder="1"/>
    <xf numFmtId="0" fontId="12" fillId="0" borderId="30" xfId="24" applyFont="1" applyBorder="1"/>
    <xf numFmtId="3" fontId="12" fillId="0" borderId="30" xfId="24" applyNumberFormat="1" applyFont="1" applyBorder="1"/>
    <xf numFmtId="0" fontId="10" fillId="0" borderId="44" xfId="24" applyFont="1" applyBorder="1" applyAlignment="1">
      <alignment horizontal="center"/>
    </xf>
    <xf numFmtId="0" fontId="54" fillId="0" borderId="0" xfId="24" applyFont="1" applyBorder="1"/>
    <xf numFmtId="166" fontId="12" fillId="0" borderId="14" xfId="4" applyNumberFormat="1" applyFont="1" applyFill="1" applyBorder="1"/>
    <xf numFmtId="166" fontId="10" fillId="0" borderId="14" xfId="4" applyNumberFormat="1" applyFont="1" applyFill="1" applyBorder="1"/>
    <xf numFmtId="166" fontId="12" fillId="0" borderId="11" xfId="4" applyNumberFormat="1" applyFont="1" applyFill="1" applyBorder="1"/>
    <xf numFmtId="166" fontId="12" fillId="0" borderId="57" xfId="4" applyNumberFormat="1" applyFont="1" applyFill="1" applyBorder="1" applyAlignment="1">
      <alignment vertical="center"/>
    </xf>
    <xf numFmtId="166" fontId="10" fillId="0" borderId="14" xfId="4" applyNumberFormat="1" applyFont="1" applyFill="1" applyBorder="1" applyAlignment="1">
      <alignment vertical="center"/>
    </xf>
    <xf numFmtId="166" fontId="12" fillId="0" borderId="14" xfId="4" applyNumberFormat="1" applyFont="1" applyFill="1" applyBorder="1" applyAlignment="1">
      <alignment vertical="center"/>
    </xf>
    <xf numFmtId="166" fontId="12" fillId="0" borderId="11" xfId="4" applyNumberFormat="1" applyFont="1" applyFill="1" applyBorder="1" applyAlignment="1">
      <alignment vertical="center"/>
    </xf>
    <xf numFmtId="166" fontId="10" fillId="0" borderId="50" xfId="5" applyNumberFormat="1" applyFont="1" applyBorder="1" applyAlignment="1">
      <alignment vertical="center"/>
    </xf>
    <xf numFmtId="178" fontId="15" fillId="0" borderId="54" xfId="4" applyNumberFormat="1" applyFont="1" applyBorder="1" applyAlignment="1">
      <alignment horizontal="right" vertical="center"/>
    </xf>
    <xf numFmtId="178" fontId="15" fillId="0" borderId="14" xfId="4" applyNumberFormat="1" applyFont="1" applyBorder="1" applyAlignment="1">
      <alignment horizontal="right" vertical="center"/>
    </xf>
    <xf numFmtId="178" fontId="14" fillId="0" borderId="5" xfId="4" applyNumberFormat="1" applyFont="1" applyFill="1" applyBorder="1" applyAlignment="1">
      <alignment horizontal="right" vertical="center"/>
    </xf>
    <xf numFmtId="178" fontId="15" fillId="0" borderId="5" xfId="4" applyNumberFormat="1" applyFont="1" applyFill="1" applyBorder="1" applyAlignment="1">
      <alignment horizontal="right" vertical="center"/>
    </xf>
    <xf numFmtId="0" fontId="10" fillId="0" borderId="0" xfId="13" applyFont="1" applyFill="1" applyAlignment="1">
      <alignment horizontal="right" vertical="center"/>
    </xf>
    <xf numFmtId="0" fontId="20" fillId="0" borderId="0" xfId="13" applyFont="1" applyFill="1" applyAlignment="1">
      <alignment horizontal="center" vertical="center"/>
    </xf>
    <xf numFmtId="3" fontId="15" fillId="0" borderId="22" xfId="19" applyNumberFormat="1" applyFont="1" applyFill="1" applyBorder="1" applyAlignment="1">
      <alignment horizontal="center" vertical="center" wrapText="1"/>
    </xf>
    <xf numFmtId="166" fontId="14" fillId="0" borderId="19" xfId="4" applyNumberFormat="1" applyFont="1" applyFill="1" applyBorder="1" applyAlignment="1">
      <alignment horizontal="right" vertical="center"/>
    </xf>
    <xf numFmtId="166" fontId="15" fillId="0" borderId="9" xfId="4" applyNumberFormat="1" applyFont="1" applyFill="1" applyBorder="1" applyAlignment="1">
      <alignment horizontal="right" vertical="center"/>
    </xf>
    <xf numFmtId="0" fontId="14" fillId="0" borderId="40" xfId="19" applyFont="1" applyFill="1" applyBorder="1" applyAlignment="1">
      <alignment horizontal="center" vertical="center"/>
    </xf>
    <xf numFmtId="0" fontId="14" fillId="0" borderId="32" xfId="19" applyFont="1" applyFill="1" applyBorder="1" applyAlignment="1">
      <alignment horizontal="center" vertical="center"/>
    </xf>
    <xf numFmtId="0" fontId="14" fillId="0" borderId="34" xfId="19" applyFont="1" applyFill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166" fontId="10" fillId="0" borderId="0" xfId="0" applyNumberFormat="1" applyFont="1" applyBorder="1" applyAlignment="1">
      <alignment horizontal="left"/>
    </xf>
    <xf numFmtId="0" fontId="13" fillId="0" borderId="19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12" fillId="0" borderId="64" xfId="16" applyFont="1" applyBorder="1" applyAlignment="1">
      <alignment horizontal="center" vertical="center" wrapText="1"/>
    </xf>
    <xf numFmtId="0" fontId="12" fillId="0" borderId="65" xfId="16" applyFont="1" applyBorder="1" applyAlignment="1">
      <alignment horizontal="center" vertical="center" wrapText="1"/>
    </xf>
    <xf numFmtId="0" fontId="12" fillId="0" borderId="41" xfId="16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56" xfId="16" applyFont="1" applyBorder="1" applyAlignment="1">
      <alignment horizontal="center" vertical="center" wrapText="1"/>
    </xf>
    <xf numFmtId="0" fontId="12" fillId="0" borderId="3" xfId="16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39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49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49" xfId="0" applyFont="1" applyBorder="1" applyAlignment="1">
      <alignment vertical="center" wrapText="1"/>
    </xf>
    <xf numFmtId="0" fontId="10" fillId="0" borderId="19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4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16" applyFont="1" applyFill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12" fillId="0" borderId="19" xfId="0" applyFont="1" applyBorder="1" applyAlignment="1">
      <alignment horizontal="left" vertical="center"/>
    </xf>
    <xf numFmtId="0" fontId="12" fillId="0" borderId="49" xfId="0" applyFont="1" applyBorder="1" applyAlignment="1">
      <alignment vertical="center"/>
    </xf>
    <xf numFmtId="0" fontId="12" fillId="0" borderId="14" xfId="0" applyFont="1" applyBorder="1" applyAlignment="1">
      <alignment horizontal="left" vertical="center"/>
    </xf>
    <xf numFmtId="3" fontId="10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2" fillId="0" borderId="38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5" fillId="0" borderId="2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0" fillId="0" borderId="0" xfId="16" applyFont="1" applyAlignment="1">
      <alignment horizontal="center" vertical="center" wrapText="1"/>
    </xf>
    <xf numFmtId="0" fontId="15" fillId="0" borderId="19" xfId="16" applyFont="1" applyBorder="1" applyAlignment="1">
      <alignment horizontal="center" vertical="center" wrapText="1"/>
    </xf>
    <xf numFmtId="0" fontId="12" fillId="0" borderId="49" xfId="16" applyFont="1" applyBorder="1" applyAlignment="1">
      <alignment horizontal="center" vertical="center"/>
    </xf>
    <xf numFmtId="0" fontId="12" fillId="0" borderId="14" xfId="16" applyFont="1" applyBorder="1" applyAlignment="1">
      <alignment horizontal="center" vertical="center"/>
    </xf>
    <xf numFmtId="0" fontId="14" fillId="0" borderId="0" xfId="16" applyFont="1" applyAlignment="1">
      <alignment horizontal="center" vertical="center"/>
    </xf>
    <xf numFmtId="0" fontId="15" fillId="0" borderId="49" xfId="16" applyFont="1" applyBorder="1" applyAlignment="1">
      <alignment vertical="center"/>
    </xf>
    <xf numFmtId="0" fontId="15" fillId="0" borderId="14" xfId="16" applyFont="1" applyBorder="1" applyAlignment="1">
      <alignment vertical="center"/>
    </xf>
    <xf numFmtId="0" fontId="15" fillId="0" borderId="18" xfId="16" applyFont="1" applyBorder="1" applyAlignment="1">
      <alignment horizontal="center" vertical="center" wrapText="1"/>
    </xf>
    <xf numFmtId="0" fontId="12" fillId="0" borderId="31" xfId="16" applyFont="1" applyBorder="1" applyAlignment="1">
      <alignment horizontal="center" vertical="center"/>
    </xf>
    <xf numFmtId="0" fontId="15" fillId="0" borderId="19" xfId="16" applyFont="1" applyBorder="1" applyAlignment="1">
      <alignment horizontal="left" vertical="center"/>
    </xf>
    <xf numFmtId="0" fontId="15" fillId="0" borderId="49" xfId="16" applyFont="1" applyBorder="1" applyAlignment="1">
      <alignment horizontal="left" vertical="center"/>
    </xf>
    <xf numFmtId="0" fontId="15" fillId="0" borderId="18" xfId="16" applyFont="1" applyBorder="1" applyAlignment="1">
      <alignment horizontal="center" vertical="center"/>
    </xf>
    <xf numFmtId="0" fontId="15" fillId="0" borderId="18" xfId="16" applyFont="1" applyBorder="1" applyAlignment="1">
      <alignment horizontal="left" vertical="center"/>
    </xf>
    <xf numFmtId="0" fontId="15" fillId="0" borderId="31" xfId="16" applyFont="1" applyBorder="1" applyAlignment="1">
      <alignment horizontal="left" vertical="center"/>
    </xf>
    <xf numFmtId="0" fontId="15" fillId="0" borderId="49" xfId="16" applyFont="1" applyFill="1" applyBorder="1" applyAlignment="1">
      <alignment horizontal="left" vertical="center"/>
    </xf>
    <xf numFmtId="0" fontId="14" fillId="0" borderId="0" xfId="16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0" fillId="0" borderId="0" xfId="20" applyFont="1" applyAlignment="1">
      <alignment horizontal="center" vertical="center"/>
    </xf>
    <xf numFmtId="0" fontId="15" fillId="0" borderId="5" xfId="2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5" xfId="16" applyFont="1" applyBorder="1" applyAlignment="1">
      <alignment horizontal="center" vertical="center" wrapText="1"/>
    </xf>
    <xf numFmtId="0" fontId="14" fillId="0" borderId="5" xfId="20" applyFont="1" applyBorder="1" applyAlignment="1">
      <alignment vertical="center"/>
    </xf>
    <xf numFmtId="0" fontId="15" fillId="0" borderId="5" xfId="20" applyFont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166" fontId="15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18" applyFont="1" applyFill="1" applyAlignment="1">
      <alignment horizontal="right" vertical="center"/>
    </xf>
    <xf numFmtId="0" fontId="10" fillId="0" borderId="0" xfId="13" applyFont="1" applyFill="1" applyAlignment="1">
      <alignment horizontal="right" vertical="center"/>
    </xf>
    <xf numFmtId="0" fontId="10" fillId="0" borderId="0" xfId="17" applyFont="1" applyFill="1" applyAlignment="1">
      <alignment horizontal="center" vertical="center"/>
    </xf>
    <xf numFmtId="0" fontId="20" fillId="0" borderId="0" xfId="13" applyFont="1" applyFill="1" applyAlignment="1">
      <alignment horizontal="center" vertical="center"/>
    </xf>
    <xf numFmtId="0" fontId="15" fillId="0" borderId="30" xfId="13" applyFont="1" applyBorder="1" applyAlignment="1">
      <alignment vertical="center"/>
    </xf>
    <xf numFmtId="0" fontId="14" fillId="0" borderId="5" xfId="13" applyFont="1" applyBorder="1" applyAlignment="1">
      <alignment vertical="center"/>
    </xf>
    <xf numFmtId="0" fontId="14" fillId="0" borderId="19" xfId="13" applyFont="1" applyBorder="1" applyAlignment="1">
      <alignment horizontal="left" vertical="center"/>
    </xf>
    <xf numFmtId="0" fontId="14" fillId="0" borderId="49" xfId="13" applyFont="1" applyBorder="1" applyAlignment="1">
      <alignment horizontal="left" vertical="center"/>
    </xf>
    <xf numFmtId="0" fontId="14" fillId="0" borderId="14" xfId="13" applyFont="1" applyBorder="1" applyAlignment="1">
      <alignment horizontal="left" vertical="center"/>
    </xf>
    <xf numFmtId="0" fontId="14" fillId="0" borderId="5" xfId="13" applyFont="1" applyBorder="1" applyAlignment="1">
      <alignment horizontal="left" vertical="center"/>
    </xf>
    <xf numFmtId="0" fontId="15" fillId="0" borderId="15" xfId="13" applyFont="1" applyBorder="1" applyAlignment="1">
      <alignment vertical="center"/>
    </xf>
    <xf numFmtId="0" fontId="20" fillId="0" borderId="0" xfId="18" applyFont="1" applyAlignment="1">
      <alignment horizontal="center" vertical="center"/>
    </xf>
    <xf numFmtId="0" fontId="20" fillId="0" borderId="0" xfId="13" applyFont="1" applyAlignment="1">
      <alignment horizontal="center" vertical="center"/>
    </xf>
    <xf numFmtId="0" fontId="15" fillId="0" borderId="30" xfId="13" applyFont="1" applyBorder="1" applyAlignment="1">
      <alignment horizontal="center" vertical="center"/>
    </xf>
    <xf numFmtId="0" fontId="15" fillId="0" borderId="12" xfId="13" applyFont="1" applyBorder="1" applyAlignment="1">
      <alignment vertical="center"/>
    </xf>
    <xf numFmtId="0" fontId="10" fillId="0" borderId="0" xfId="13" applyFont="1" applyAlignment="1">
      <alignment horizontal="right"/>
    </xf>
    <xf numFmtId="0" fontId="20" fillId="0" borderId="0" xfId="13" applyFont="1" applyAlignment="1">
      <alignment horizontal="center"/>
    </xf>
    <xf numFmtId="0" fontId="15" fillId="0" borderId="5" xfId="18" applyFont="1" applyBorder="1" applyAlignment="1">
      <alignment horizontal="left" vertical="center" wrapText="1"/>
    </xf>
    <xf numFmtId="0" fontId="15" fillId="0" borderId="11" xfId="18" applyFont="1" applyBorder="1" applyAlignment="1">
      <alignment horizontal="left" vertical="center"/>
    </xf>
    <xf numFmtId="0" fontId="15" fillId="0" borderId="21" xfId="18" applyFont="1" applyBorder="1" applyAlignment="1">
      <alignment horizontal="left" vertical="center"/>
    </xf>
    <xf numFmtId="0" fontId="15" fillId="0" borderId="58" xfId="18" applyFont="1" applyBorder="1" applyAlignment="1">
      <alignment horizontal="center" vertical="center"/>
    </xf>
    <xf numFmtId="0" fontId="15" fillId="0" borderId="57" xfId="18" applyFont="1" applyBorder="1" applyAlignment="1">
      <alignment horizontal="center" vertical="center"/>
    </xf>
    <xf numFmtId="0" fontId="14" fillId="0" borderId="13" xfId="13" applyFont="1" applyBorder="1" applyAlignment="1">
      <alignment horizontal="center"/>
    </xf>
    <xf numFmtId="0" fontId="14" fillId="0" borderId="16" xfId="13" applyFont="1" applyBorder="1" applyAlignment="1">
      <alignment horizontal="center"/>
    </xf>
    <xf numFmtId="0" fontId="14" fillId="0" borderId="17" xfId="13" applyFont="1" applyBorder="1" applyAlignment="1">
      <alignment horizontal="center"/>
    </xf>
    <xf numFmtId="0" fontId="15" fillId="0" borderId="5" xfId="18" applyFont="1" applyBorder="1" applyAlignment="1">
      <alignment horizontal="left" vertical="center"/>
    </xf>
    <xf numFmtId="0" fontId="15" fillId="0" borderId="13" xfId="13" applyFont="1" applyBorder="1" applyAlignment="1">
      <alignment horizontal="center" vertical="center"/>
    </xf>
    <xf numFmtId="0" fontId="15" fillId="0" borderId="17" xfId="13" applyFont="1" applyBorder="1" applyAlignment="1">
      <alignment horizontal="center" vertical="center"/>
    </xf>
    <xf numFmtId="0" fontId="14" fillId="0" borderId="0" xfId="19" applyFont="1" applyAlignment="1">
      <alignment horizontal="right" vertical="center"/>
    </xf>
    <xf numFmtId="0" fontId="20" fillId="0" borderId="0" xfId="18" applyFont="1" applyAlignment="1">
      <alignment horizontal="center"/>
    </xf>
    <xf numFmtId="0" fontId="15" fillId="0" borderId="20" xfId="18" applyFont="1" applyBorder="1" applyAlignment="1">
      <alignment horizontal="center" vertical="center"/>
    </xf>
    <xf numFmtId="0" fontId="15" fillId="0" borderId="0" xfId="13" applyFont="1" applyAlignment="1">
      <alignment horizontal="center"/>
    </xf>
    <xf numFmtId="0" fontId="12" fillId="0" borderId="13" xfId="13" applyFont="1" applyBorder="1" applyAlignment="1">
      <alignment horizontal="center" vertical="center"/>
    </xf>
    <xf numFmtId="0" fontId="12" fillId="0" borderId="16" xfId="13" applyFont="1" applyBorder="1" applyAlignment="1">
      <alignment horizontal="center" vertical="center"/>
    </xf>
    <xf numFmtId="0" fontId="12" fillId="0" borderId="17" xfId="13" applyFont="1" applyBorder="1" applyAlignment="1">
      <alignment horizontal="center" vertical="center"/>
    </xf>
    <xf numFmtId="0" fontId="10" fillId="0" borderId="13" xfId="13" applyFont="1" applyBorder="1" applyAlignment="1">
      <alignment horizontal="center" vertical="center"/>
    </xf>
    <xf numFmtId="0" fontId="10" fillId="0" borderId="16" xfId="13" applyFont="1" applyBorder="1" applyAlignment="1">
      <alignment horizontal="center" vertical="center"/>
    </xf>
    <xf numFmtId="0" fontId="10" fillId="0" borderId="17" xfId="13" applyFont="1" applyBorder="1" applyAlignment="1">
      <alignment horizontal="center" vertical="center"/>
    </xf>
    <xf numFmtId="0" fontId="10" fillId="0" borderId="0" xfId="22" applyFont="1" applyAlignment="1">
      <alignment horizontal="right" vertical="center"/>
    </xf>
    <xf numFmtId="0" fontId="15" fillId="0" borderId="0" xfId="22" applyFont="1" applyAlignment="1">
      <alignment horizontal="center" vertical="center" wrapText="1"/>
    </xf>
    <xf numFmtId="0" fontId="15" fillId="0" borderId="0" xfId="22" applyFont="1" applyAlignment="1">
      <alignment horizontal="center" vertical="center"/>
    </xf>
    <xf numFmtId="0" fontId="12" fillId="0" borderId="56" xfId="22" applyFont="1" applyBorder="1" applyAlignment="1">
      <alignment horizontal="center" vertical="center"/>
    </xf>
    <xf numFmtId="0" fontId="12" fillId="0" borderId="58" xfId="22" applyFont="1" applyBorder="1" applyAlignment="1">
      <alignment horizontal="center" vertical="center"/>
    </xf>
    <xf numFmtId="0" fontId="12" fillId="0" borderId="57" xfId="22" applyFont="1" applyBorder="1" applyAlignment="1">
      <alignment horizontal="center" vertical="center"/>
    </xf>
    <xf numFmtId="166" fontId="12" fillId="0" borderId="19" xfId="4" applyNumberFormat="1" applyFont="1" applyFill="1" applyBorder="1" applyAlignment="1">
      <alignment horizontal="left" vertical="center" wrapText="1"/>
    </xf>
    <xf numFmtId="166" fontId="12" fillId="0" borderId="14" xfId="4" applyNumberFormat="1" applyFont="1" applyFill="1" applyBorder="1" applyAlignment="1">
      <alignment horizontal="left" vertical="center" wrapText="1"/>
    </xf>
    <xf numFmtId="166" fontId="10" fillId="0" borderId="55" xfId="4" applyNumberFormat="1" applyFont="1" applyFill="1" applyBorder="1" applyAlignment="1">
      <alignment horizontal="center" vertical="center"/>
    </xf>
    <xf numFmtId="166" fontId="10" fillId="0" borderId="70" xfId="4" applyNumberFormat="1" applyFont="1" applyFill="1" applyBorder="1" applyAlignment="1">
      <alignment horizontal="center" vertical="center"/>
    </xf>
    <xf numFmtId="166" fontId="10" fillId="0" borderId="7" xfId="4" applyNumberFormat="1" applyFont="1" applyFill="1" applyBorder="1" applyAlignment="1">
      <alignment horizontal="center" vertical="center"/>
    </xf>
    <xf numFmtId="166" fontId="10" fillId="0" borderId="8" xfId="4" applyNumberFormat="1" applyFont="1" applyFill="1" applyBorder="1" applyAlignment="1">
      <alignment horizontal="center" vertical="center"/>
    </xf>
    <xf numFmtId="166" fontId="10" fillId="0" borderId="5" xfId="4" applyNumberFormat="1" applyFont="1" applyFill="1" applyBorder="1" applyAlignment="1">
      <alignment horizontal="center" vertical="center"/>
    </xf>
    <xf numFmtId="166" fontId="10" fillId="0" borderId="59" xfId="4" applyNumberFormat="1" applyFont="1" applyFill="1" applyBorder="1" applyAlignment="1">
      <alignment horizontal="center" vertical="center"/>
    </xf>
    <xf numFmtId="166" fontId="12" fillId="0" borderId="55" xfId="4" applyNumberFormat="1" applyFont="1" applyFill="1" applyBorder="1" applyAlignment="1">
      <alignment horizontal="center" vertical="center"/>
    </xf>
    <xf numFmtId="166" fontId="12" fillId="0" borderId="70" xfId="4" applyNumberFormat="1" applyFont="1" applyFill="1" applyBorder="1" applyAlignment="1">
      <alignment horizontal="center" vertical="center"/>
    </xf>
    <xf numFmtId="166" fontId="12" fillId="0" borderId="42" xfId="4" applyNumberFormat="1" applyFont="1" applyFill="1" applyBorder="1" applyAlignment="1">
      <alignment horizontal="center" vertical="center"/>
    </xf>
    <xf numFmtId="166" fontId="10" fillId="0" borderId="42" xfId="4" applyNumberFormat="1" applyFont="1" applyFill="1" applyBorder="1" applyAlignment="1">
      <alignment horizontal="center" vertical="center"/>
    </xf>
    <xf numFmtId="166" fontId="12" fillId="0" borderId="4" xfId="4" applyNumberFormat="1" applyFont="1" applyFill="1" applyBorder="1" applyAlignment="1">
      <alignment horizontal="left" vertical="center" wrapText="1"/>
    </xf>
    <xf numFmtId="166" fontId="12" fillId="0" borderId="10" xfId="4" applyNumberFormat="1" applyFont="1" applyFill="1" applyBorder="1" applyAlignment="1">
      <alignment horizontal="left" vertical="center" wrapText="1"/>
    </xf>
    <xf numFmtId="166" fontId="12" fillId="0" borderId="11" xfId="4" applyNumberFormat="1" applyFont="1" applyFill="1" applyBorder="1" applyAlignment="1">
      <alignment horizontal="left" vertical="center" wrapText="1"/>
    </xf>
    <xf numFmtId="0" fontId="12" fillId="0" borderId="0" xfId="22" applyFont="1" applyAlignment="1">
      <alignment horizontal="center"/>
    </xf>
    <xf numFmtId="0" fontId="12" fillId="0" borderId="0" xfId="22" applyFont="1" applyBorder="1" applyAlignment="1">
      <alignment horizontal="center"/>
    </xf>
    <xf numFmtId="166" fontId="12" fillId="0" borderId="56" xfId="4" applyNumberFormat="1" applyFont="1" applyFill="1" applyBorder="1" applyAlignment="1">
      <alignment horizontal="center" vertical="center"/>
    </xf>
    <xf numFmtId="166" fontId="12" fillId="0" borderId="58" xfId="4" applyNumberFormat="1" applyFont="1" applyFill="1" applyBorder="1" applyAlignment="1">
      <alignment horizontal="center" vertical="center"/>
    </xf>
    <xf numFmtId="166" fontId="12" fillId="0" borderId="57" xfId="4" applyNumberFormat="1" applyFont="1" applyFill="1" applyBorder="1" applyAlignment="1">
      <alignment horizontal="center" vertical="center"/>
    </xf>
    <xf numFmtId="0" fontId="10" fillId="0" borderId="42" xfId="22" applyFont="1" applyBorder="1" applyAlignment="1">
      <alignment horizontal="left"/>
    </xf>
    <xf numFmtId="0" fontId="10" fillId="0" borderId="12" xfId="22" applyFont="1" applyBorder="1" applyAlignment="1">
      <alignment horizontal="left"/>
    </xf>
    <xf numFmtId="0" fontId="10" fillId="0" borderId="3" xfId="22" applyFont="1" applyBorder="1" applyAlignment="1">
      <alignment horizontal="left" vertical="center" wrapText="1"/>
    </xf>
    <xf numFmtId="0" fontId="10" fillId="0" borderId="49" xfId="22" applyFont="1" applyBorder="1" applyAlignment="1">
      <alignment horizontal="left" vertical="center" wrapText="1"/>
    </xf>
    <xf numFmtId="0" fontId="10" fillId="0" borderId="14" xfId="22" applyFont="1" applyBorder="1" applyAlignment="1">
      <alignment horizontal="left" vertical="center" wrapText="1"/>
    </xf>
    <xf numFmtId="0" fontId="10" fillId="0" borderId="32" xfId="22" applyFont="1" applyBorder="1" applyAlignment="1">
      <alignment horizontal="center" vertical="center" wrapText="1"/>
    </xf>
    <xf numFmtId="0" fontId="10" fillId="0" borderId="5" xfId="22" applyFont="1" applyBorder="1" applyAlignment="1">
      <alignment horizontal="center" vertical="center" wrapText="1"/>
    </xf>
    <xf numFmtId="0" fontId="10" fillId="0" borderId="5" xfId="22" quotePrefix="1" applyFont="1" applyBorder="1" applyAlignment="1">
      <alignment horizontal="left"/>
    </xf>
    <xf numFmtId="0" fontId="10" fillId="0" borderId="0" xfId="22" applyFont="1" applyFill="1" applyBorder="1" applyAlignment="1">
      <alignment horizontal="center" vertical="center"/>
    </xf>
    <xf numFmtId="0" fontId="10" fillId="0" borderId="20" xfId="22" applyFont="1" applyBorder="1" applyAlignment="1">
      <alignment horizontal="left" vertical="center" wrapText="1"/>
    </xf>
    <xf numFmtId="0" fontId="10" fillId="0" borderId="5" xfId="22" applyFont="1" applyBorder="1" applyAlignment="1">
      <alignment horizontal="left"/>
    </xf>
    <xf numFmtId="0" fontId="10" fillId="0" borderId="5" xfId="22" applyFont="1" applyBorder="1" applyAlignment="1">
      <alignment horizontal="left" vertical="center" wrapText="1"/>
    </xf>
    <xf numFmtId="0" fontId="10" fillId="0" borderId="21" xfId="22" applyFont="1" applyBorder="1" applyAlignment="1">
      <alignment horizontal="left"/>
    </xf>
    <xf numFmtId="0" fontId="10" fillId="0" borderId="21" xfId="22" quotePrefix="1" applyFont="1" applyBorder="1" applyAlignment="1">
      <alignment horizontal="left"/>
    </xf>
    <xf numFmtId="0" fontId="10" fillId="0" borderId="0" xfId="22" applyFont="1" applyFill="1" applyBorder="1" applyAlignment="1">
      <alignment horizontal="left" vertical="center"/>
    </xf>
    <xf numFmtId="0" fontId="15" fillId="0" borderId="0" xfId="24" applyFont="1" applyAlignment="1">
      <alignment horizontal="center"/>
    </xf>
    <xf numFmtId="0" fontId="15" fillId="0" borderId="0" xfId="24" applyFont="1" applyAlignment="1">
      <alignment horizontal="center" vertical="center" wrapText="1"/>
    </xf>
    <xf numFmtId="0" fontId="15" fillId="0" borderId="0" xfId="24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2" fillId="0" borderId="4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0" fillId="9" borderId="5" xfId="23" applyFont="1" applyFill="1" applyBorder="1" applyAlignment="1">
      <alignment horizontal="left" vertical="center"/>
    </xf>
    <xf numFmtId="0" fontId="10" fillId="0" borderId="15" xfId="23" applyFont="1" applyFill="1" applyBorder="1" applyAlignment="1">
      <alignment horizontal="center" vertical="center"/>
    </xf>
    <xf numFmtId="0" fontId="10" fillId="0" borderId="12" xfId="23" applyFont="1" applyFill="1" applyBorder="1" applyAlignment="1">
      <alignment horizontal="center" vertical="center"/>
    </xf>
    <xf numFmtId="0" fontId="10" fillId="0" borderId="19" xfId="23" applyFont="1" applyBorder="1" applyAlignment="1">
      <alignment horizontal="left" vertical="center" wrapText="1"/>
    </xf>
    <xf numFmtId="0" fontId="10" fillId="0" borderId="14" xfId="23" applyFont="1" applyBorder="1" applyAlignment="1">
      <alignment horizontal="left" vertical="center" wrapText="1"/>
    </xf>
    <xf numFmtId="0" fontId="12" fillId="0" borderId="19" xfId="23" applyFont="1" applyBorder="1" applyAlignment="1">
      <alignment horizontal="right" vertical="center" wrapText="1"/>
    </xf>
    <xf numFmtId="0" fontId="12" fillId="0" borderId="49" xfId="23" applyFont="1" applyBorder="1" applyAlignment="1">
      <alignment horizontal="right" vertical="center" wrapText="1"/>
    </xf>
    <xf numFmtId="0" fontId="12" fillId="0" borderId="14" xfId="23" applyFont="1" applyBorder="1" applyAlignment="1">
      <alignment horizontal="right" vertical="center" wrapText="1"/>
    </xf>
    <xf numFmtId="0" fontId="12" fillId="0" borderId="13" xfId="23" applyFont="1" applyBorder="1" applyAlignment="1">
      <alignment horizontal="center" vertical="center" wrapText="1"/>
    </xf>
    <xf numFmtId="0" fontId="12" fillId="0" borderId="17" xfId="23" applyFont="1" applyBorder="1" applyAlignment="1">
      <alignment horizontal="center"/>
    </xf>
    <xf numFmtId="0" fontId="12" fillId="0" borderId="5" xfId="23" applyFont="1" applyBorder="1" applyAlignment="1">
      <alignment horizontal="center" vertical="center"/>
    </xf>
    <xf numFmtId="0" fontId="12" fillId="0" borderId="5" xfId="23" applyFont="1" applyBorder="1" applyAlignment="1">
      <alignment horizontal="center" vertical="center" wrapText="1"/>
    </xf>
    <xf numFmtId="0" fontId="20" fillId="0" borderId="0" xfId="23" applyFont="1" applyAlignment="1">
      <alignment horizontal="center"/>
    </xf>
    <xf numFmtId="0" fontId="10" fillId="0" borderId="19" xfId="23" applyFont="1" applyBorder="1" applyAlignment="1">
      <alignment horizontal="center" vertical="center"/>
    </xf>
    <xf numFmtId="0" fontId="10" fillId="0" borderId="14" xfId="23" applyFont="1" applyBorder="1" applyAlignment="1">
      <alignment horizontal="center" vertical="center"/>
    </xf>
    <xf numFmtId="0" fontId="20" fillId="0" borderId="0" xfId="23" applyFont="1" applyAlignment="1">
      <alignment horizontal="center" vertical="center" wrapText="1"/>
    </xf>
    <xf numFmtId="0" fontId="12" fillId="9" borderId="19" xfId="23" applyFont="1" applyFill="1" applyBorder="1" applyAlignment="1">
      <alignment horizontal="right" vertical="center"/>
    </xf>
    <xf numFmtId="0" fontId="12" fillId="9" borderId="49" xfId="23" applyFont="1" applyFill="1" applyBorder="1" applyAlignment="1">
      <alignment horizontal="right" vertical="center"/>
    </xf>
    <xf numFmtId="0" fontId="12" fillId="9" borderId="14" xfId="23" applyFont="1" applyFill="1" applyBorder="1" applyAlignment="1">
      <alignment horizontal="right" vertical="center"/>
    </xf>
    <xf numFmtId="0" fontId="10" fillId="0" borderId="13" xfId="23" applyFont="1" applyBorder="1" applyAlignment="1">
      <alignment horizontal="left" vertical="center" wrapText="1"/>
    </xf>
    <xf numFmtId="0" fontId="10" fillId="0" borderId="17" xfId="23" applyFont="1" applyBorder="1" applyAlignment="1">
      <alignment horizontal="left" vertical="center" wrapText="1"/>
    </xf>
    <xf numFmtId="0" fontId="10" fillId="0" borderId="0" xfId="12" applyFont="1" applyBorder="1" applyAlignment="1">
      <alignment horizontal="right" vertical="center"/>
    </xf>
    <xf numFmtId="0" fontId="20" fillId="0" borderId="0" xfId="12" applyFont="1" applyFill="1" applyAlignment="1">
      <alignment horizontal="center" vertical="center" wrapText="1"/>
    </xf>
    <xf numFmtId="0" fontId="10" fillId="0" borderId="0" xfId="12" applyFont="1" applyFill="1" applyAlignment="1">
      <alignment horizontal="center" vertical="center"/>
    </xf>
    <xf numFmtId="0" fontId="31" fillId="0" borderId="27" xfId="21" applyFont="1" applyFill="1" applyBorder="1" applyAlignment="1">
      <alignment horizontal="center" vertical="center"/>
    </xf>
    <xf numFmtId="0" fontId="31" fillId="0" borderId="38" xfId="21" applyFont="1" applyFill="1" applyBorder="1" applyAlignment="1">
      <alignment horizontal="center" vertical="center"/>
    </xf>
    <xf numFmtId="0" fontId="31" fillId="0" borderId="17" xfId="21" applyFont="1" applyFill="1" applyBorder="1" applyAlignment="1">
      <alignment horizontal="center" vertical="center"/>
    </xf>
    <xf numFmtId="0" fontId="31" fillId="0" borderId="18" xfId="21" applyFont="1" applyFill="1" applyBorder="1" applyAlignment="1">
      <alignment horizontal="center" vertical="center"/>
    </xf>
    <xf numFmtId="0" fontId="31" fillId="0" borderId="31" xfId="21" applyFont="1" applyFill="1" applyBorder="1" applyAlignment="1">
      <alignment horizontal="center" vertical="center"/>
    </xf>
    <xf numFmtId="0" fontId="31" fillId="0" borderId="13" xfId="21" applyFont="1" applyFill="1" applyBorder="1" applyAlignment="1">
      <alignment horizontal="center" vertical="center"/>
    </xf>
    <xf numFmtId="0" fontId="31" fillId="0" borderId="37" xfId="21" applyFont="1" applyFill="1" applyBorder="1" applyAlignment="1">
      <alignment horizontal="center" vertical="center"/>
    </xf>
    <xf numFmtId="0" fontId="31" fillId="0" borderId="0" xfId="21" applyFont="1" applyFill="1" applyBorder="1" applyAlignment="1">
      <alignment horizontal="center" vertical="center"/>
    </xf>
    <xf numFmtId="0" fontId="31" fillId="0" borderId="16" xfId="21" applyFont="1" applyFill="1" applyBorder="1" applyAlignment="1">
      <alignment horizontal="center" vertical="center"/>
    </xf>
    <xf numFmtId="0" fontId="31" fillId="0" borderId="19" xfId="21" applyFont="1" applyBorder="1" applyAlignment="1">
      <alignment horizontal="center" vertical="center"/>
    </xf>
    <xf numFmtId="0" fontId="31" fillId="0" borderId="49" xfId="21" applyFont="1" applyBorder="1" applyAlignment="1">
      <alignment horizontal="center" vertical="center"/>
    </xf>
    <xf numFmtId="0" fontId="31" fillId="0" borderId="14" xfId="21" applyFont="1" applyBorder="1" applyAlignment="1">
      <alignment horizontal="center" vertical="center"/>
    </xf>
    <xf numFmtId="0" fontId="27" fillId="0" borderId="19" xfId="21" applyFont="1" applyBorder="1" applyAlignment="1">
      <alignment horizontal="center" vertical="center"/>
    </xf>
    <xf numFmtId="0" fontId="27" fillId="0" borderId="49" xfId="21" applyFont="1" applyBorder="1" applyAlignment="1">
      <alignment horizontal="center" vertical="center"/>
    </xf>
    <xf numFmtId="0" fontId="27" fillId="0" borderId="14" xfId="21" applyFont="1" applyBorder="1" applyAlignment="1">
      <alignment horizontal="center" vertical="center"/>
    </xf>
    <xf numFmtId="0" fontId="29" fillId="0" borderId="27" xfId="21" applyFont="1" applyBorder="1" applyAlignment="1">
      <alignment horizontal="center" vertical="center"/>
    </xf>
    <xf numFmtId="0" fontId="29" fillId="0" borderId="38" xfId="21" applyFont="1" applyBorder="1" applyAlignment="1">
      <alignment horizontal="center" vertical="center"/>
    </xf>
    <xf numFmtId="0" fontId="29" fillId="0" borderId="17" xfId="21" applyFont="1" applyBorder="1" applyAlignment="1">
      <alignment horizontal="center" vertical="center"/>
    </xf>
    <xf numFmtId="0" fontId="29" fillId="0" borderId="27" xfId="21" applyFont="1" applyFill="1" applyBorder="1" applyAlignment="1">
      <alignment horizontal="center" vertical="center"/>
    </xf>
    <xf numFmtId="0" fontId="29" fillId="0" borderId="38" xfId="21" applyFont="1" applyFill="1" applyBorder="1" applyAlignment="1">
      <alignment horizontal="center" vertical="center"/>
    </xf>
    <xf numFmtId="0" fontId="29" fillId="0" borderId="17" xfId="21" applyFont="1" applyFill="1" applyBorder="1" applyAlignment="1">
      <alignment horizontal="center" vertical="center"/>
    </xf>
    <xf numFmtId="0" fontId="29" fillId="0" borderId="18" xfId="21" applyFont="1" applyBorder="1" applyAlignment="1">
      <alignment horizontal="center" vertical="center"/>
    </xf>
    <xf numFmtId="0" fontId="29" fillId="0" borderId="31" xfId="21" applyFont="1" applyBorder="1" applyAlignment="1">
      <alignment horizontal="center" vertical="center"/>
    </xf>
    <xf numFmtId="0" fontId="29" fillId="0" borderId="13" xfId="21" applyFont="1" applyBorder="1" applyAlignment="1">
      <alignment horizontal="center" vertical="center"/>
    </xf>
    <xf numFmtId="0" fontId="29" fillId="0" borderId="18" xfId="21" applyFont="1" applyFill="1" applyBorder="1" applyAlignment="1">
      <alignment horizontal="center" vertical="center"/>
    </xf>
    <xf numFmtId="0" fontId="29" fillId="0" borderId="31" xfId="21" applyFont="1" applyFill="1" applyBorder="1" applyAlignment="1">
      <alignment horizontal="center" vertical="center"/>
    </xf>
    <xf numFmtId="0" fontId="29" fillId="0" borderId="13" xfId="21" applyFont="1" applyFill="1" applyBorder="1" applyAlignment="1">
      <alignment horizontal="center" vertical="center"/>
    </xf>
    <xf numFmtId="49" fontId="29" fillId="0" borderId="19" xfId="21" applyNumberFormat="1" applyFont="1" applyFill="1" applyBorder="1" applyAlignment="1">
      <alignment horizontal="center" vertical="center"/>
    </xf>
    <xf numFmtId="49" fontId="29" fillId="0" borderId="49" xfId="21" applyNumberFormat="1" applyFont="1" applyFill="1" applyBorder="1" applyAlignment="1">
      <alignment horizontal="center" vertical="center"/>
    </xf>
    <xf numFmtId="49" fontId="29" fillId="0" borderId="14" xfId="21" applyNumberFormat="1" applyFont="1" applyFill="1" applyBorder="1" applyAlignment="1">
      <alignment horizontal="center" vertical="center"/>
    </xf>
    <xf numFmtId="49" fontId="29" fillId="0" borderId="19" xfId="21" applyNumberFormat="1" applyFont="1" applyBorder="1" applyAlignment="1">
      <alignment horizontal="center" vertical="center"/>
    </xf>
    <xf numFmtId="49" fontId="29" fillId="0" borderId="49" xfId="21" applyNumberFormat="1" applyFont="1" applyBorder="1" applyAlignment="1">
      <alignment horizontal="center" vertical="center"/>
    </xf>
    <xf numFmtId="49" fontId="29" fillId="0" borderId="14" xfId="21" applyNumberFormat="1" applyFont="1" applyBorder="1" applyAlignment="1">
      <alignment horizontal="center" vertical="center"/>
    </xf>
    <xf numFmtId="0" fontId="27" fillId="0" borderId="19" xfId="21" applyFont="1" applyFill="1" applyBorder="1" applyAlignment="1">
      <alignment horizontal="center" vertical="center"/>
    </xf>
    <xf numFmtId="0" fontId="27" fillId="0" borderId="49" xfId="21" applyFont="1" applyFill="1" applyBorder="1" applyAlignment="1">
      <alignment horizontal="center" vertical="center"/>
    </xf>
    <xf numFmtId="0" fontId="27" fillId="0" borderId="14" xfId="21" applyFont="1" applyFill="1" applyBorder="1" applyAlignment="1">
      <alignment horizontal="center" vertical="center"/>
    </xf>
    <xf numFmtId="0" fontId="31" fillId="0" borderId="18" xfId="21" applyFont="1" applyBorder="1" applyAlignment="1">
      <alignment horizontal="center" vertical="center"/>
    </xf>
    <xf numFmtId="0" fontId="31" fillId="0" borderId="31" xfId="21" applyFont="1" applyBorder="1" applyAlignment="1">
      <alignment horizontal="center" vertical="center"/>
    </xf>
    <xf numFmtId="0" fontId="31" fillId="0" borderId="13" xfId="21" applyFont="1" applyBorder="1" applyAlignment="1">
      <alignment horizontal="center" vertical="center"/>
    </xf>
    <xf numFmtId="49" fontId="30" fillId="0" borderId="15" xfId="21" applyNumberFormat="1" applyFont="1" applyFill="1" applyBorder="1" applyAlignment="1">
      <alignment horizontal="center" vertical="center"/>
    </xf>
    <xf numFmtId="0" fontId="30" fillId="0" borderId="37" xfId="21" applyFont="1" applyBorder="1" applyAlignment="1">
      <alignment horizontal="center" vertical="center"/>
    </xf>
    <xf numFmtId="0" fontId="30" fillId="0" borderId="16" xfId="21" applyFont="1" applyBorder="1" applyAlignment="1">
      <alignment horizontal="center" vertical="center"/>
    </xf>
    <xf numFmtId="0" fontId="31" fillId="8" borderId="19" xfId="21" applyFont="1" applyFill="1" applyBorder="1" applyAlignment="1">
      <alignment horizontal="center" vertical="center"/>
    </xf>
    <xf numFmtId="0" fontId="31" fillId="8" borderId="14" xfId="21" applyFont="1" applyFill="1" applyBorder="1" applyAlignment="1">
      <alignment horizontal="center" vertical="center"/>
    </xf>
    <xf numFmtId="0" fontId="30" fillId="0" borderId="37" xfId="21" applyFont="1" applyFill="1" applyBorder="1" applyAlignment="1">
      <alignment horizontal="center" vertical="center"/>
    </xf>
    <xf numFmtId="0" fontId="30" fillId="0" borderId="16" xfId="21" applyFont="1" applyFill="1" applyBorder="1" applyAlignment="1">
      <alignment horizontal="center" vertical="center"/>
    </xf>
    <xf numFmtId="49" fontId="30" fillId="0" borderId="15" xfId="21" applyNumberFormat="1" applyFont="1" applyBorder="1" applyAlignment="1">
      <alignment horizontal="center" vertical="center"/>
    </xf>
    <xf numFmtId="0" fontId="27" fillId="0" borderId="15" xfId="21" applyFont="1" applyBorder="1" applyAlignment="1">
      <alignment horizontal="center" vertical="center" wrapText="1"/>
    </xf>
    <xf numFmtId="0" fontId="27" fillId="0" borderId="36" xfId="21" applyFont="1" applyBorder="1" applyAlignment="1">
      <alignment horizontal="center" vertical="center" wrapText="1"/>
    </xf>
    <xf numFmtId="0" fontId="27" fillId="0" borderId="12" xfId="21" applyFont="1" applyBorder="1" applyAlignment="1">
      <alignment horizontal="center" vertical="center" wrapText="1"/>
    </xf>
    <xf numFmtId="0" fontId="27" fillId="0" borderId="15" xfId="21" applyFont="1" applyFill="1" applyBorder="1" applyAlignment="1">
      <alignment horizontal="center" vertical="center" wrapText="1"/>
    </xf>
    <xf numFmtId="0" fontId="27" fillId="0" borderId="36" xfId="21" applyFont="1" applyFill="1" applyBorder="1" applyAlignment="1">
      <alignment horizontal="center" vertical="center" wrapText="1"/>
    </xf>
    <xf numFmtId="0" fontId="27" fillId="0" borderId="12" xfId="21" applyFont="1" applyFill="1" applyBorder="1" applyAlignment="1">
      <alignment horizontal="center" vertical="center" wrapText="1"/>
    </xf>
    <xf numFmtId="0" fontId="27" fillId="0" borderId="36" xfId="21" applyFont="1" applyFill="1" applyBorder="1" applyAlignment="1">
      <alignment horizontal="center" vertical="center"/>
    </xf>
    <xf numFmtId="0" fontId="27" fillId="0" borderId="12" xfId="21" applyFont="1" applyFill="1" applyBorder="1" applyAlignment="1">
      <alignment horizontal="center" vertical="center"/>
    </xf>
    <xf numFmtId="0" fontId="29" fillId="0" borderId="37" xfId="21" applyFont="1" applyFill="1" applyBorder="1" applyAlignment="1">
      <alignment horizontal="center" vertical="center"/>
    </xf>
    <xf numFmtId="0" fontId="29" fillId="0" borderId="0" xfId="21" applyFont="1" applyFill="1" applyBorder="1" applyAlignment="1">
      <alignment horizontal="center" vertical="center"/>
    </xf>
    <xf numFmtId="0" fontId="29" fillId="0" borderId="16" xfId="21" applyFont="1" applyFill="1" applyBorder="1" applyAlignment="1">
      <alignment horizontal="center" vertical="center"/>
    </xf>
    <xf numFmtId="0" fontId="31" fillId="0" borderId="37" xfId="21" applyFont="1" applyBorder="1" applyAlignment="1">
      <alignment horizontal="center" vertical="center"/>
    </xf>
    <xf numFmtId="0" fontId="31" fillId="0" borderId="0" xfId="21" applyFont="1" applyBorder="1" applyAlignment="1">
      <alignment horizontal="center" vertical="center"/>
    </xf>
    <xf numFmtId="0" fontId="31" fillId="0" borderId="16" xfId="21" applyFont="1" applyBorder="1" applyAlignment="1">
      <alignment horizontal="center" vertical="center"/>
    </xf>
    <xf numFmtId="0" fontId="27" fillId="0" borderId="5" xfId="21" applyFont="1" applyBorder="1" applyAlignment="1">
      <alignment horizontal="center" vertical="center" wrapText="1"/>
    </xf>
    <xf numFmtId="0" fontId="29" fillId="0" borderId="19" xfId="21" applyFont="1" applyBorder="1" applyAlignment="1">
      <alignment horizontal="center" vertical="center"/>
    </xf>
    <xf numFmtId="0" fontId="29" fillId="0" borderId="49" xfId="21" applyFont="1" applyBorder="1" applyAlignment="1">
      <alignment horizontal="center" vertical="center"/>
    </xf>
    <xf numFmtId="0" fontId="29" fillId="0" borderId="14" xfId="21" applyFont="1" applyBorder="1" applyAlignment="1">
      <alignment horizontal="center" vertical="center"/>
    </xf>
    <xf numFmtId="49" fontId="29" fillId="0" borderId="18" xfId="21" applyNumberFormat="1" applyFont="1" applyFill="1" applyBorder="1" applyAlignment="1">
      <alignment horizontal="center" vertical="center"/>
    </xf>
    <xf numFmtId="49" fontId="29" fillId="0" borderId="31" xfId="21" applyNumberFormat="1" applyFont="1" applyFill="1" applyBorder="1" applyAlignment="1">
      <alignment horizontal="center" vertical="center"/>
    </xf>
    <xf numFmtId="49" fontId="29" fillId="0" borderId="13" xfId="21" applyNumberFormat="1" applyFont="1" applyFill="1" applyBorder="1" applyAlignment="1">
      <alignment horizontal="center" vertical="center"/>
    </xf>
    <xf numFmtId="49" fontId="29" fillId="0" borderId="37" xfId="21" applyNumberFormat="1" applyFont="1" applyFill="1" applyBorder="1" applyAlignment="1">
      <alignment horizontal="center" vertical="center"/>
    </xf>
    <xf numFmtId="49" fontId="29" fillId="0" borderId="0" xfId="21" applyNumberFormat="1" applyFont="1" applyFill="1" applyBorder="1" applyAlignment="1">
      <alignment horizontal="center" vertical="center"/>
    </xf>
    <xf numFmtId="49" fontId="29" fillId="0" borderId="16" xfId="21" applyNumberFormat="1" applyFont="1" applyFill="1" applyBorder="1" applyAlignment="1">
      <alignment horizontal="center" vertical="center"/>
    </xf>
    <xf numFmtId="49" fontId="29" fillId="0" borderId="27" xfId="21" applyNumberFormat="1" applyFont="1" applyFill="1" applyBorder="1" applyAlignment="1">
      <alignment horizontal="center" vertical="center"/>
    </xf>
    <xf numFmtId="49" fontId="29" fillId="0" borderId="38" xfId="21" applyNumberFormat="1" applyFont="1" applyFill="1" applyBorder="1" applyAlignment="1">
      <alignment horizontal="center" vertical="center"/>
    </xf>
    <xf numFmtId="49" fontId="29" fillId="0" borderId="17" xfId="21" applyNumberFormat="1" applyFont="1" applyFill="1" applyBorder="1" applyAlignment="1">
      <alignment horizontal="center" vertical="center"/>
    </xf>
    <xf numFmtId="0" fontId="29" fillId="0" borderId="5" xfId="21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 textRotation="90"/>
    </xf>
    <xf numFmtId="0" fontId="12" fillId="0" borderId="70" xfId="0" applyFont="1" applyBorder="1" applyAlignment="1">
      <alignment horizontal="center" vertical="center" textRotation="90"/>
    </xf>
    <xf numFmtId="0" fontId="12" fillId="0" borderId="72" xfId="0" applyFont="1" applyBorder="1" applyAlignment="1">
      <alignment horizontal="center" vertical="center" textRotation="90"/>
    </xf>
    <xf numFmtId="0" fontId="12" fillId="0" borderId="67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12" fillId="0" borderId="73" xfId="0" applyFont="1" applyBorder="1" applyAlignment="1">
      <alignment horizontal="center" vertical="center" textRotation="90"/>
    </xf>
    <xf numFmtId="0" fontId="12" fillId="0" borderId="40" xfId="0" applyFont="1" applyBorder="1" applyAlignment="1">
      <alignment horizontal="center" vertical="center" textRotation="90"/>
    </xf>
    <xf numFmtId="0" fontId="12" fillId="0" borderId="42" xfId="0" applyFont="1" applyBorder="1" applyAlignment="1">
      <alignment horizontal="center" vertical="center" textRotation="90"/>
    </xf>
    <xf numFmtId="0" fontId="12" fillId="0" borderId="32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 textRotation="90"/>
    </xf>
    <xf numFmtId="0" fontId="12" fillId="0" borderId="59" xfId="0" applyFont="1" applyBorder="1" applyAlignment="1">
      <alignment horizontal="center" vertical="center" textRotation="90"/>
    </xf>
  </cellXfs>
  <cellStyles count="31">
    <cellStyle name="Ezres" xfId="1" builtinId="3"/>
    <cellStyle name="Ezres 2" xfId="2"/>
    <cellStyle name="Ezres 3" xfId="3"/>
    <cellStyle name="Ezres 4" xfId="4"/>
    <cellStyle name="Ezres 5" xfId="5"/>
    <cellStyle name="Jelölőszín (1)" xfId="6"/>
    <cellStyle name="Jelölőszín (2)" xfId="7"/>
    <cellStyle name="Jelölőszín (3)" xfId="8"/>
    <cellStyle name="Jelölőszín (4)" xfId="9"/>
    <cellStyle name="Jelölőszín (5)" xfId="10"/>
    <cellStyle name="Jelölőszín (6)" xfId="11"/>
    <cellStyle name="Jelölőszín 1" xfId="25" builtinId="29" hidden="1"/>
    <cellStyle name="Jelölőszín 2" xfId="26" builtinId="33" hidden="1"/>
    <cellStyle name="Jelölőszín 3" xfId="27" builtinId="37" hidden="1"/>
    <cellStyle name="Jelölőszín 4" xfId="28" builtinId="41" hidden="1"/>
    <cellStyle name="Jelölőszín 5" xfId="29" builtinId="45" hidden="1"/>
    <cellStyle name="Jelölőszín 6" xfId="30" builtinId="49" hidden="1"/>
    <cellStyle name="Normál" xfId="0" builtinId="0"/>
    <cellStyle name="Normál 2" xfId="12"/>
    <cellStyle name="Normál 2 2" xfId="13"/>
    <cellStyle name="Normál 4" xfId="14"/>
    <cellStyle name="Normál 4 2" xfId="15"/>
    <cellStyle name="Normál_2001 költségvetés" xfId="16"/>
    <cellStyle name="Normál_2001 költségvetés 2" xfId="17"/>
    <cellStyle name="Normál_2009.évi.besz." xfId="18"/>
    <cellStyle name="Normál_2010.évi beszám" xfId="19"/>
    <cellStyle name="Normál_2-A tábla" xfId="20"/>
    <cellStyle name="Normál_Becsehely aládolgozó 2016. évi költségvetéshez" xfId="21"/>
    <cellStyle name="Normál_Egyszer.mérleg előírt tagolása" xfId="22"/>
    <cellStyle name="Normál_mellékletek Magdinak" xfId="23"/>
    <cellStyle name="Normál_zárszámadáshoz 2013.részesedés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tabSelected="1" view="pageBreakPreview" topLeftCell="A8" zoomScaleNormal="100" zoomScaleSheetLayoutView="100" workbookViewId="0">
      <selection activeCell="D16" sqref="D16"/>
    </sheetView>
  </sheetViews>
  <sheetFormatPr defaultRowHeight="15" x14ac:dyDescent="0.3"/>
  <cols>
    <col min="1" max="1" width="33.5703125" style="12" customWidth="1"/>
    <col min="2" max="37" width="15.140625" style="12" customWidth="1"/>
    <col min="38" max="38" width="12.5703125" style="12" bestFit="1" customWidth="1"/>
    <col min="39" max="16384" width="9.140625" style="12"/>
  </cols>
  <sheetData>
    <row r="1" spans="1:39" s="8" customForma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9" s="8" customForma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 t="s">
        <v>67</v>
      </c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9" x14ac:dyDescent="0.3">
      <c r="A3" s="841"/>
      <c r="B3" s="841"/>
      <c r="C3" s="841"/>
      <c r="D3" s="841"/>
      <c r="E3" s="841"/>
      <c r="F3" s="11"/>
      <c r="G3" s="11"/>
      <c r="W3" s="842"/>
      <c r="X3" s="842"/>
      <c r="Y3" s="842"/>
      <c r="Z3" s="842"/>
      <c r="AA3" s="842"/>
      <c r="AB3" s="842"/>
      <c r="AC3" s="842"/>
      <c r="AD3" s="842"/>
      <c r="AE3" s="842"/>
      <c r="AF3" s="842"/>
      <c r="AG3" s="842"/>
      <c r="AH3" s="842"/>
      <c r="AI3" s="842"/>
      <c r="AJ3" s="13"/>
      <c r="AK3" s="13"/>
    </row>
    <row r="4" spans="1:39" ht="18.75" x14ac:dyDescent="0.3">
      <c r="A4" s="843" t="s">
        <v>850</v>
      </c>
      <c r="B4" s="843"/>
      <c r="C4" s="843"/>
      <c r="D4" s="843"/>
      <c r="E4" s="843"/>
      <c r="F4" s="843"/>
      <c r="G4" s="843"/>
      <c r="H4" s="843"/>
      <c r="I4" s="843"/>
      <c r="J4" s="843"/>
      <c r="K4" s="843"/>
      <c r="L4" s="843"/>
      <c r="M4" s="843"/>
      <c r="N4" s="843"/>
      <c r="O4" s="843"/>
      <c r="P4" s="843"/>
      <c r="Q4" s="843"/>
      <c r="R4" s="843"/>
      <c r="S4" s="843"/>
      <c r="T4" s="843"/>
      <c r="U4" s="843"/>
      <c r="V4" s="843"/>
      <c r="W4" s="843"/>
      <c r="X4" s="843"/>
      <c r="Y4" s="843"/>
      <c r="Z4" s="843"/>
      <c r="AA4" s="843"/>
      <c r="AB4" s="843"/>
      <c r="AC4" s="843"/>
      <c r="AD4" s="843"/>
      <c r="AE4" s="843"/>
      <c r="AF4" s="843"/>
      <c r="AG4" s="843"/>
      <c r="AH4" s="843"/>
      <c r="AI4" s="843"/>
      <c r="AJ4" s="367"/>
      <c r="AK4" s="367"/>
    </row>
    <row r="5" spans="1:39" ht="18.75" x14ac:dyDescent="0.3">
      <c r="A5" s="843" t="s">
        <v>553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43"/>
      <c r="AG5" s="843"/>
      <c r="AH5" s="843"/>
      <c r="AI5" s="843"/>
      <c r="AJ5" s="367"/>
      <c r="AK5" s="367"/>
    </row>
    <row r="6" spans="1:39" x14ac:dyDescent="0.3">
      <c r="AL6" s="14"/>
    </row>
    <row r="7" spans="1:39" ht="15.75" thickBot="1" x14ac:dyDescent="0.35">
      <c r="AI7" s="12" t="s">
        <v>581</v>
      </c>
      <c r="AL7" s="14"/>
    </row>
    <row r="8" spans="1:39" ht="33.75" customHeight="1" x14ac:dyDescent="0.3">
      <c r="A8" s="844" t="s">
        <v>1</v>
      </c>
      <c r="B8" s="834" t="s">
        <v>2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836"/>
      <c r="Q8" s="821" t="s">
        <v>4</v>
      </c>
      <c r="R8" s="822"/>
      <c r="S8" s="823"/>
      <c r="T8" s="834" t="s">
        <v>3</v>
      </c>
      <c r="U8" s="835"/>
      <c r="V8" s="835"/>
      <c r="W8" s="835"/>
      <c r="X8" s="835"/>
      <c r="Y8" s="835"/>
      <c r="Z8" s="835"/>
      <c r="AA8" s="835"/>
      <c r="AB8" s="835"/>
      <c r="AC8" s="835"/>
      <c r="AD8" s="835"/>
      <c r="AE8" s="836"/>
      <c r="AF8" s="821" t="s">
        <v>4</v>
      </c>
      <c r="AG8" s="822"/>
      <c r="AH8" s="823"/>
      <c r="AI8" s="847" t="s">
        <v>5</v>
      </c>
      <c r="AJ8" s="848"/>
      <c r="AK8" s="849"/>
      <c r="AL8" s="14"/>
    </row>
    <row r="9" spans="1:39" ht="32.25" customHeight="1" x14ac:dyDescent="0.3">
      <c r="A9" s="845"/>
      <c r="B9" s="824" t="s">
        <v>7</v>
      </c>
      <c r="C9" s="825"/>
      <c r="D9" s="830"/>
      <c r="E9" s="832" t="s">
        <v>8</v>
      </c>
      <c r="F9" s="825"/>
      <c r="G9" s="830"/>
      <c r="H9" s="832" t="s">
        <v>9</v>
      </c>
      <c r="I9" s="825"/>
      <c r="J9" s="825"/>
      <c r="K9" s="825"/>
      <c r="L9" s="825"/>
      <c r="M9" s="830"/>
      <c r="N9" s="832" t="s">
        <v>10</v>
      </c>
      <c r="O9" s="825"/>
      <c r="P9" s="826"/>
      <c r="Q9" s="824" t="s">
        <v>11</v>
      </c>
      <c r="R9" s="825"/>
      <c r="S9" s="826"/>
      <c r="T9" s="824" t="s">
        <v>630</v>
      </c>
      <c r="U9" s="825"/>
      <c r="V9" s="830"/>
      <c r="W9" s="832" t="s">
        <v>12</v>
      </c>
      <c r="X9" s="825"/>
      <c r="Y9" s="830"/>
      <c r="Z9" s="832" t="s">
        <v>13</v>
      </c>
      <c r="AA9" s="825"/>
      <c r="AB9" s="830"/>
      <c r="AC9" s="832" t="s">
        <v>839</v>
      </c>
      <c r="AD9" s="825"/>
      <c r="AE9" s="826"/>
      <c r="AF9" s="824" t="s">
        <v>540</v>
      </c>
      <c r="AG9" s="825"/>
      <c r="AH9" s="826"/>
      <c r="AI9" s="850"/>
      <c r="AJ9" s="851"/>
      <c r="AK9" s="852"/>
    </row>
    <row r="10" spans="1:39" ht="29.25" customHeight="1" x14ac:dyDescent="0.3">
      <c r="A10" s="846"/>
      <c r="B10" s="827"/>
      <c r="C10" s="828"/>
      <c r="D10" s="831"/>
      <c r="E10" s="833"/>
      <c r="F10" s="828"/>
      <c r="G10" s="831"/>
      <c r="H10" s="838" t="s">
        <v>15</v>
      </c>
      <c r="I10" s="839"/>
      <c r="J10" s="840"/>
      <c r="K10" s="833" t="s">
        <v>16</v>
      </c>
      <c r="L10" s="828"/>
      <c r="M10" s="831"/>
      <c r="N10" s="833"/>
      <c r="O10" s="828"/>
      <c r="P10" s="829"/>
      <c r="Q10" s="827"/>
      <c r="R10" s="828"/>
      <c r="S10" s="829"/>
      <c r="T10" s="827"/>
      <c r="U10" s="828"/>
      <c r="V10" s="831"/>
      <c r="W10" s="833"/>
      <c r="X10" s="828"/>
      <c r="Y10" s="831"/>
      <c r="Z10" s="833"/>
      <c r="AA10" s="828"/>
      <c r="AB10" s="831"/>
      <c r="AC10" s="833"/>
      <c r="AD10" s="828"/>
      <c r="AE10" s="829"/>
      <c r="AF10" s="827"/>
      <c r="AG10" s="828"/>
      <c r="AH10" s="829"/>
      <c r="AI10" s="850"/>
      <c r="AJ10" s="851"/>
      <c r="AK10" s="852"/>
    </row>
    <row r="11" spans="1:39" ht="39" customHeight="1" x14ac:dyDescent="0.3">
      <c r="A11" s="368"/>
      <c r="B11" s="382" t="s">
        <v>673</v>
      </c>
      <c r="C11" s="376" t="s">
        <v>674</v>
      </c>
      <c r="D11" s="376" t="s">
        <v>845</v>
      </c>
      <c r="E11" s="377" t="s">
        <v>673</v>
      </c>
      <c r="F11" s="377" t="s">
        <v>674</v>
      </c>
      <c r="G11" s="376" t="s">
        <v>845</v>
      </c>
      <c r="H11" s="378" t="s">
        <v>673</v>
      </c>
      <c r="I11" s="378" t="s">
        <v>674</v>
      </c>
      <c r="J11" s="376" t="s">
        <v>845</v>
      </c>
      <c r="K11" s="379" t="s">
        <v>673</v>
      </c>
      <c r="L11" s="380" t="s">
        <v>674</v>
      </c>
      <c r="M11" s="376" t="s">
        <v>845</v>
      </c>
      <c r="N11" s="381" t="s">
        <v>673</v>
      </c>
      <c r="O11" s="381" t="s">
        <v>674</v>
      </c>
      <c r="P11" s="522" t="s">
        <v>845</v>
      </c>
      <c r="Q11" s="428" t="s">
        <v>673</v>
      </c>
      <c r="R11" s="378" t="s">
        <v>674</v>
      </c>
      <c r="S11" s="522" t="s">
        <v>845</v>
      </c>
      <c r="T11" s="382" t="s">
        <v>673</v>
      </c>
      <c r="U11" s="376" t="s">
        <v>674</v>
      </c>
      <c r="V11" s="376" t="s">
        <v>845</v>
      </c>
      <c r="W11" s="376" t="s">
        <v>673</v>
      </c>
      <c r="X11" s="376" t="s">
        <v>674</v>
      </c>
      <c r="Y11" s="376" t="s">
        <v>845</v>
      </c>
      <c r="Z11" s="383" t="s">
        <v>673</v>
      </c>
      <c r="AA11" s="378" t="s">
        <v>674</v>
      </c>
      <c r="AB11" s="376" t="s">
        <v>845</v>
      </c>
      <c r="AC11" s="383" t="s">
        <v>673</v>
      </c>
      <c r="AD11" s="378" t="s">
        <v>674</v>
      </c>
      <c r="AE11" s="522" t="s">
        <v>845</v>
      </c>
      <c r="AF11" s="525" t="s">
        <v>673</v>
      </c>
      <c r="AG11" s="378" t="s">
        <v>674</v>
      </c>
      <c r="AH11" s="522" t="s">
        <v>845</v>
      </c>
      <c r="AI11" s="384" t="s">
        <v>673</v>
      </c>
      <c r="AJ11" s="377" t="s">
        <v>674</v>
      </c>
      <c r="AK11" s="527" t="s">
        <v>845</v>
      </c>
      <c r="AL11" s="385"/>
      <c r="AM11" s="385"/>
    </row>
    <row r="12" spans="1:39" s="16" customFormat="1" ht="36.75" customHeight="1" x14ac:dyDescent="0.2">
      <c r="A12" s="15" t="s">
        <v>610</v>
      </c>
      <c r="B12" s="191">
        <f>'21.m. Konyha rovat+cofog'!M24</f>
        <v>56604007.1505</v>
      </c>
      <c r="C12" s="188">
        <f>'21.m. Konyha rovat+cofog'!N24</f>
        <v>61662425.167756006</v>
      </c>
      <c r="D12" s="188">
        <f>'21.m. Konyha rovat+cofog'!O24</f>
        <v>60308425</v>
      </c>
      <c r="E12" s="189"/>
      <c r="F12" s="189"/>
      <c r="G12" s="189"/>
      <c r="H12" s="189"/>
      <c r="I12" s="189"/>
      <c r="J12" s="189"/>
      <c r="K12" s="189">
        <f>'21.m. Konyha rovat+cofog'!M35</f>
        <v>26049610</v>
      </c>
      <c r="L12" s="189">
        <f>'21.m. Konyha rovat+cofog'!N35</f>
        <v>35790019</v>
      </c>
      <c r="M12" s="189">
        <f>'21.m. Konyha rovat+cofog'!O35</f>
        <v>35742112</v>
      </c>
      <c r="N12" s="190"/>
      <c r="O12" s="190"/>
      <c r="P12" s="192"/>
      <c r="Q12" s="191">
        <f>'21.m. Konyha rovat+cofog'!M34</f>
        <v>14022</v>
      </c>
      <c r="R12" s="189">
        <f>'21.m. Konyha rovat+cofog'!N34</f>
        <v>10522</v>
      </c>
      <c r="S12" s="192">
        <f>'21.m. Konyha rovat+cofog'!O34</f>
        <v>10522</v>
      </c>
      <c r="T12" s="191"/>
      <c r="U12" s="188"/>
      <c r="V12" s="188"/>
      <c r="W12" s="188"/>
      <c r="X12" s="188"/>
      <c r="Y12" s="188"/>
      <c r="Z12" s="189"/>
      <c r="AA12" s="190"/>
      <c r="AB12" s="190"/>
      <c r="AC12" s="190"/>
      <c r="AD12" s="190"/>
      <c r="AE12" s="192"/>
      <c r="AF12" s="420"/>
      <c r="AG12" s="189"/>
      <c r="AH12" s="526"/>
      <c r="AI12" s="423">
        <f t="shared" ref="AI12:AK14" si="0">B12+E12+H12+K12+N12+Q12+T12+W12+Z12+AF12</f>
        <v>82667639.1505</v>
      </c>
      <c r="AJ12" s="521">
        <f t="shared" si="0"/>
        <v>97462966.167756006</v>
      </c>
      <c r="AK12" s="424">
        <f t="shared" si="0"/>
        <v>96061059</v>
      </c>
    </row>
    <row r="13" spans="1:39" s="16" customFormat="1" ht="33" customHeight="1" x14ac:dyDescent="0.2">
      <c r="A13" s="17" t="s">
        <v>130</v>
      </c>
      <c r="B13" s="191">
        <f>'19.m. Óvoda rovat+cofog'!M20</f>
        <v>150</v>
      </c>
      <c r="C13" s="188">
        <f>'19.m. Óvoda rovat+cofog'!N20</f>
        <v>150</v>
      </c>
      <c r="D13" s="188">
        <f>'19.m. Óvoda rovat+cofog'!O20</f>
        <v>2</v>
      </c>
      <c r="E13" s="189"/>
      <c r="F13" s="189"/>
      <c r="G13" s="189"/>
      <c r="H13" s="189"/>
      <c r="I13" s="189"/>
      <c r="J13" s="189"/>
      <c r="K13" s="189">
        <f>'19.m. Óvoda rovat+cofog'!M31</f>
        <v>43535034</v>
      </c>
      <c r="L13" s="189">
        <f>'19.m. Óvoda rovat+cofog'!N31</f>
        <v>44282799</v>
      </c>
      <c r="M13" s="189">
        <f>'19.m. Óvoda rovat+cofog'!O31</f>
        <v>44282799</v>
      </c>
      <c r="N13" s="190"/>
      <c r="O13" s="190"/>
      <c r="P13" s="192"/>
      <c r="Q13" s="420">
        <f>'19.m. Óvoda rovat+cofog'!M30</f>
        <v>30129</v>
      </c>
      <c r="R13" s="189">
        <f>'19.m. Óvoda rovat+cofog'!N30</f>
        <v>30129</v>
      </c>
      <c r="S13" s="192">
        <f>'19.m. Óvoda rovat+cofog'!O30</f>
        <v>30129</v>
      </c>
      <c r="T13" s="191"/>
      <c r="U13" s="188"/>
      <c r="V13" s="188"/>
      <c r="W13" s="188"/>
      <c r="X13" s="188"/>
      <c r="Y13" s="188"/>
      <c r="Z13" s="189"/>
      <c r="AA13" s="190"/>
      <c r="AB13" s="190"/>
      <c r="AC13" s="190"/>
      <c r="AD13" s="190"/>
      <c r="AE13" s="192"/>
      <c r="AF13" s="420"/>
      <c r="AG13" s="189"/>
      <c r="AH13" s="526"/>
      <c r="AI13" s="423">
        <f t="shared" si="0"/>
        <v>43565313</v>
      </c>
      <c r="AJ13" s="521">
        <f t="shared" si="0"/>
        <v>44313078</v>
      </c>
      <c r="AK13" s="424">
        <f t="shared" si="0"/>
        <v>44312930</v>
      </c>
    </row>
    <row r="14" spans="1:39" s="18" customFormat="1" ht="38.25" customHeight="1" x14ac:dyDescent="0.2">
      <c r="A14" s="15" t="s">
        <v>631</v>
      </c>
      <c r="B14" s="191">
        <f>'20.m. KÖH rovat+cofog'!J21</f>
        <v>228850</v>
      </c>
      <c r="C14" s="188">
        <f>'20.m. KÖH rovat+cofog'!K21</f>
        <v>234604</v>
      </c>
      <c r="D14" s="188">
        <f>'20.m. KÖH rovat+cofog'!L21</f>
        <v>234355</v>
      </c>
      <c r="E14" s="189"/>
      <c r="F14" s="189"/>
      <c r="G14" s="189"/>
      <c r="H14" s="189"/>
      <c r="I14" s="189"/>
      <c r="J14" s="189"/>
      <c r="K14" s="189">
        <f>'20.m. KÖH rovat+cofog'!J32</f>
        <v>48941000</v>
      </c>
      <c r="L14" s="189">
        <f>'20.m. KÖH rovat+cofog'!K32</f>
        <v>49752455</v>
      </c>
      <c r="M14" s="189">
        <f>'20.m. KÖH rovat+cofog'!L32</f>
        <v>49752455</v>
      </c>
      <c r="N14" s="190">
        <f>'20.m. KÖH rovat+cofog'!J12</f>
        <v>0</v>
      </c>
      <c r="O14" s="190">
        <f>'20.m. KÖH rovat+cofog'!K12</f>
        <v>0</v>
      </c>
      <c r="P14" s="192">
        <f>'20.m. KÖH rovat+cofog'!L12</f>
        <v>0</v>
      </c>
      <c r="Q14" s="420">
        <f>'20.m. KÖH rovat+cofog'!J31</f>
        <v>0</v>
      </c>
      <c r="R14" s="189">
        <f>'20.m. KÖH rovat+cofog'!K31</f>
        <v>13312</v>
      </c>
      <c r="S14" s="192">
        <f>'20.m. KÖH rovat+cofog'!L31</f>
        <v>13312</v>
      </c>
      <c r="T14" s="191"/>
      <c r="U14" s="188"/>
      <c r="V14" s="188"/>
      <c r="W14" s="188"/>
      <c r="X14" s="188"/>
      <c r="Y14" s="188"/>
      <c r="Z14" s="189"/>
      <c r="AA14" s="190"/>
      <c r="AB14" s="190"/>
      <c r="AC14" s="190"/>
      <c r="AD14" s="190"/>
      <c r="AE14" s="192"/>
      <c r="AF14" s="420"/>
      <c r="AG14" s="189"/>
      <c r="AH14" s="526"/>
      <c r="AI14" s="423">
        <f t="shared" si="0"/>
        <v>49169850</v>
      </c>
      <c r="AJ14" s="521">
        <f t="shared" si="0"/>
        <v>50000371</v>
      </c>
      <c r="AK14" s="424">
        <f t="shared" si="0"/>
        <v>50000122</v>
      </c>
    </row>
    <row r="15" spans="1:39" s="16" customFormat="1" ht="33.75" customHeight="1" x14ac:dyDescent="0.2">
      <c r="A15" s="15" t="s">
        <v>23</v>
      </c>
      <c r="B15" s="191">
        <f>'18.m. Önk. rovat+cofog'!CJ45</f>
        <v>4730550</v>
      </c>
      <c r="C15" s="188">
        <f>'18.m. Önk. rovat+cofog'!CK45</f>
        <v>38560550</v>
      </c>
      <c r="D15" s="188">
        <f>'18.m. Önk. rovat+cofog'!CL45</f>
        <v>8420925</v>
      </c>
      <c r="E15" s="189">
        <f>'18.m. Önk. rovat+cofog'!CJ34</f>
        <v>89150000</v>
      </c>
      <c r="F15" s="189">
        <f>'18.m. Önk. rovat+cofog'!CK34</f>
        <v>81814470</v>
      </c>
      <c r="G15" s="189">
        <f>'18.m. Önk. rovat+cofog'!CL34</f>
        <v>77438918</v>
      </c>
      <c r="H15" s="189">
        <f>'18.m. Önk. rovat+cofog'!CJ23</f>
        <v>175862359</v>
      </c>
      <c r="I15" s="189">
        <f>'18.m. Önk. rovat+cofog'!CK23</f>
        <v>225123198.53</v>
      </c>
      <c r="J15" s="189">
        <f>'18.m. Önk. rovat+cofog'!CL23</f>
        <v>225123199</v>
      </c>
      <c r="K15" s="189"/>
      <c r="L15" s="189"/>
      <c r="M15" s="189"/>
      <c r="N15" s="189">
        <f>'18.m. Önk. rovat+cofog'!CJ51</f>
        <v>0</v>
      </c>
      <c r="O15" s="189">
        <f>'18.m. Önk. rovat+cofog'!CK51</f>
        <v>2515000</v>
      </c>
      <c r="P15" s="192">
        <f>'18.m. Önk. rovat+cofog'!CL51</f>
        <v>2515000</v>
      </c>
      <c r="Q15" s="524">
        <v>6378372</v>
      </c>
      <c r="R15" s="64">
        <v>6378372</v>
      </c>
      <c r="S15" s="471">
        <v>6378372</v>
      </c>
      <c r="T15" s="420">
        <f>'18.m. Önk. rovat+cofog'!CJ28</f>
        <v>0</v>
      </c>
      <c r="U15" s="189">
        <f>'18.m. Önk. rovat+cofog'!CK28</f>
        <v>126597573</v>
      </c>
      <c r="V15" s="189">
        <f>'18.m. Önk. rovat+cofog'!CL28</f>
        <v>126597573</v>
      </c>
      <c r="W15" s="188">
        <f>'18.m. Önk. rovat+cofog'!CJ54</f>
        <v>0</v>
      </c>
      <c r="X15" s="188">
        <f>'18.m. Önk. rovat+cofog'!CK54</f>
        <v>0</v>
      </c>
      <c r="Y15" s="188">
        <f>'18.m. Önk. rovat+cofog'!CL54</f>
        <v>0</v>
      </c>
      <c r="Z15" s="189">
        <f>'18.m. Önk. rovat+cofog'!CJ48</f>
        <v>0</v>
      </c>
      <c r="AA15" s="189">
        <f>'18.m. Önk. rovat+cofog'!CK48</f>
        <v>1527135</v>
      </c>
      <c r="AB15" s="189">
        <f>'18.m. Önk. rovat+cofog'!CL48</f>
        <v>1527135</v>
      </c>
      <c r="AC15" s="190">
        <f>'18.m. Önk. rovat+cofog'!CJ57</f>
        <v>0</v>
      </c>
      <c r="AD15" s="190">
        <f>'18.m. Önk. rovat+cofog'!CK57</f>
        <v>8787457</v>
      </c>
      <c r="AE15" s="192">
        <f>'18.m. Önk. rovat+cofog'!CL57</f>
        <v>8787457</v>
      </c>
      <c r="AF15" s="420">
        <f>'18.m. Önk. rovat+cofog'!CJ56-Q15</f>
        <v>112962656</v>
      </c>
      <c r="AG15" s="189">
        <f>'18.m. Önk. rovat+cofog'!CK56-R15</f>
        <v>111503656</v>
      </c>
      <c r="AH15" s="192">
        <f>'18.m. Önk. rovat+cofog'!CL56-S15</f>
        <v>111503656</v>
      </c>
      <c r="AI15" s="423">
        <f>B15+E15+H15+K15+N15+Q15+T15+W15+Z15+AC15+AF15</f>
        <v>389083937</v>
      </c>
      <c r="AJ15" s="521">
        <f>C15+F15+I15+L15+O15+R15+U15+X15+AA15+AD15+AG15</f>
        <v>602807411.52999997</v>
      </c>
      <c r="AK15" s="424">
        <f>D15+G15+J15+M15+P15+S15+V15+Y15+AB15+AE15+AH15</f>
        <v>568292235</v>
      </c>
    </row>
    <row r="16" spans="1:39" s="18" customFormat="1" ht="42.75" customHeight="1" thickBot="1" x14ac:dyDescent="0.25">
      <c r="A16" s="19" t="s">
        <v>127</v>
      </c>
      <c r="B16" s="195">
        <f t="shared" ref="B16:AE16" si="1">SUM(B12:B15)</f>
        <v>61563557.1505</v>
      </c>
      <c r="C16" s="193">
        <f t="shared" si="1"/>
        <v>100457729.16775601</v>
      </c>
      <c r="D16" s="193">
        <f t="shared" si="1"/>
        <v>68963707</v>
      </c>
      <c r="E16" s="193">
        <f t="shared" si="1"/>
        <v>89150000</v>
      </c>
      <c r="F16" s="193">
        <f t="shared" si="1"/>
        <v>81814470</v>
      </c>
      <c r="G16" s="193">
        <f t="shared" si="1"/>
        <v>77438918</v>
      </c>
      <c r="H16" s="193">
        <f t="shared" si="1"/>
        <v>175862359</v>
      </c>
      <c r="I16" s="193">
        <f t="shared" si="1"/>
        <v>225123198.53</v>
      </c>
      <c r="J16" s="193">
        <f t="shared" si="1"/>
        <v>225123199</v>
      </c>
      <c r="K16" s="193">
        <f t="shared" si="1"/>
        <v>118525644</v>
      </c>
      <c r="L16" s="193">
        <f t="shared" si="1"/>
        <v>129825273</v>
      </c>
      <c r="M16" s="193">
        <f t="shared" si="1"/>
        <v>129777366</v>
      </c>
      <c r="N16" s="193">
        <f t="shared" si="1"/>
        <v>0</v>
      </c>
      <c r="O16" s="193">
        <f t="shared" si="1"/>
        <v>2515000</v>
      </c>
      <c r="P16" s="523">
        <f t="shared" si="1"/>
        <v>2515000</v>
      </c>
      <c r="Q16" s="195">
        <f t="shared" si="1"/>
        <v>6422523</v>
      </c>
      <c r="R16" s="194">
        <f t="shared" si="1"/>
        <v>6432335</v>
      </c>
      <c r="S16" s="196">
        <f t="shared" si="1"/>
        <v>6432335</v>
      </c>
      <c r="T16" s="421">
        <f t="shared" si="1"/>
        <v>0</v>
      </c>
      <c r="U16" s="194">
        <f t="shared" si="1"/>
        <v>126597573</v>
      </c>
      <c r="V16" s="194">
        <f t="shared" si="1"/>
        <v>126597573</v>
      </c>
      <c r="W16" s="193">
        <f t="shared" si="1"/>
        <v>0</v>
      </c>
      <c r="X16" s="193">
        <f t="shared" si="1"/>
        <v>0</v>
      </c>
      <c r="Y16" s="193">
        <f t="shared" si="1"/>
        <v>0</v>
      </c>
      <c r="Z16" s="194">
        <f t="shared" si="1"/>
        <v>0</v>
      </c>
      <c r="AA16" s="194">
        <f t="shared" si="1"/>
        <v>1527135</v>
      </c>
      <c r="AB16" s="194">
        <f t="shared" si="1"/>
        <v>1527135</v>
      </c>
      <c r="AC16" s="194">
        <f t="shared" si="1"/>
        <v>0</v>
      </c>
      <c r="AD16" s="194">
        <f t="shared" si="1"/>
        <v>8787457</v>
      </c>
      <c r="AE16" s="196">
        <f t="shared" si="1"/>
        <v>8787457</v>
      </c>
      <c r="AF16" s="195">
        <f t="shared" ref="AF16:AK16" si="2">SUM(AF12:AF15)</f>
        <v>112962656</v>
      </c>
      <c r="AG16" s="194">
        <f t="shared" si="2"/>
        <v>111503656</v>
      </c>
      <c r="AH16" s="196">
        <f t="shared" si="2"/>
        <v>111503656</v>
      </c>
      <c r="AI16" s="421">
        <f t="shared" si="2"/>
        <v>564486739.15050006</v>
      </c>
      <c r="AJ16" s="226">
        <f t="shared" si="2"/>
        <v>794583826.69775605</v>
      </c>
      <c r="AK16" s="196">
        <f t="shared" si="2"/>
        <v>758666346</v>
      </c>
    </row>
    <row r="17" spans="1:37" s="20" customForma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s="20" customFormat="1" x14ac:dyDescent="0.3">
      <c r="A18" s="12"/>
      <c r="B18" s="837"/>
      <c r="C18" s="837"/>
      <c r="D18" s="837"/>
      <c r="E18" s="837"/>
      <c r="F18" s="369"/>
      <c r="G18" s="369"/>
      <c r="H18" s="14"/>
      <c r="I18" s="14"/>
      <c r="J18" s="14"/>
      <c r="K18" s="14"/>
      <c r="L18" s="14"/>
      <c r="M18" s="14"/>
      <c r="N18" s="14"/>
      <c r="O18" s="14"/>
      <c r="P18" s="14"/>
      <c r="Q18" s="21"/>
      <c r="R18" s="21"/>
      <c r="S18" s="21"/>
      <c r="T18" s="21"/>
      <c r="U18" s="21"/>
      <c r="V18" s="21"/>
      <c r="W18" s="11"/>
      <c r="X18" s="11"/>
      <c r="Y18" s="11"/>
      <c r="Z18" s="14"/>
      <c r="AA18" s="14"/>
      <c r="AB18" s="14"/>
      <c r="AC18" s="14"/>
      <c r="AD18" s="14"/>
      <c r="AE18" s="14"/>
      <c r="AF18" s="14"/>
      <c r="AG18" s="14"/>
      <c r="AH18" s="14"/>
      <c r="AI18" s="21"/>
      <c r="AJ18" s="21"/>
      <c r="AK18" s="21"/>
    </row>
    <row r="19" spans="1:37" s="20" customFormat="1" x14ac:dyDescent="0.3">
      <c r="A19" s="12"/>
      <c r="B19" s="11"/>
      <c r="C19" s="11"/>
      <c r="D19" s="11"/>
      <c r="E19" s="11"/>
      <c r="F19" s="11"/>
      <c r="G19" s="11"/>
      <c r="H19" s="22"/>
      <c r="I19" s="22"/>
      <c r="J19" s="22"/>
      <c r="K19" s="14"/>
      <c r="L19" s="14"/>
      <c r="M19" s="14"/>
      <c r="N19" s="14"/>
      <c r="O19" s="14"/>
      <c r="P19" s="14"/>
      <c r="Q19" s="23"/>
      <c r="R19" s="23"/>
      <c r="S19" s="23"/>
      <c r="T19" s="23"/>
      <c r="U19" s="23"/>
      <c r="V19" s="23"/>
      <c r="W19" s="11"/>
      <c r="X19" s="11"/>
      <c r="Y19" s="11"/>
      <c r="Z19" s="21"/>
      <c r="AA19" s="21"/>
      <c r="AB19" s="21"/>
      <c r="AC19" s="21"/>
      <c r="AD19" s="21"/>
      <c r="AE19" s="21"/>
      <c r="AF19" s="21"/>
      <c r="AG19" s="21"/>
      <c r="AH19" s="21"/>
      <c r="AI19" s="23"/>
      <c r="AJ19" s="23"/>
      <c r="AK19" s="23"/>
    </row>
    <row r="20" spans="1:37" s="20" customFormat="1" x14ac:dyDescent="0.3">
      <c r="A20" s="12"/>
      <c r="B20" s="11"/>
      <c r="C20" s="11"/>
      <c r="D20" s="11"/>
      <c r="E20" s="11"/>
      <c r="F20" s="11"/>
      <c r="G20" s="11"/>
      <c r="H20" s="14"/>
      <c r="I20" s="14"/>
      <c r="J20" s="14"/>
      <c r="K20" s="14"/>
      <c r="L20" s="14"/>
      <c r="M20" s="14"/>
      <c r="N20" s="14"/>
      <c r="O20" s="14"/>
      <c r="P20" s="14"/>
      <c r="Q20" s="24"/>
      <c r="R20" s="24"/>
      <c r="S20" s="24"/>
      <c r="T20" s="24"/>
      <c r="U20" s="24"/>
      <c r="V20" s="24"/>
      <c r="W20" s="11"/>
      <c r="X20" s="11"/>
      <c r="Y20" s="11"/>
      <c r="Z20" s="14"/>
      <c r="AA20" s="14"/>
      <c r="AB20" s="14"/>
      <c r="AC20" s="14"/>
      <c r="AD20" s="14"/>
      <c r="AE20" s="14"/>
      <c r="AF20" s="14"/>
      <c r="AG20" s="14"/>
      <c r="AH20" s="14"/>
      <c r="AI20" s="24"/>
      <c r="AJ20" s="24"/>
      <c r="AK20" s="24"/>
    </row>
    <row r="21" spans="1:37" x14ac:dyDescent="0.3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x14ac:dyDescent="0.3">
      <c r="B22" s="25"/>
      <c r="C22" s="25"/>
      <c r="D22" s="25"/>
      <c r="E22" s="25"/>
      <c r="F22" s="25"/>
      <c r="G22" s="2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26"/>
      <c r="AJ22" s="26"/>
      <c r="AK22" s="26"/>
    </row>
    <row r="23" spans="1:37" x14ac:dyDescent="0.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23"/>
      <c r="R23" s="23"/>
      <c r="S23" s="23"/>
      <c r="T23" s="23"/>
      <c r="U23" s="23"/>
      <c r="V23" s="23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24"/>
      <c r="AJ23" s="24"/>
      <c r="AK23" s="24"/>
    </row>
    <row r="24" spans="1:37" x14ac:dyDescent="0.3">
      <c r="N24" s="20"/>
      <c r="O24" s="20"/>
      <c r="P24" s="20"/>
      <c r="Q24" s="27"/>
      <c r="R24" s="27"/>
      <c r="S24" s="27"/>
      <c r="T24" s="27"/>
      <c r="U24" s="27"/>
      <c r="V24" s="27"/>
    </row>
    <row r="25" spans="1:37" x14ac:dyDescent="0.3">
      <c r="N25" s="20"/>
      <c r="O25" s="20"/>
      <c r="P25" s="20"/>
      <c r="Q25" s="27"/>
      <c r="R25" s="27"/>
      <c r="S25" s="27"/>
      <c r="T25" s="27"/>
      <c r="U25" s="27"/>
      <c r="V25" s="27"/>
    </row>
    <row r="26" spans="1:37" x14ac:dyDescent="0.3">
      <c r="N26" s="20"/>
      <c r="O26" s="20"/>
      <c r="P26" s="20"/>
      <c r="Q26" s="27"/>
      <c r="R26" s="27"/>
      <c r="S26" s="27"/>
      <c r="T26" s="27"/>
      <c r="U26" s="27"/>
      <c r="V26" s="27"/>
      <c r="AF26" s="28"/>
      <c r="AG26" s="28"/>
      <c r="AH26" s="28"/>
    </row>
    <row r="27" spans="1:37" x14ac:dyDescent="0.3">
      <c r="Q27" s="29"/>
      <c r="R27" s="29"/>
      <c r="S27" s="29"/>
      <c r="T27" s="29"/>
      <c r="U27" s="29"/>
      <c r="V27" s="29"/>
    </row>
    <row r="28" spans="1:37" x14ac:dyDescent="0.3">
      <c r="Q28" s="29"/>
      <c r="R28" s="29"/>
      <c r="S28" s="29"/>
      <c r="T28" s="29"/>
      <c r="U28" s="29"/>
      <c r="V28" s="29"/>
    </row>
    <row r="29" spans="1:37" x14ac:dyDescent="0.3">
      <c r="Q29" s="29"/>
      <c r="R29" s="29"/>
      <c r="S29" s="29"/>
      <c r="T29" s="29"/>
      <c r="U29" s="29"/>
      <c r="V29" s="29"/>
    </row>
  </sheetData>
  <mergeCells count="23">
    <mergeCell ref="W3:AI3"/>
    <mergeCell ref="A4:AI4"/>
    <mergeCell ref="A8:A10"/>
    <mergeCell ref="A5:AI5"/>
    <mergeCell ref="AI8:AK10"/>
    <mergeCell ref="K10:M10"/>
    <mergeCell ref="B8:P8"/>
    <mergeCell ref="AF8:AH8"/>
    <mergeCell ref="AF9:AH10"/>
    <mergeCell ref="N9:P10"/>
    <mergeCell ref="B18:E18"/>
    <mergeCell ref="B9:D10"/>
    <mergeCell ref="E9:G10"/>
    <mergeCell ref="H9:M9"/>
    <mergeCell ref="H10:J10"/>
    <mergeCell ref="A3:E3"/>
    <mergeCell ref="Q8:S8"/>
    <mergeCell ref="Q9:S10"/>
    <mergeCell ref="T9:V10"/>
    <mergeCell ref="W9:Y10"/>
    <mergeCell ref="Z9:AB10"/>
    <mergeCell ref="T8:AE8"/>
    <mergeCell ref="AC9:AE10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2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Zeros="0" view="pageBreakPreview" zoomScaleNormal="100" zoomScaleSheetLayoutView="100" workbookViewId="0">
      <selection activeCell="B6" sqref="B6:G23"/>
    </sheetView>
  </sheetViews>
  <sheetFormatPr defaultRowHeight="15" x14ac:dyDescent="0.3"/>
  <cols>
    <col min="1" max="1" width="6.42578125" style="647" customWidth="1"/>
    <col min="2" max="2" width="59.42578125" style="570" customWidth="1"/>
    <col min="3" max="3" width="22.140625" style="570" bestFit="1" customWidth="1"/>
    <col min="4" max="6" width="20.5703125" style="570" bestFit="1" customWidth="1"/>
    <col min="7" max="7" width="23" style="570" customWidth="1"/>
    <col min="8" max="8" width="11.7109375" style="570" customWidth="1"/>
    <col min="9" max="9" width="11.5703125" style="570" customWidth="1"/>
    <col min="10" max="16384" width="9.140625" style="570"/>
  </cols>
  <sheetData>
    <row r="1" spans="1:8" x14ac:dyDescent="0.3">
      <c r="A1" s="968" t="s">
        <v>881</v>
      </c>
      <c r="B1" s="968"/>
      <c r="C1" s="968"/>
      <c r="D1" s="968"/>
      <c r="E1" s="968"/>
      <c r="F1" s="968"/>
      <c r="G1" s="968"/>
    </row>
    <row r="3" spans="1:8" ht="18.75" x14ac:dyDescent="0.3">
      <c r="A3" s="969" t="s">
        <v>1106</v>
      </c>
      <c r="B3" s="969"/>
      <c r="C3" s="969"/>
      <c r="D3" s="969"/>
      <c r="E3" s="969"/>
      <c r="F3" s="969"/>
      <c r="G3" s="969"/>
    </row>
    <row r="4" spans="1:8" ht="16.5" x14ac:dyDescent="0.3">
      <c r="A4" s="602"/>
      <c r="B4" s="603"/>
      <c r="C4" s="603"/>
      <c r="D4" s="603"/>
      <c r="E4" s="603"/>
      <c r="F4" s="603"/>
      <c r="G4" s="603"/>
    </row>
    <row r="5" spans="1:8" ht="17.25" thickBot="1" x14ac:dyDescent="0.35">
      <c r="A5" s="602"/>
      <c r="B5" s="604"/>
      <c r="C5" s="605"/>
      <c r="D5" s="575"/>
      <c r="F5" s="606"/>
      <c r="G5" s="606" t="s">
        <v>859</v>
      </c>
    </row>
    <row r="6" spans="1:8" ht="51" customHeight="1" x14ac:dyDescent="0.3">
      <c r="A6" s="607"/>
      <c r="B6" s="608" t="s">
        <v>1</v>
      </c>
      <c r="C6" s="609" t="s">
        <v>66</v>
      </c>
      <c r="D6" s="610" t="s">
        <v>126</v>
      </c>
      <c r="E6" s="611" t="s">
        <v>874</v>
      </c>
      <c r="F6" s="612" t="s">
        <v>875</v>
      </c>
      <c r="G6" s="613" t="s">
        <v>524</v>
      </c>
    </row>
    <row r="7" spans="1:8" s="619" customFormat="1" ht="28.5" customHeight="1" x14ac:dyDescent="0.2">
      <c r="A7" s="614" t="s">
        <v>0</v>
      </c>
      <c r="B7" s="615" t="s">
        <v>882</v>
      </c>
      <c r="C7" s="616">
        <v>441622750</v>
      </c>
      <c r="D7" s="617">
        <v>234355</v>
      </c>
      <c r="E7" s="591">
        <v>2</v>
      </c>
      <c r="F7" s="592">
        <v>60308425</v>
      </c>
      <c r="G7" s="618">
        <f>SUM(C7:F7)</f>
        <v>502165532</v>
      </c>
    </row>
    <row r="8" spans="1:8" s="619" customFormat="1" ht="39" customHeight="1" x14ac:dyDescent="0.2">
      <c r="A8" s="614" t="s">
        <v>6</v>
      </c>
      <c r="B8" s="620" t="s">
        <v>883</v>
      </c>
      <c r="C8" s="621">
        <v>243733373</v>
      </c>
      <c r="D8" s="616">
        <v>46212721</v>
      </c>
      <c r="E8" s="591">
        <v>42831588</v>
      </c>
      <c r="F8" s="592">
        <v>95494294</v>
      </c>
      <c r="G8" s="618">
        <f t="shared" ref="G8:G23" si="0">SUM(C8:F8)</f>
        <v>428271976</v>
      </c>
    </row>
    <row r="9" spans="1:8" s="619" customFormat="1" ht="34.5" customHeight="1" x14ac:dyDescent="0.2">
      <c r="A9" s="622" t="s">
        <v>884</v>
      </c>
      <c r="B9" s="623" t="s">
        <v>885</v>
      </c>
      <c r="C9" s="624">
        <f>C7-C8</f>
        <v>197889377</v>
      </c>
      <c r="D9" s="624">
        <f>D7-D8</f>
        <v>-45978366</v>
      </c>
      <c r="E9" s="624">
        <f>E7-E8</f>
        <v>-42831586</v>
      </c>
      <c r="F9" s="624">
        <f>F7-F8</f>
        <v>-35185869</v>
      </c>
      <c r="G9" s="625">
        <f t="shared" si="0"/>
        <v>73893556</v>
      </c>
    </row>
    <row r="10" spans="1:8" s="619" customFormat="1" ht="24" customHeight="1" x14ac:dyDescent="0.2">
      <c r="A10" s="614" t="s">
        <v>14</v>
      </c>
      <c r="B10" s="626" t="s">
        <v>886</v>
      </c>
      <c r="C10" s="616">
        <v>126669485</v>
      </c>
      <c r="D10" s="617">
        <v>49765767</v>
      </c>
      <c r="E10" s="591">
        <v>44312928</v>
      </c>
      <c r="F10" s="592">
        <v>35752634</v>
      </c>
      <c r="G10" s="618">
        <f t="shared" si="0"/>
        <v>256500814</v>
      </c>
      <c r="H10" s="627"/>
    </row>
    <row r="11" spans="1:8" s="619" customFormat="1" ht="27" customHeight="1" x14ac:dyDescent="0.2">
      <c r="A11" s="614" t="s">
        <v>17</v>
      </c>
      <c r="B11" s="626" t="s">
        <v>887</v>
      </c>
      <c r="C11" s="621">
        <v>136558923</v>
      </c>
      <c r="D11" s="624">
        <v>0</v>
      </c>
      <c r="E11" s="628">
        <v>0</v>
      </c>
      <c r="F11" s="629">
        <v>0</v>
      </c>
      <c r="G11" s="618">
        <f t="shared" si="0"/>
        <v>136558923</v>
      </c>
      <c r="H11" s="627"/>
    </row>
    <row r="12" spans="1:8" s="619" customFormat="1" ht="27.75" customHeight="1" x14ac:dyDescent="0.2">
      <c r="A12" s="622" t="s">
        <v>888</v>
      </c>
      <c r="B12" s="630" t="s">
        <v>889</v>
      </c>
      <c r="C12" s="631">
        <f>C10-C11</f>
        <v>-9889438</v>
      </c>
      <c r="D12" s="631">
        <f>D10-D11</f>
        <v>49765767</v>
      </c>
      <c r="E12" s="631">
        <f>E10-E11</f>
        <v>44312928</v>
      </c>
      <c r="F12" s="631">
        <f>F10-F11</f>
        <v>35752634</v>
      </c>
      <c r="G12" s="625">
        <f t="shared" si="0"/>
        <v>119941891</v>
      </c>
      <c r="H12" s="627"/>
    </row>
    <row r="13" spans="1:8" s="619" customFormat="1" ht="24" customHeight="1" x14ac:dyDescent="0.2">
      <c r="A13" s="622" t="s">
        <v>890</v>
      </c>
      <c r="B13" s="630" t="s">
        <v>891</v>
      </c>
      <c r="C13" s="624">
        <f>C9+C12</f>
        <v>187999939</v>
      </c>
      <c r="D13" s="624">
        <f>D9+D12</f>
        <v>3787401</v>
      </c>
      <c r="E13" s="624">
        <f>E9+E12</f>
        <v>1481342</v>
      </c>
      <c r="F13" s="624">
        <f>F9+F12</f>
        <v>566765</v>
      </c>
      <c r="G13" s="625">
        <f t="shared" si="0"/>
        <v>193835447</v>
      </c>
      <c r="H13" s="632"/>
    </row>
    <row r="14" spans="1:8" s="619" customFormat="1" ht="26.25" customHeight="1" x14ac:dyDescent="0.2">
      <c r="A14" s="614" t="s">
        <v>33</v>
      </c>
      <c r="B14" s="626" t="s">
        <v>892</v>
      </c>
      <c r="C14" s="616">
        <v>0</v>
      </c>
      <c r="D14" s="617">
        <v>0</v>
      </c>
      <c r="E14" s="591">
        <v>0</v>
      </c>
      <c r="F14" s="592">
        <v>0</v>
      </c>
      <c r="G14" s="618">
        <f t="shared" si="0"/>
        <v>0</v>
      </c>
      <c r="H14" s="627"/>
    </row>
    <row r="15" spans="1:8" s="619" customFormat="1" ht="24" customHeight="1" x14ac:dyDescent="0.2">
      <c r="A15" s="614" t="s">
        <v>35</v>
      </c>
      <c r="B15" s="626" t="s">
        <v>893</v>
      </c>
      <c r="C15" s="616">
        <v>0</v>
      </c>
      <c r="D15" s="617">
        <v>0</v>
      </c>
      <c r="E15" s="591">
        <v>0</v>
      </c>
      <c r="F15" s="592">
        <v>0</v>
      </c>
      <c r="G15" s="618">
        <f t="shared" si="0"/>
        <v>0</v>
      </c>
      <c r="H15" s="627"/>
    </row>
    <row r="16" spans="1:8" s="619" customFormat="1" ht="30.75" customHeight="1" x14ac:dyDescent="0.2">
      <c r="A16" s="622" t="s">
        <v>64</v>
      </c>
      <c r="B16" s="630" t="s">
        <v>894</v>
      </c>
      <c r="C16" s="624">
        <f>C14-C15</f>
        <v>0</v>
      </c>
      <c r="D16" s="624">
        <f>D14-D15</f>
        <v>0</v>
      </c>
      <c r="E16" s="628">
        <f>E14-E15</f>
        <v>0</v>
      </c>
      <c r="F16" s="629">
        <v>0</v>
      </c>
      <c r="G16" s="618">
        <f t="shared" si="0"/>
        <v>0</v>
      </c>
    </row>
    <row r="17" spans="1:7" s="619" customFormat="1" ht="27" customHeight="1" x14ac:dyDescent="0.2">
      <c r="A17" s="614" t="s">
        <v>30</v>
      </c>
      <c r="B17" s="626" t="s">
        <v>895</v>
      </c>
      <c r="C17" s="616">
        <v>0</v>
      </c>
      <c r="D17" s="617">
        <v>0</v>
      </c>
      <c r="E17" s="591">
        <v>0</v>
      </c>
      <c r="F17" s="592">
        <v>0</v>
      </c>
      <c r="G17" s="618">
        <f t="shared" si="0"/>
        <v>0</v>
      </c>
    </row>
    <row r="18" spans="1:7" s="619" customFormat="1" ht="23.25" customHeight="1" x14ac:dyDescent="0.2">
      <c r="A18" s="614" t="s">
        <v>18</v>
      </c>
      <c r="B18" s="626" t="s">
        <v>896</v>
      </c>
      <c r="C18" s="616">
        <v>0</v>
      </c>
      <c r="D18" s="617">
        <v>0</v>
      </c>
      <c r="E18" s="591">
        <v>0</v>
      </c>
      <c r="F18" s="592">
        <v>0</v>
      </c>
      <c r="G18" s="618">
        <f t="shared" si="0"/>
        <v>0</v>
      </c>
    </row>
    <row r="19" spans="1:7" s="619" customFormat="1" ht="25.5" customHeight="1" x14ac:dyDescent="0.2">
      <c r="A19" s="622" t="s">
        <v>897</v>
      </c>
      <c r="B19" s="630" t="s">
        <v>898</v>
      </c>
      <c r="C19" s="628">
        <v>0</v>
      </c>
      <c r="D19" s="617">
        <v>0</v>
      </c>
      <c r="E19" s="591">
        <v>0</v>
      </c>
      <c r="F19" s="592">
        <v>0</v>
      </c>
      <c r="G19" s="618">
        <f t="shared" si="0"/>
        <v>0</v>
      </c>
    </row>
    <row r="20" spans="1:7" s="619" customFormat="1" ht="45" customHeight="1" thickBot="1" x14ac:dyDescent="0.25">
      <c r="A20" s="633" t="s">
        <v>899</v>
      </c>
      <c r="B20" s="634" t="s">
        <v>900</v>
      </c>
      <c r="C20" s="635">
        <f>C16+C19</f>
        <v>0</v>
      </c>
      <c r="D20" s="635">
        <f>D16+D19</f>
        <v>0</v>
      </c>
      <c r="E20" s="636">
        <f>E16+E19</f>
        <v>0</v>
      </c>
      <c r="F20" s="637">
        <v>0</v>
      </c>
      <c r="G20" s="638">
        <f t="shared" si="0"/>
        <v>0</v>
      </c>
    </row>
    <row r="21" spans="1:7" s="619" customFormat="1" ht="25.5" customHeight="1" thickBot="1" x14ac:dyDescent="0.25">
      <c r="A21" s="639" t="s">
        <v>901</v>
      </c>
      <c r="B21" s="640" t="s">
        <v>902</v>
      </c>
      <c r="C21" s="641">
        <f>C13+C20</f>
        <v>187999939</v>
      </c>
      <c r="D21" s="641">
        <f>D13+D20</f>
        <v>3787401</v>
      </c>
      <c r="E21" s="642">
        <f>E13+E20</f>
        <v>1481342</v>
      </c>
      <c r="F21" s="642">
        <f>F13+F20</f>
        <v>566765</v>
      </c>
      <c r="G21" s="643">
        <f t="shared" si="0"/>
        <v>193835447</v>
      </c>
    </row>
    <row r="22" spans="1:7" s="619" customFormat="1" ht="39" customHeight="1" thickBot="1" x14ac:dyDescent="0.25">
      <c r="A22" s="639" t="s">
        <v>903</v>
      </c>
      <c r="B22" s="640" t="s">
        <v>904</v>
      </c>
      <c r="C22" s="642">
        <v>111798723</v>
      </c>
      <c r="D22" s="644">
        <v>0</v>
      </c>
      <c r="E22" s="596">
        <v>319993</v>
      </c>
      <c r="F22" s="645">
        <v>15640</v>
      </c>
      <c r="G22" s="643">
        <f t="shared" si="0"/>
        <v>112134356</v>
      </c>
    </row>
    <row r="23" spans="1:7" s="619" customFormat="1" ht="27.75" customHeight="1" thickBot="1" x14ac:dyDescent="0.25">
      <c r="A23" s="639" t="s">
        <v>905</v>
      </c>
      <c r="B23" s="646" t="s">
        <v>906</v>
      </c>
      <c r="C23" s="642">
        <f>C21-C22</f>
        <v>76201216</v>
      </c>
      <c r="D23" s="642">
        <f>D21-D22</f>
        <v>3787401</v>
      </c>
      <c r="E23" s="642">
        <f>E21-E22</f>
        <v>1161349</v>
      </c>
      <c r="F23" s="642">
        <f>F21-F22</f>
        <v>551125</v>
      </c>
      <c r="G23" s="643">
        <f t="shared" si="0"/>
        <v>81701091</v>
      </c>
    </row>
    <row r="24" spans="1:7" x14ac:dyDescent="0.3">
      <c r="C24" s="648"/>
      <c r="D24" s="648"/>
      <c r="E24" s="648"/>
      <c r="F24" s="648"/>
      <c r="G24" s="648"/>
    </row>
    <row r="25" spans="1:7" x14ac:dyDescent="0.3">
      <c r="C25" s="648"/>
      <c r="D25" s="648"/>
      <c r="E25" s="648"/>
      <c r="F25" s="648"/>
      <c r="G25" s="648"/>
    </row>
  </sheetData>
  <mergeCells count="2">
    <mergeCell ref="A1:G1"/>
    <mergeCell ref="A3:G3"/>
  </mergeCells>
  <printOptions horizontalCentered="1"/>
  <pageMargins left="0" right="0" top="0" bottom="0" header="0.51181102362204722" footer="0.51181102362204722"/>
  <pageSetup paperSize="9" scale="7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view="pageBreakPreview" zoomScaleNormal="100" zoomScaleSheetLayoutView="100" workbookViewId="0">
      <selection activeCell="B8" sqref="B8:F46"/>
    </sheetView>
  </sheetViews>
  <sheetFormatPr defaultRowHeight="21" customHeight="1" x14ac:dyDescent="0.25"/>
  <cols>
    <col min="1" max="1" width="5.42578125" style="556" customWidth="1"/>
    <col min="2" max="2" width="4.7109375" style="649" customWidth="1"/>
    <col min="3" max="3" width="11" style="576" customWidth="1"/>
    <col min="4" max="4" width="72.7109375" style="575" customWidth="1"/>
    <col min="5" max="5" width="27.42578125" style="575" customWidth="1"/>
    <col min="6" max="6" width="26" style="575" customWidth="1"/>
    <col min="7" max="16384" width="9.140625" style="650"/>
  </cols>
  <sheetData>
    <row r="1" spans="1:6" ht="15.75" x14ac:dyDescent="0.25">
      <c r="D1" s="981" t="s">
        <v>907</v>
      </c>
      <c r="E1" s="981"/>
      <c r="F1" s="981"/>
    </row>
    <row r="2" spans="1:6" s="656" customFormat="1" ht="15.75" x14ac:dyDescent="0.25">
      <c r="A2" s="651"/>
      <c r="B2" s="652"/>
      <c r="C2" s="653"/>
      <c r="D2" s="654"/>
      <c r="E2" s="655"/>
      <c r="F2" s="655"/>
    </row>
    <row r="3" spans="1:6" ht="18" x14ac:dyDescent="0.25">
      <c r="B3" s="964" t="s">
        <v>131</v>
      </c>
      <c r="C3" s="964"/>
      <c r="D3" s="964"/>
      <c r="E3" s="964"/>
      <c r="F3" s="964"/>
    </row>
    <row r="4" spans="1:6" ht="18" x14ac:dyDescent="0.25">
      <c r="B4" s="657"/>
      <c r="C4" s="574"/>
      <c r="D4" s="573"/>
      <c r="E4" s="573"/>
      <c r="F4" s="573"/>
    </row>
    <row r="5" spans="1:6" ht="18" x14ac:dyDescent="0.25">
      <c r="B5" s="982" t="s">
        <v>1105</v>
      </c>
      <c r="C5" s="982"/>
      <c r="D5" s="982"/>
      <c r="E5" s="982"/>
      <c r="F5" s="982"/>
    </row>
    <row r="6" spans="1:6" ht="15.75" x14ac:dyDescent="0.25">
      <c r="B6" s="658"/>
      <c r="C6" s="658"/>
      <c r="D6" s="658"/>
      <c r="E6" s="658"/>
      <c r="F6" s="658"/>
    </row>
    <row r="7" spans="1:6" s="660" customFormat="1" ht="16.5" thickBot="1" x14ac:dyDescent="0.3">
      <c r="A7" s="652"/>
      <c r="B7" s="649"/>
      <c r="C7" s="576"/>
      <c r="D7" s="659"/>
      <c r="E7" s="659"/>
      <c r="F7" s="606" t="s">
        <v>859</v>
      </c>
    </row>
    <row r="8" spans="1:6" s="660" customFormat="1" ht="29.25" customHeight="1" x14ac:dyDescent="0.25">
      <c r="A8" s="661" t="s">
        <v>0</v>
      </c>
      <c r="B8" s="974" t="s">
        <v>908</v>
      </c>
      <c r="C8" s="983"/>
      <c r="D8" s="983"/>
      <c r="E8" s="662" t="s">
        <v>909</v>
      </c>
      <c r="F8" s="663" t="s">
        <v>910</v>
      </c>
    </row>
    <row r="9" spans="1:6" s="660" customFormat="1" ht="24.95" customHeight="1" x14ac:dyDescent="0.25">
      <c r="A9" s="664" t="s">
        <v>6</v>
      </c>
      <c r="B9" s="975"/>
      <c r="C9" s="665" t="s">
        <v>911</v>
      </c>
      <c r="D9" s="666" t="s">
        <v>912</v>
      </c>
      <c r="E9" s="667">
        <v>703681</v>
      </c>
      <c r="F9" s="668">
        <v>292935</v>
      </c>
    </row>
    <row r="10" spans="1:6" s="660" customFormat="1" ht="24.95" customHeight="1" x14ac:dyDescent="0.25">
      <c r="A10" s="664" t="s">
        <v>14</v>
      </c>
      <c r="B10" s="976"/>
      <c r="C10" s="665" t="s">
        <v>913</v>
      </c>
      <c r="D10" s="666" t="s">
        <v>914</v>
      </c>
      <c r="E10" s="667">
        <v>1279025209</v>
      </c>
      <c r="F10" s="668">
        <v>1857129908</v>
      </c>
    </row>
    <row r="11" spans="1:6" s="660" customFormat="1" ht="24.95" customHeight="1" x14ac:dyDescent="0.25">
      <c r="A11" s="664" t="s">
        <v>17</v>
      </c>
      <c r="B11" s="976"/>
      <c r="C11" s="665" t="s">
        <v>915</v>
      </c>
      <c r="D11" s="666" t="s">
        <v>916</v>
      </c>
      <c r="E11" s="667">
        <v>39801150</v>
      </c>
      <c r="F11" s="668">
        <v>39801150</v>
      </c>
    </row>
    <row r="12" spans="1:6" s="660" customFormat="1" ht="25.5" customHeight="1" x14ac:dyDescent="0.25">
      <c r="A12" s="664" t="s">
        <v>33</v>
      </c>
      <c r="B12" s="977"/>
      <c r="C12" s="665" t="s">
        <v>917</v>
      </c>
      <c r="D12" s="670" t="s">
        <v>918</v>
      </c>
      <c r="E12" s="667">
        <v>0</v>
      </c>
      <c r="F12" s="668">
        <v>0</v>
      </c>
    </row>
    <row r="13" spans="1:6" s="660" customFormat="1" ht="33" customHeight="1" x14ac:dyDescent="0.25">
      <c r="A13" s="664" t="s">
        <v>35</v>
      </c>
      <c r="B13" s="671" t="s">
        <v>890</v>
      </c>
      <c r="C13" s="970" t="s">
        <v>919</v>
      </c>
      <c r="D13" s="970"/>
      <c r="E13" s="672">
        <f>SUM(E9:E12)</f>
        <v>1319530040</v>
      </c>
      <c r="F13" s="673">
        <f>SUM(F9:F12)</f>
        <v>1897223993</v>
      </c>
    </row>
    <row r="14" spans="1:6" s="660" customFormat="1" ht="28.5" customHeight="1" x14ac:dyDescent="0.25">
      <c r="A14" s="664" t="s">
        <v>30</v>
      </c>
      <c r="B14" s="979"/>
      <c r="C14" s="665" t="s">
        <v>920</v>
      </c>
      <c r="D14" s="670" t="s">
        <v>921</v>
      </c>
      <c r="E14" s="667">
        <v>2031218</v>
      </c>
      <c r="F14" s="668">
        <v>1759200</v>
      </c>
    </row>
    <row r="15" spans="1:6" s="660" customFormat="1" ht="23.25" customHeight="1" x14ac:dyDescent="0.25">
      <c r="A15" s="664" t="s">
        <v>18</v>
      </c>
      <c r="B15" s="980"/>
      <c r="C15" s="665" t="s">
        <v>922</v>
      </c>
      <c r="D15" s="670" t="s">
        <v>923</v>
      </c>
      <c r="E15" s="667">
        <v>0</v>
      </c>
      <c r="F15" s="668">
        <v>0</v>
      </c>
    </row>
    <row r="16" spans="1:6" s="660" customFormat="1" ht="30.75" customHeight="1" x14ac:dyDescent="0.25">
      <c r="A16" s="664" t="s">
        <v>19</v>
      </c>
      <c r="B16" s="671" t="s">
        <v>899</v>
      </c>
      <c r="C16" s="970" t="s">
        <v>924</v>
      </c>
      <c r="D16" s="970"/>
      <c r="E16" s="672">
        <f>SUM(E14:E15)</f>
        <v>2031218</v>
      </c>
      <c r="F16" s="673">
        <f>SUM(F14:F15)</f>
        <v>1759200</v>
      </c>
    </row>
    <row r="17" spans="1:6" s="660" customFormat="1" ht="24.95" customHeight="1" x14ac:dyDescent="0.25">
      <c r="A17" s="664" t="s">
        <v>20</v>
      </c>
      <c r="B17" s="975"/>
      <c r="C17" s="665" t="s">
        <v>925</v>
      </c>
      <c r="D17" s="666" t="s">
        <v>926</v>
      </c>
      <c r="E17" s="667">
        <v>426665</v>
      </c>
      <c r="F17" s="668">
        <v>290895</v>
      </c>
    </row>
    <row r="18" spans="1:6" s="660" customFormat="1" ht="24.95" customHeight="1" x14ac:dyDescent="0.25">
      <c r="A18" s="664" t="s">
        <v>21</v>
      </c>
      <c r="B18" s="977"/>
      <c r="C18" s="665" t="s">
        <v>927</v>
      </c>
      <c r="D18" s="666" t="s">
        <v>928</v>
      </c>
      <c r="E18" s="667">
        <v>118971826</v>
      </c>
      <c r="F18" s="668">
        <v>183906110</v>
      </c>
    </row>
    <row r="19" spans="1:6" s="660" customFormat="1" ht="24.95" customHeight="1" x14ac:dyDescent="0.25">
      <c r="A19" s="664" t="s">
        <v>31</v>
      </c>
      <c r="B19" s="669"/>
      <c r="C19" s="665" t="s">
        <v>929</v>
      </c>
      <c r="D19" s="666" t="s">
        <v>930</v>
      </c>
      <c r="E19" s="667">
        <v>0</v>
      </c>
      <c r="F19" s="668">
        <v>0</v>
      </c>
    </row>
    <row r="20" spans="1:6" s="660" customFormat="1" ht="24.95" customHeight="1" x14ac:dyDescent="0.25">
      <c r="A20" s="664" t="s">
        <v>22</v>
      </c>
      <c r="B20" s="671" t="s">
        <v>901</v>
      </c>
      <c r="C20" s="978" t="s">
        <v>931</v>
      </c>
      <c r="D20" s="978"/>
      <c r="E20" s="672">
        <f>SUM(E17:E19)</f>
        <v>119398491</v>
      </c>
      <c r="F20" s="673">
        <f>SUM(F17:F19)</f>
        <v>184197005</v>
      </c>
    </row>
    <row r="21" spans="1:6" s="660" customFormat="1" ht="24.95" customHeight="1" x14ac:dyDescent="0.25">
      <c r="A21" s="664" t="s">
        <v>24</v>
      </c>
      <c r="B21" s="671"/>
      <c r="C21" s="675" t="s">
        <v>932</v>
      </c>
      <c r="D21" s="674" t="s">
        <v>933</v>
      </c>
      <c r="E21" s="667">
        <v>28583542</v>
      </c>
      <c r="F21" s="668">
        <v>36485876</v>
      </c>
    </row>
    <row r="22" spans="1:6" s="660" customFormat="1" ht="24.95" customHeight="1" x14ac:dyDescent="0.25">
      <c r="A22" s="664" t="s">
        <v>39</v>
      </c>
      <c r="B22" s="671"/>
      <c r="C22" s="675" t="s">
        <v>934</v>
      </c>
      <c r="D22" s="674" t="s">
        <v>935</v>
      </c>
      <c r="E22" s="667">
        <v>0</v>
      </c>
      <c r="F22" s="668">
        <v>0</v>
      </c>
    </row>
    <row r="23" spans="1:6" s="660" customFormat="1" ht="24.95" customHeight="1" x14ac:dyDescent="0.25">
      <c r="A23" s="664" t="s">
        <v>40</v>
      </c>
      <c r="B23" s="671"/>
      <c r="C23" s="675" t="s">
        <v>936</v>
      </c>
      <c r="D23" s="674" t="s">
        <v>937</v>
      </c>
      <c r="E23" s="667">
        <v>86000</v>
      </c>
      <c r="F23" s="668">
        <v>10582809</v>
      </c>
    </row>
    <row r="24" spans="1:6" s="660" customFormat="1" ht="25.5" customHeight="1" x14ac:dyDescent="0.25">
      <c r="A24" s="664" t="s">
        <v>41</v>
      </c>
      <c r="B24" s="671" t="s">
        <v>903</v>
      </c>
      <c r="C24" s="970" t="s">
        <v>938</v>
      </c>
      <c r="D24" s="970"/>
      <c r="E24" s="672">
        <f>SUM(E21:E23)</f>
        <v>28669542</v>
      </c>
      <c r="F24" s="673">
        <f>SUM(F21:F23)</f>
        <v>47068685</v>
      </c>
    </row>
    <row r="25" spans="1:6" s="660" customFormat="1" ht="32.25" customHeight="1" x14ac:dyDescent="0.25">
      <c r="A25" s="664" t="s">
        <v>42</v>
      </c>
      <c r="B25" s="671" t="s">
        <v>905</v>
      </c>
      <c r="C25" s="970" t="s">
        <v>939</v>
      </c>
      <c r="D25" s="970"/>
      <c r="E25" s="672">
        <v>-5635482</v>
      </c>
      <c r="F25" s="673">
        <v>-17273904</v>
      </c>
    </row>
    <row r="26" spans="1:6" s="660" customFormat="1" ht="23.25" customHeight="1" x14ac:dyDescent="0.25">
      <c r="A26" s="664" t="s">
        <v>43</v>
      </c>
      <c r="B26" s="671" t="s">
        <v>940</v>
      </c>
      <c r="C26" s="970" t="s">
        <v>941</v>
      </c>
      <c r="D26" s="970"/>
      <c r="E26" s="672">
        <v>0</v>
      </c>
      <c r="F26" s="673">
        <v>0</v>
      </c>
    </row>
    <row r="27" spans="1:6" s="660" customFormat="1" ht="31.5" customHeight="1" thickBot="1" x14ac:dyDescent="0.3">
      <c r="A27" s="664" t="s">
        <v>44</v>
      </c>
      <c r="B27" s="971" t="s">
        <v>942</v>
      </c>
      <c r="C27" s="972"/>
      <c r="D27" s="972"/>
      <c r="E27" s="676">
        <f>E13+E16+E20+E24+E25+E26</f>
        <v>1463993809</v>
      </c>
      <c r="F27" s="809">
        <f>F13+F16+F20+F24+F25+F26</f>
        <v>2112974979</v>
      </c>
    </row>
    <row r="28" spans="1:6" s="660" customFormat="1" ht="16.5" thickBot="1" x14ac:dyDescent="0.3">
      <c r="A28" s="664"/>
      <c r="B28" s="677"/>
      <c r="C28" s="678"/>
      <c r="D28" s="679"/>
      <c r="E28" s="680"/>
      <c r="F28" s="681"/>
    </row>
    <row r="29" spans="1:6" s="660" customFormat="1" ht="26.25" customHeight="1" x14ac:dyDescent="0.25">
      <c r="A29" s="664"/>
      <c r="B29" s="973" t="s">
        <v>943</v>
      </c>
      <c r="C29" s="973"/>
      <c r="D29" s="974"/>
      <c r="E29" s="662" t="s">
        <v>909</v>
      </c>
      <c r="F29" s="663" t="s">
        <v>910</v>
      </c>
    </row>
    <row r="30" spans="1:6" s="660" customFormat="1" ht="24.95" customHeight="1" x14ac:dyDescent="0.25">
      <c r="A30" s="664" t="s">
        <v>45</v>
      </c>
      <c r="B30" s="975"/>
      <c r="C30" s="665" t="s">
        <v>944</v>
      </c>
      <c r="D30" s="666" t="s">
        <v>945</v>
      </c>
      <c r="E30" s="811">
        <v>1502518000</v>
      </c>
      <c r="F30" s="682">
        <v>1502518000</v>
      </c>
    </row>
    <row r="31" spans="1:6" s="660" customFormat="1" ht="24.95" customHeight="1" x14ac:dyDescent="0.25">
      <c r="A31" s="664" t="s">
        <v>46</v>
      </c>
      <c r="B31" s="976"/>
      <c r="C31" s="665" t="s">
        <v>946</v>
      </c>
      <c r="D31" s="666" t="s">
        <v>947</v>
      </c>
      <c r="E31" s="811">
        <v>-17473937</v>
      </c>
      <c r="F31" s="682">
        <v>311945070</v>
      </c>
    </row>
    <row r="32" spans="1:6" s="660" customFormat="1" ht="24.95" customHeight="1" x14ac:dyDescent="0.25">
      <c r="A32" s="664" t="s">
        <v>47</v>
      </c>
      <c r="B32" s="976"/>
      <c r="C32" s="665" t="s">
        <v>948</v>
      </c>
      <c r="D32" s="666" t="s">
        <v>949</v>
      </c>
      <c r="E32" s="811">
        <v>18450000</v>
      </c>
      <c r="F32" s="682">
        <v>18450000</v>
      </c>
    </row>
    <row r="33" spans="1:6" s="660" customFormat="1" ht="24.95" customHeight="1" x14ac:dyDescent="0.25">
      <c r="A33" s="664" t="s">
        <v>50</v>
      </c>
      <c r="B33" s="976"/>
      <c r="C33" s="665" t="s">
        <v>950</v>
      </c>
      <c r="D33" s="666" t="s">
        <v>951</v>
      </c>
      <c r="E33" s="667">
        <v>-136581740</v>
      </c>
      <c r="F33" s="668">
        <v>233434121</v>
      </c>
    </row>
    <row r="34" spans="1:6" s="660" customFormat="1" ht="24.95" customHeight="1" x14ac:dyDescent="0.25">
      <c r="A34" s="664" t="s">
        <v>52</v>
      </c>
      <c r="B34" s="976"/>
      <c r="C34" s="665" t="s">
        <v>952</v>
      </c>
      <c r="D34" s="666" t="s">
        <v>953</v>
      </c>
      <c r="E34" s="667">
        <v>0</v>
      </c>
      <c r="F34" s="668">
        <v>0</v>
      </c>
    </row>
    <row r="35" spans="1:6" s="660" customFormat="1" ht="24.95" customHeight="1" x14ac:dyDescent="0.25">
      <c r="A35" s="664" t="s">
        <v>54</v>
      </c>
      <c r="B35" s="977"/>
      <c r="C35" s="665" t="s">
        <v>954</v>
      </c>
      <c r="D35" s="666" t="s">
        <v>955</v>
      </c>
      <c r="E35" s="667">
        <v>29900630</v>
      </c>
      <c r="F35" s="668">
        <v>-70011817</v>
      </c>
    </row>
    <row r="36" spans="1:6" s="660" customFormat="1" ht="24.95" customHeight="1" x14ac:dyDescent="0.25">
      <c r="A36" s="664" t="s">
        <v>56</v>
      </c>
      <c r="B36" s="671" t="s">
        <v>956</v>
      </c>
      <c r="C36" s="978" t="s">
        <v>957</v>
      </c>
      <c r="D36" s="978"/>
      <c r="E36" s="672">
        <f>SUM(E30:E35)</f>
        <v>1396812953</v>
      </c>
      <c r="F36" s="673">
        <f>SUM(F30:F35)</f>
        <v>1996335374</v>
      </c>
    </row>
    <row r="37" spans="1:6" s="660" customFormat="1" ht="24.95" customHeight="1" x14ac:dyDescent="0.25">
      <c r="A37" s="664" t="s">
        <v>57</v>
      </c>
      <c r="B37" s="671"/>
      <c r="C37" s="675" t="s">
        <v>958</v>
      </c>
      <c r="D37" s="674" t="s">
        <v>959</v>
      </c>
      <c r="E37" s="672">
        <v>0</v>
      </c>
      <c r="F37" s="673">
        <v>636101</v>
      </c>
    </row>
    <row r="38" spans="1:6" s="660" customFormat="1" ht="24.95" customHeight="1" x14ac:dyDescent="0.25">
      <c r="A38" s="664" t="s">
        <v>58</v>
      </c>
      <c r="B38" s="671"/>
      <c r="C38" s="675" t="s">
        <v>960</v>
      </c>
      <c r="D38" s="674" t="s">
        <v>961</v>
      </c>
      <c r="E38" s="672">
        <v>6256872</v>
      </c>
      <c r="F38" s="673">
        <v>8262772</v>
      </c>
    </row>
    <row r="39" spans="1:6" s="660" customFormat="1" ht="24.95" customHeight="1" x14ac:dyDescent="0.25">
      <c r="A39" s="664" t="s">
        <v>59</v>
      </c>
      <c r="B39" s="671"/>
      <c r="C39" s="675" t="s">
        <v>962</v>
      </c>
      <c r="D39" s="674" t="s">
        <v>963</v>
      </c>
      <c r="E39" s="812">
        <v>1503500</v>
      </c>
      <c r="F39" s="683">
        <v>999798</v>
      </c>
    </row>
    <row r="40" spans="1:6" s="660" customFormat="1" ht="24.95" customHeight="1" x14ac:dyDescent="0.25">
      <c r="A40" s="664" t="s">
        <v>65</v>
      </c>
      <c r="B40" s="671"/>
      <c r="C40" s="675" t="s">
        <v>964</v>
      </c>
      <c r="D40" s="674" t="s">
        <v>965</v>
      </c>
      <c r="E40" s="812">
        <v>45000</v>
      </c>
      <c r="F40" s="683">
        <v>0</v>
      </c>
    </row>
    <row r="41" spans="1:6" s="660" customFormat="1" ht="24.95" customHeight="1" x14ac:dyDescent="0.25">
      <c r="A41" s="664" t="s">
        <v>78</v>
      </c>
      <c r="B41" s="671"/>
      <c r="C41" s="675" t="s">
        <v>966</v>
      </c>
      <c r="D41" s="674" t="s">
        <v>967</v>
      </c>
      <c r="E41" s="672">
        <f>SUM(E39:E40)</f>
        <v>1548500</v>
      </c>
      <c r="F41" s="810">
        <f>SUM(F39:F40)</f>
        <v>999798</v>
      </c>
    </row>
    <row r="42" spans="1:6" s="660" customFormat="1" ht="24.95" customHeight="1" x14ac:dyDescent="0.25">
      <c r="A42" s="664" t="s">
        <v>79</v>
      </c>
      <c r="B42" s="671" t="s">
        <v>968</v>
      </c>
      <c r="C42" s="978" t="s">
        <v>969</v>
      </c>
      <c r="D42" s="978"/>
      <c r="E42" s="672">
        <f>E41+E38</f>
        <v>7805372</v>
      </c>
      <c r="F42" s="673">
        <f>F37+F41+F38</f>
        <v>9898671</v>
      </c>
    </row>
    <row r="43" spans="1:6" s="660" customFormat="1" ht="31.5" customHeight="1" x14ac:dyDescent="0.25">
      <c r="A43" s="664" t="s">
        <v>80</v>
      </c>
      <c r="B43" s="671" t="s">
        <v>970</v>
      </c>
      <c r="C43" s="970" t="s">
        <v>971</v>
      </c>
      <c r="D43" s="970"/>
      <c r="E43" s="672">
        <v>0</v>
      </c>
      <c r="F43" s="673">
        <v>0</v>
      </c>
    </row>
    <row r="44" spans="1:6" s="660" customFormat="1" ht="31.5" customHeight="1" x14ac:dyDescent="0.25">
      <c r="A44" s="664" t="s">
        <v>81</v>
      </c>
      <c r="B44" s="671" t="s">
        <v>972</v>
      </c>
      <c r="C44" s="970" t="s">
        <v>973</v>
      </c>
      <c r="D44" s="970"/>
      <c r="E44" s="672">
        <v>0</v>
      </c>
      <c r="F44" s="673">
        <v>0</v>
      </c>
    </row>
    <row r="45" spans="1:6" s="660" customFormat="1" ht="24.95" customHeight="1" x14ac:dyDescent="0.25">
      <c r="A45" s="664" t="s">
        <v>82</v>
      </c>
      <c r="B45" s="671" t="s">
        <v>974</v>
      </c>
      <c r="C45" s="970" t="s">
        <v>975</v>
      </c>
      <c r="D45" s="970"/>
      <c r="E45" s="672">
        <v>59375484</v>
      </c>
      <c r="F45" s="673">
        <v>106740934</v>
      </c>
    </row>
    <row r="46" spans="1:6" s="660" customFormat="1" ht="29.25" customHeight="1" thickBot="1" x14ac:dyDescent="0.3">
      <c r="A46" s="684" t="s">
        <v>83</v>
      </c>
      <c r="B46" s="971" t="s">
        <v>976</v>
      </c>
      <c r="C46" s="972"/>
      <c r="D46" s="972"/>
      <c r="E46" s="676">
        <f>E36+E42+E43+E44+E45</f>
        <v>1463993809</v>
      </c>
      <c r="F46" s="809">
        <f>F36+F42+F43+F44+F45</f>
        <v>2112974979</v>
      </c>
    </row>
    <row r="47" spans="1:6" ht="15.75" x14ac:dyDescent="0.25"/>
    <row r="48" spans="1:6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</sheetData>
  <mergeCells count="22">
    <mergeCell ref="D1:F1"/>
    <mergeCell ref="B3:F3"/>
    <mergeCell ref="B5:F5"/>
    <mergeCell ref="B8:D8"/>
    <mergeCell ref="B9:B12"/>
    <mergeCell ref="C13:D13"/>
    <mergeCell ref="B14:B15"/>
    <mergeCell ref="C16:D16"/>
    <mergeCell ref="B17:B18"/>
    <mergeCell ref="C20:D20"/>
    <mergeCell ref="C24:D24"/>
    <mergeCell ref="C25:D25"/>
    <mergeCell ref="C43:D43"/>
    <mergeCell ref="C44:D44"/>
    <mergeCell ref="C45:D45"/>
    <mergeCell ref="B46:D46"/>
    <mergeCell ref="C26:D26"/>
    <mergeCell ref="B27:D27"/>
    <mergeCell ref="B29:D29"/>
    <mergeCell ref="B30:B35"/>
    <mergeCell ref="C36:D36"/>
    <mergeCell ref="C42:D42"/>
  </mergeCells>
  <printOptions horizontalCentered="1"/>
  <pageMargins left="0.15748031496062992" right="0.15748031496062992" top="0.39370078740157483" bottom="0.39370078740157483" header="0.51181102362204722" footer="0.51181102362204722"/>
  <pageSetup scale="61" orientation="portrait" horizontalDpi="4294967293" vertic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Zeros="0" view="pageBreakPreview" topLeftCell="A15" zoomScaleNormal="100" zoomScaleSheetLayoutView="100" workbookViewId="0">
      <selection activeCell="E42" sqref="E42"/>
    </sheetView>
  </sheetViews>
  <sheetFormatPr defaultRowHeight="15" x14ac:dyDescent="0.3"/>
  <cols>
    <col min="1" max="1" width="6.28515625" style="550" customWidth="1"/>
    <col min="2" max="2" width="5.5703125" style="647" customWidth="1"/>
    <col min="3" max="3" width="64.140625" style="570" customWidth="1"/>
    <col min="4" max="4" width="18.140625" style="570" customWidth="1"/>
    <col min="5" max="5" width="18.28515625" style="570" customWidth="1"/>
    <col min="6" max="16384" width="9.140625" style="570"/>
  </cols>
  <sheetData>
    <row r="1" spans="1:5" x14ac:dyDescent="0.3">
      <c r="C1" s="968" t="s">
        <v>977</v>
      </c>
      <c r="D1" s="968"/>
      <c r="E1" s="968"/>
    </row>
    <row r="3" spans="1:5" ht="16.5" x14ac:dyDescent="0.3">
      <c r="B3" s="984" t="s">
        <v>1104</v>
      </c>
      <c r="C3" s="984"/>
      <c r="D3" s="984"/>
      <c r="E3" s="984"/>
    </row>
    <row r="5" spans="1:5" ht="15.75" thickBot="1" x14ac:dyDescent="0.35">
      <c r="A5" s="685"/>
      <c r="E5" s="601" t="s">
        <v>859</v>
      </c>
    </row>
    <row r="6" spans="1:5" s="647" customFormat="1" ht="38.25" customHeight="1" x14ac:dyDescent="0.2">
      <c r="A6" s="686" t="s">
        <v>0</v>
      </c>
      <c r="B6" s="687"/>
      <c r="C6" s="688" t="s">
        <v>1</v>
      </c>
      <c r="D6" s="689" t="s">
        <v>909</v>
      </c>
      <c r="E6" s="690" t="s">
        <v>910</v>
      </c>
    </row>
    <row r="7" spans="1:5" s="619" customFormat="1" ht="21" customHeight="1" x14ac:dyDescent="0.2">
      <c r="A7" s="691" t="s">
        <v>6</v>
      </c>
      <c r="B7" s="692" t="s">
        <v>61</v>
      </c>
      <c r="C7" s="693" t="s">
        <v>978</v>
      </c>
      <c r="D7" s="694">
        <v>159246332</v>
      </c>
      <c r="E7" s="695">
        <v>139656892</v>
      </c>
    </row>
    <row r="8" spans="1:5" s="619" customFormat="1" ht="23.25" customHeight="1" x14ac:dyDescent="0.2">
      <c r="A8" s="691" t="s">
        <v>14</v>
      </c>
      <c r="B8" s="692" t="s">
        <v>62</v>
      </c>
      <c r="C8" s="693" t="s">
        <v>979</v>
      </c>
      <c r="D8" s="694">
        <v>0</v>
      </c>
      <c r="E8" s="695">
        <v>0</v>
      </c>
    </row>
    <row r="9" spans="1:5" s="619" customFormat="1" ht="30" customHeight="1" x14ac:dyDescent="0.2">
      <c r="A9" s="691" t="s">
        <v>17</v>
      </c>
      <c r="B9" s="985"/>
      <c r="C9" s="696" t="s">
        <v>980</v>
      </c>
      <c r="D9" s="697">
        <v>186313581</v>
      </c>
      <c r="E9" s="698">
        <v>190672058</v>
      </c>
    </row>
    <row r="10" spans="1:5" s="619" customFormat="1" ht="30" customHeight="1" x14ac:dyDescent="0.2">
      <c r="A10" s="691" t="s">
        <v>33</v>
      </c>
      <c r="B10" s="986"/>
      <c r="C10" s="696" t="s">
        <v>981</v>
      </c>
      <c r="D10" s="697">
        <v>25510003</v>
      </c>
      <c r="E10" s="698">
        <v>34451141</v>
      </c>
    </row>
    <row r="11" spans="1:5" s="619" customFormat="1" ht="30" customHeight="1" x14ac:dyDescent="0.2">
      <c r="A11" s="691" t="s">
        <v>35</v>
      </c>
      <c r="B11" s="986"/>
      <c r="C11" s="699" t="s">
        <v>982</v>
      </c>
      <c r="D11" s="697">
        <v>33134297</v>
      </c>
      <c r="E11" s="698">
        <v>45050110</v>
      </c>
    </row>
    <row r="12" spans="1:5" s="619" customFormat="1" ht="30" customHeight="1" x14ac:dyDescent="0.2">
      <c r="A12" s="691" t="s">
        <v>30</v>
      </c>
      <c r="B12" s="987"/>
      <c r="C12" s="696" t="s">
        <v>983</v>
      </c>
      <c r="D12" s="697">
        <v>3970742</v>
      </c>
      <c r="E12" s="698">
        <v>10868365</v>
      </c>
    </row>
    <row r="13" spans="1:5" s="619" customFormat="1" ht="19.5" customHeight="1" x14ac:dyDescent="0.2">
      <c r="A13" s="691" t="s">
        <v>18</v>
      </c>
      <c r="B13" s="692" t="s">
        <v>64</v>
      </c>
      <c r="C13" s="693" t="s">
        <v>984</v>
      </c>
      <c r="D13" s="694">
        <f>SUM(D9:D12)</f>
        <v>248928623</v>
      </c>
      <c r="E13" s="695">
        <f>SUM(E9:E12)</f>
        <v>281041674</v>
      </c>
    </row>
    <row r="14" spans="1:5" s="619" customFormat="1" ht="19.5" customHeight="1" x14ac:dyDescent="0.2">
      <c r="A14" s="691" t="s">
        <v>19</v>
      </c>
      <c r="B14" s="985"/>
      <c r="C14" s="699" t="s">
        <v>985</v>
      </c>
      <c r="D14" s="697">
        <v>48067991</v>
      </c>
      <c r="E14" s="698">
        <v>52569482</v>
      </c>
    </row>
    <row r="15" spans="1:5" s="619" customFormat="1" ht="20.25" customHeight="1" x14ac:dyDescent="0.2">
      <c r="A15" s="691" t="s">
        <v>20</v>
      </c>
      <c r="B15" s="986"/>
      <c r="C15" s="699" t="s">
        <v>986</v>
      </c>
      <c r="D15" s="697">
        <v>41216143</v>
      </c>
      <c r="E15" s="698">
        <v>39592203</v>
      </c>
    </row>
    <row r="16" spans="1:5" s="619" customFormat="1" ht="20.25" customHeight="1" x14ac:dyDescent="0.2">
      <c r="A16" s="691" t="s">
        <v>21</v>
      </c>
      <c r="B16" s="986"/>
      <c r="C16" s="699" t="s">
        <v>987</v>
      </c>
      <c r="D16" s="697">
        <v>0</v>
      </c>
      <c r="E16" s="698">
        <v>0</v>
      </c>
    </row>
    <row r="17" spans="1:5" s="619" customFormat="1" ht="20.25" customHeight="1" x14ac:dyDescent="0.2">
      <c r="A17" s="691" t="s">
        <v>31</v>
      </c>
      <c r="B17" s="987"/>
      <c r="C17" s="699" t="s">
        <v>988</v>
      </c>
      <c r="D17" s="697">
        <v>171840</v>
      </c>
      <c r="E17" s="698">
        <v>511755</v>
      </c>
    </row>
    <row r="18" spans="1:5" s="619" customFormat="1" ht="22.5" customHeight="1" x14ac:dyDescent="0.2">
      <c r="A18" s="691" t="s">
        <v>22</v>
      </c>
      <c r="B18" s="692" t="s">
        <v>989</v>
      </c>
      <c r="C18" s="693" t="s">
        <v>990</v>
      </c>
      <c r="D18" s="694">
        <f>SUM(D14:D17)</f>
        <v>89455974</v>
      </c>
      <c r="E18" s="695">
        <f>SUM(E14:E17)</f>
        <v>92673440</v>
      </c>
    </row>
    <row r="19" spans="1:5" s="619" customFormat="1" ht="19.899999999999999" customHeight="1" x14ac:dyDescent="0.2">
      <c r="A19" s="691" t="s">
        <v>24</v>
      </c>
      <c r="B19" s="988"/>
      <c r="C19" s="699" t="s">
        <v>991</v>
      </c>
      <c r="D19" s="697">
        <v>103871535</v>
      </c>
      <c r="E19" s="698">
        <v>126332186</v>
      </c>
    </row>
    <row r="20" spans="1:5" s="619" customFormat="1" ht="20.25" customHeight="1" x14ac:dyDescent="0.2">
      <c r="A20" s="691" t="s">
        <v>39</v>
      </c>
      <c r="B20" s="989"/>
      <c r="C20" s="699" t="s">
        <v>992</v>
      </c>
      <c r="D20" s="697">
        <v>15452196</v>
      </c>
      <c r="E20" s="698">
        <v>14958778</v>
      </c>
    </row>
    <row r="21" spans="1:5" s="619" customFormat="1" ht="23.25" customHeight="1" x14ac:dyDescent="0.2">
      <c r="A21" s="691" t="s">
        <v>40</v>
      </c>
      <c r="B21" s="990"/>
      <c r="C21" s="699" t="s">
        <v>993</v>
      </c>
      <c r="D21" s="697">
        <v>21264692</v>
      </c>
      <c r="E21" s="698">
        <v>21878365</v>
      </c>
    </row>
    <row r="22" spans="1:5" s="619" customFormat="1" ht="22.5" customHeight="1" x14ac:dyDescent="0.2">
      <c r="A22" s="691" t="s">
        <v>41</v>
      </c>
      <c r="B22" s="692" t="s">
        <v>994</v>
      </c>
      <c r="C22" s="693" t="s">
        <v>995</v>
      </c>
      <c r="D22" s="694">
        <f>SUM(D19:D21)</f>
        <v>140588423</v>
      </c>
      <c r="E22" s="695">
        <f>SUM(E19:E21)</f>
        <v>163169329</v>
      </c>
    </row>
    <row r="23" spans="1:5" s="619" customFormat="1" ht="21" customHeight="1" x14ac:dyDescent="0.2">
      <c r="A23" s="691" t="s">
        <v>42</v>
      </c>
      <c r="B23" s="692" t="s">
        <v>996</v>
      </c>
      <c r="C23" s="693" t="s">
        <v>997</v>
      </c>
      <c r="D23" s="694">
        <v>70384024</v>
      </c>
      <c r="E23" s="695">
        <v>124731653</v>
      </c>
    </row>
    <row r="24" spans="1:5" s="619" customFormat="1" ht="19.5" customHeight="1" x14ac:dyDescent="0.2">
      <c r="A24" s="691" t="s">
        <v>43</v>
      </c>
      <c r="B24" s="692" t="s">
        <v>998</v>
      </c>
      <c r="C24" s="693" t="s">
        <v>999</v>
      </c>
      <c r="D24" s="694">
        <v>77845962</v>
      </c>
      <c r="E24" s="695">
        <v>110136056</v>
      </c>
    </row>
    <row r="25" spans="1:5" s="619" customFormat="1" ht="21" customHeight="1" x14ac:dyDescent="0.2">
      <c r="A25" s="691" t="s">
        <v>44</v>
      </c>
      <c r="B25" s="692" t="s">
        <v>1000</v>
      </c>
      <c r="C25" s="693" t="s">
        <v>1001</v>
      </c>
      <c r="D25" s="694">
        <f>D7+D8+D13-D18-D22-D23-D24</f>
        <v>29900572</v>
      </c>
      <c r="E25" s="695">
        <f>E7+E8+E13-E18-E22-E23-E24</f>
        <v>-70011912</v>
      </c>
    </row>
    <row r="26" spans="1:5" s="619" customFormat="1" ht="21" customHeight="1" x14ac:dyDescent="0.2">
      <c r="A26" s="691" t="s">
        <v>45</v>
      </c>
      <c r="B26" s="985"/>
      <c r="C26" s="699" t="s">
        <v>1002</v>
      </c>
      <c r="D26" s="697">
        <v>0</v>
      </c>
      <c r="E26" s="698">
        <v>0</v>
      </c>
    </row>
    <row r="27" spans="1:5" s="619" customFormat="1" ht="21" customHeight="1" x14ac:dyDescent="0.2">
      <c r="A27" s="691" t="s">
        <v>46</v>
      </c>
      <c r="B27" s="987"/>
      <c r="C27" s="699" t="s">
        <v>1003</v>
      </c>
      <c r="D27" s="697">
        <v>58</v>
      </c>
      <c r="E27" s="698">
        <v>95</v>
      </c>
    </row>
    <row r="28" spans="1:5" s="619" customFormat="1" ht="21" customHeight="1" x14ac:dyDescent="0.2">
      <c r="A28" s="691" t="s">
        <v>47</v>
      </c>
      <c r="B28" s="701"/>
      <c r="C28" s="699" t="s">
        <v>1004</v>
      </c>
      <c r="D28" s="700">
        <v>0</v>
      </c>
      <c r="E28" s="808">
        <v>0</v>
      </c>
    </row>
    <row r="29" spans="1:5" s="619" customFormat="1" ht="23.25" customHeight="1" x14ac:dyDescent="0.2">
      <c r="A29" s="691" t="s">
        <v>50</v>
      </c>
      <c r="B29" s="692" t="s">
        <v>1005</v>
      </c>
      <c r="C29" s="693" t="s">
        <v>1006</v>
      </c>
      <c r="D29" s="694">
        <f>SUM(D26:D28)</f>
        <v>58</v>
      </c>
      <c r="E29" s="695">
        <f>SUM(E26:E28)</f>
        <v>95</v>
      </c>
    </row>
    <row r="30" spans="1:5" s="619" customFormat="1" ht="21" customHeight="1" x14ac:dyDescent="0.2">
      <c r="A30" s="691" t="s">
        <v>52</v>
      </c>
      <c r="B30" s="702"/>
      <c r="C30" s="699" t="s">
        <v>1007</v>
      </c>
      <c r="D30" s="697">
        <v>0</v>
      </c>
      <c r="E30" s="698">
        <v>0</v>
      </c>
    </row>
    <row r="31" spans="1:5" s="619" customFormat="1" ht="21" customHeight="1" x14ac:dyDescent="0.2">
      <c r="A31" s="691" t="s">
        <v>54</v>
      </c>
      <c r="B31" s="702"/>
      <c r="C31" s="699" t="s">
        <v>1008</v>
      </c>
      <c r="D31" s="697">
        <v>0</v>
      </c>
      <c r="E31" s="698">
        <v>0</v>
      </c>
    </row>
    <row r="32" spans="1:5" s="619" customFormat="1" ht="21.75" customHeight="1" x14ac:dyDescent="0.2">
      <c r="A32" s="691" t="s">
        <v>56</v>
      </c>
      <c r="B32" s="692" t="s">
        <v>1009</v>
      </c>
      <c r="C32" s="693" t="s">
        <v>1010</v>
      </c>
      <c r="D32" s="694">
        <f>SUM(D30:D31)</f>
        <v>0</v>
      </c>
      <c r="E32" s="695">
        <f>SUM(E30:E31)</f>
        <v>0</v>
      </c>
    </row>
    <row r="33" spans="1:5" s="619" customFormat="1" ht="23.25" customHeight="1" x14ac:dyDescent="0.2">
      <c r="A33" s="691" t="s">
        <v>57</v>
      </c>
      <c r="B33" s="692" t="s">
        <v>1011</v>
      </c>
      <c r="C33" s="693" t="s">
        <v>1012</v>
      </c>
      <c r="D33" s="694">
        <f>D29-D32</f>
        <v>58</v>
      </c>
      <c r="E33" s="695">
        <f>E29-E32</f>
        <v>95</v>
      </c>
    </row>
    <row r="34" spans="1:5" s="619" customFormat="1" ht="19.5" customHeight="1" x14ac:dyDescent="0.2">
      <c r="A34" s="691" t="s">
        <v>58</v>
      </c>
      <c r="B34" s="692" t="s">
        <v>901</v>
      </c>
      <c r="C34" s="693" t="s">
        <v>1013</v>
      </c>
      <c r="D34" s="694">
        <f>D25+D33</f>
        <v>29900630</v>
      </c>
      <c r="E34" s="695">
        <f>E25+E33</f>
        <v>-70011817</v>
      </c>
    </row>
    <row r="35" spans="1:5" s="619" customFormat="1" ht="19.5" customHeight="1" x14ac:dyDescent="0.2">
      <c r="A35" s="691" t="s">
        <v>59</v>
      </c>
      <c r="B35" s="701"/>
      <c r="C35" s="699" t="s">
        <v>1014</v>
      </c>
      <c r="D35" s="697">
        <v>0</v>
      </c>
      <c r="E35" s="698">
        <v>0</v>
      </c>
    </row>
    <row r="36" spans="1:5" s="619" customFormat="1" ht="19.5" customHeight="1" x14ac:dyDescent="0.2">
      <c r="A36" s="691" t="s">
        <v>65</v>
      </c>
      <c r="B36" s="692" t="s">
        <v>1015</v>
      </c>
      <c r="C36" s="693" t="s">
        <v>1016</v>
      </c>
      <c r="D36" s="694">
        <f>SUM(D35:D35)</f>
        <v>0</v>
      </c>
      <c r="E36" s="695">
        <f>SUM(E35:E35)</f>
        <v>0</v>
      </c>
    </row>
    <row r="37" spans="1:5" s="619" customFormat="1" ht="19.5" customHeight="1" x14ac:dyDescent="0.2">
      <c r="A37" s="691" t="s">
        <v>78</v>
      </c>
      <c r="B37" s="692" t="s">
        <v>1017</v>
      </c>
      <c r="C37" s="693" t="s">
        <v>1018</v>
      </c>
      <c r="D37" s="694">
        <v>0</v>
      </c>
      <c r="E37" s="695">
        <v>0</v>
      </c>
    </row>
    <row r="38" spans="1:5" s="619" customFormat="1" ht="21.75" customHeight="1" x14ac:dyDescent="0.2">
      <c r="A38" s="691" t="s">
        <v>79</v>
      </c>
      <c r="B38" s="692" t="s">
        <v>903</v>
      </c>
      <c r="C38" s="693" t="s">
        <v>1019</v>
      </c>
      <c r="D38" s="694">
        <f>D36-D37</f>
        <v>0</v>
      </c>
      <c r="E38" s="695">
        <f>E36-E37</f>
        <v>0</v>
      </c>
    </row>
    <row r="39" spans="1:5" s="619" customFormat="1" ht="29.25" customHeight="1" thickBot="1" x14ac:dyDescent="0.25">
      <c r="A39" s="691" t="s">
        <v>80</v>
      </c>
      <c r="B39" s="703" t="s">
        <v>1020</v>
      </c>
      <c r="C39" s="704" t="s">
        <v>1021</v>
      </c>
      <c r="D39" s="705">
        <f>D34+D38</f>
        <v>29900630</v>
      </c>
      <c r="E39" s="706">
        <f>E34+E38</f>
        <v>-70011817</v>
      </c>
    </row>
  </sheetData>
  <mergeCells count="6">
    <mergeCell ref="C1:E1"/>
    <mergeCell ref="B3:E3"/>
    <mergeCell ref="B9:B12"/>
    <mergeCell ref="B14:B17"/>
    <mergeCell ref="B19:B21"/>
    <mergeCell ref="B26:B27"/>
  </mergeCells>
  <printOptions horizontalCentered="1"/>
  <pageMargins left="0" right="0" top="0" bottom="0" header="0.51181102362204722" footer="0.51181102362204722"/>
  <pageSetup paperSize="9" scale="84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9"/>
  <sheetViews>
    <sheetView showZeros="0" view="pageBreakPreview" topLeftCell="A49" zoomScaleNormal="100" zoomScaleSheetLayoutView="100" workbookViewId="0">
      <selection activeCell="F72" sqref="F72"/>
    </sheetView>
  </sheetViews>
  <sheetFormatPr defaultRowHeight="15" x14ac:dyDescent="0.3"/>
  <cols>
    <col min="1" max="1" width="6.140625" style="776" customWidth="1"/>
    <col min="2" max="2" width="6.7109375" style="777" customWidth="1"/>
    <col min="3" max="3" width="7.5703125" style="777" customWidth="1"/>
    <col min="4" max="4" width="70" style="710" customWidth="1"/>
    <col min="5" max="5" width="27.85546875" style="710" customWidth="1"/>
    <col min="6" max="6" width="24.42578125" style="710" customWidth="1"/>
    <col min="7" max="8" width="11" style="710" customWidth="1"/>
    <col min="9" max="16384" width="9.140625" style="710"/>
  </cols>
  <sheetData>
    <row r="1" spans="1:254" x14ac:dyDescent="0.3">
      <c r="A1" s="707"/>
      <c r="B1" s="708"/>
      <c r="C1" s="708"/>
      <c r="D1" s="991" t="s">
        <v>1022</v>
      </c>
      <c r="E1" s="991"/>
      <c r="F1" s="709"/>
    </row>
    <row r="2" spans="1:254" x14ac:dyDescent="0.3">
      <c r="A2" s="707"/>
      <c r="B2" s="708"/>
      <c r="C2" s="708"/>
      <c r="D2" s="709"/>
      <c r="E2" s="709"/>
      <c r="F2" s="709"/>
    </row>
    <row r="3" spans="1:254" ht="15.75" customHeight="1" x14ac:dyDescent="0.3">
      <c r="A3" s="992" t="s">
        <v>1103</v>
      </c>
      <c r="B3" s="992"/>
      <c r="C3" s="992"/>
      <c r="D3" s="992"/>
      <c r="E3" s="992"/>
      <c r="F3" s="992"/>
    </row>
    <row r="4" spans="1:254" ht="15.75" x14ac:dyDescent="0.3">
      <c r="A4" s="993" t="s">
        <v>1023</v>
      </c>
      <c r="B4" s="993"/>
      <c r="C4" s="993"/>
      <c r="D4" s="993"/>
      <c r="E4" s="993"/>
      <c r="F4" s="993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711"/>
      <c r="W4" s="711"/>
      <c r="X4" s="711"/>
      <c r="Y4" s="711"/>
      <c r="Z4" s="711"/>
      <c r="AA4" s="711"/>
      <c r="AB4" s="711"/>
      <c r="AC4" s="711"/>
      <c r="AD4" s="711"/>
      <c r="AE4" s="711"/>
      <c r="AF4" s="711"/>
      <c r="AG4" s="711"/>
      <c r="AH4" s="711"/>
      <c r="AI4" s="711"/>
      <c r="AJ4" s="711"/>
      <c r="AK4" s="711"/>
      <c r="AL4" s="711"/>
      <c r="AM4" s="711"/>
      <c r="AN4" s="711"/>
      <c r="AO4" s="711"/>
      <c r="AP4" s="711"/>
      <c r="AQ4" s="711"/>
      <c r="AR4" s="711"/>
      <c r="AS4" s="711"/>
      <c r="AT4" s="711"/>
      <c r="AU4" s="711"/>
      <c r="AV4" s="711"/>
      <c r="AW4" s="711"/>
      <c r="AX4" s="711"/>
      <c r="AY4" s="711"/>
      <c r="AZ4" s="711"/>
      <c r="BA4" s="711"/>
      <c r="BB4" s="711"/>
      <c r="BC4" s="711"/>
      <c r="BD4" s="711"/>
      <c r="BE4" s="711"/>
      <c r="BF4" s="711"/>
      <c r="BG4" s="711"/>
      <c r="BH4" s="711"/>
      <c r="BI4" s="711"/>
      <c r="BJ4" s="711"/>
      <c r="BK4" s="711"/>
      <c r="BL4" s="711"/>
      <c r="BM4" s="711"/>
      <c r="BN4" s="711"/>
      <c r="BO4" s="711"/>
      <c r="BP4" s="711"/>
      <c r="BQ4" s="711"/>
      <c r="BR4" s="711"/>
      <c r="BS4" s="711"/>
      <c r="BT4" s="711"/>
      <c r="BU4" s="711"/>
      <c r="BV4" s="711"/>
      <c r="BW4" s="711"/>
      <c r="BX4" s="711"/>
      <c r="BY4" s="711"/>
      <c r="BZ4" s="711"/>
      <c r="CA4" s="711"/>
      <c r="CB4" s="711"/>
      <c r="CC4" s="711"/>
      <c r="CD4" s="711"/>
      <c r="CE4" s="711"/>
      <c r="CF4" s="711"/>
      <c r="CG4" s="711"/>
      <c r="CH4" s="711"/>
      <c r="CI4" s="711"/>
      <c r="CJ4" s="711"/>
      <c r="CK4" s="711"/>
      <c r="CL4" s="711"/>
      <c r="CM4" s="711"/>
      <c r="CN4" s="711"/>
      <c r="CO4" s="711"/>
      <c r="CP4" s="711"/>
      <c r="CQ4" s="711"/>
      <c r="CR4" s="711"/>
      <c r="CS4" s="711"/>
      <c r="CT4" s="711"/>
      <c r="CU4" s="711"/>
      <c r="CV4" s="711"/>
      <c r="CW4" s="711"/>
      <c r="CX4" s="711"/>
      <c r="CY4" s="711"/>
      <c r="CZ4" s="711"/>
      <c r="DA4" s="711"/>
      <c r="DB4" s="711"/>
      <c r="DC4" s="711"/>
      <c r="DD4" s="711"/>
      <c r="DE4" s="711"/>
      <c r="DF4" s="711"/>
      <c r="DG4" s="711"/>
      <c r="DH4" s="711"/>
      <c r="DI4" s="711"/>
      <c r="DJ4" s="711"/>
      <c r="DK4" s="711"/>
      <c r="DL4" s="711"/>
      <c r="DM4" s="711"/>
      <c r="DN4" s="711"/>
      <c r="DO4" s="711"/>
      <c r="DP4" s="711"/>
      <c r="DQ4" s="711"/>
      <c r="DR4" s="711"/>
      <c r="DS4" s="711"/>
      <c r="DT4" s="711"/>
      <c r="DU4" s="711"/>
      <c r="DV4" s="711"/>
      <c r="DW4" s="711"/>
      <c r="DX4" s="711"/>
      <c r="DY4" s="711"/>
      <c r="DZ4" s="711"/>
      <c r="EA4" s="711"/>
      <c r="EB4" s="711"/>
      <c r="EC4" s="711"/>
      <c r="ED4" s="711"/>
      <c r="EE4" s="711"/>
      <c r="EF4" s="711"/>
      <c r="EG4" s="711"/>
      <c r="EH4" s="711"/>
      <c r="EI4" s="711"/>
      <c r="EJ4" s="711"/>
      <c r="EK4" s="711"/>
      <c r="EL4" s="711"/>
      <c r="EM4" s="711"/>
      <c r="EN4" s="711"/>
      <c r="EO4" s="711"/>
      <c r="EP4" s="711"/>
      <c r="EQ4" s="711"/>
      <c r="ER4" s="711"/>
      <c r="ES4" s="711"/>
      <c r="ET4" s="711"/>
      <c r="EU4" s="711"/>
      <c r="EV4" s="711"/>
      <c r="EW4" s="711"/>
      <c r="EX4" s="711"/>
      <c r="EY4" s="711"/>
      <c r="EZ4" s="711"/>
      <c r="FA4" s="711"/>
      <c r="FB4" s="711"/>
      <c r="FC4" s="711"/>
      <c r="FD4" s="711"/>
      <c r="FE4" s="711"/>
      <c r="FF4" s="711"/>
      <c r="FG4" s="711"/>
      <c r="FH4" s="711"/>
      <c r="FI4" s="711"/>
      <c r="FJ4" s="711"/>
      <c r="FK4" s="711"/>
      <c r="FL4" s="711"/>
      <c r="FM4" s="711"/>
      <c r="FN4" s="711"/>
      <c r="FO4" s="711"/>
      <c r="FP4" s="711"/>
      <c r="FQ4" s="711"/>
      <c r="FR4" s="711"/>
      <c r="FS4" s="711"/>
      <c r="FT4" s="711"/>
      <c r="FU4" s="711"/>
      <c r="FV4" s="711"/>
      <c r="FW4" s="711"/>
      <c r="FX4" s="711"/>
      <c r="FY4" s="711"/>
      <c r="FZ4" s="711"/>
      <c r="GA4" s="711"/>
      <c r="GB4" s="711"/>
      <c r="GC4" s="711"/>
      <c r="GD4" s="711"/>
      <c r="GE4" s="711"/>
      <c r="GF4" s="711"/>
      <c r="GG4" s="711"/>
      <c r="GH4" s="711"/>
      <c r="GI4" s="711"/>
      <c r="GJ4" s="711"/>
      <c r="GK4" s="711"/>
      <c r="GL4" s="711"/>
      <c r="GM4" s="711"/>
      <c r="GN4" s="711"/>
      <c r="GO4" s="711"/>
      <c r="GP4" s="711"/>
      <c r="GQ4" s="711"/>
      <c r="GR4" s="711"/>
      <c r="GS4" s="711"/>
      <c r="GT4" s="711"/>
      <c r="GU4" s="711"/>
      <c r="GV4" s="711"/>
      <c r="GW4" s="711"/>
      <c r="GX4" s="711"/>
      <c r="GY4" s="711"/>
      <c r="GZ4" s="711"/>
      <c r="HA4" s="711"/>
      <c r="HB4" s="711"/>
      <c r="HC4" s="711"/>
      <c r="HD4" s="711"/>
      <c r="HE4" s="711"/>
      <c r="HF4" s="711"/>
      <c r="HG4" s="711"/>
      <c r="HH4" s="711"/>
      <c r="HI4" s="711"/>
      <c r="HJ4" s="711"/>
      <c r="HK4" s="711"/>
      <c r="HL4" s="711"/>
      <c r="HM4" s="711"/>
      <c r="HN4" s="711"/>
      <c r="HO4" s="711"/>
      <c r="HP4" s="711"/>
      <c r="HQ4" s="711"/>
      <c r="HR4" s="711"/>
      <c r="HS4" s="711"/>
      <c r="HT4" s="711"/>
      <c r="HU4" s="711"/>
      <c r="HV4" s="711"/>
      <c r="HW4" s="711"/>
      <c r="HX4" s="711"/>
      <c r="HY4" s="711"/>
      <c r="HZ4" s="711"/>
      <c r="IA4" s="711"/>
      <c r="IB4" s="711"/>
      <c r="IC4" s="711"/>
      <c r="ID4" s="711"/>
      <c r="IE4" s="711"/>
      <c r="IF4" s="711"/>
      <c r="IG4" s="711"/>
      <c r="IH4" s="711"/>
      <c r="II4" s="711"/>
      <c r="IJ4" s="711"/>
      <c r="IK4" s="711"/>
      <c r="IL4" s="711"/>
      <c r="IM4" s="711"/>
      <c r="IN4" s="711"/>
      <c r="IO4" s="711"/>
      <c r="IP4" s="711"/>
      <c r="IQ4" s="711"/>
      <c r="IR4" s="711"/>
      <c r="IS4" s="711"/>
      <c r="IT4" s="711"/>
    </row>
    <row r="5" spans="1:254" ht="24" customHeight="1" thickBot="1" x14ac:dyDescent="0.35">
      <c r="A5" s="712"/>
      <c r="B5" s="713"/>
      <c r="C5" s="713"/>
      <c r="D5" s="714"/>
      <c r="E5" s="715"/>
      <c r="F5" s="715" t="s">
        <v>859</v>
      </c>
      <c r="G5" s="711"/>
      <c r="H5" s="711"/>
      <c r="I5" s="711"/>
      <c r="J5" s="711"/>
      <c r="K5" s="711"/>
      <c r="L5" s="711"/>
      <c r="M5" s="711"/>
      <c r="N5" s="711"/>
      <c r="O5" s="711"/>
      <c r="P5" s="711"/>
      <c r="Q5" s="711"/>
      <c r="R5" s="711"/>
      <c r="S5" s="711"/>
      <c r="T5" s="711"/>
      <c r="U5" s="711"/>
      <c r="V5" s="711"/>
      <c r="W5" s="711"/>
      <c r="X5" s="711"/>
      <c r="Y5" s="711"/>
      <c r="Z5" s="711"/>
      <c r="AA5" s="711"/>
      <c r="AB5" s="711"/>
      <c r="AC5" s="711"/>
      <c r="AD5" s="711"/>
      <c r="AE5" s="711"/>
      <c r="AF5" s="711"/>
      <c r="AG5" s="711"/>
      <c r="AH5" s="711"/>
      <c r="AI5" s="711"/>
      <c r="AJ5" s="711"/>
      <c r="AK5" s="711"/>
      <c r="AL5" s="711"/>
      <c r="AM5" s="711"/>
      <c r="AN5" s="711"/>
      <c r="AO5" s="711"/>
      <c r="AP5" s="711"/>
      <c r="AQ5" s="711"/>
      <c r="AR5" s="711"/>
      <c r="AS5" s="711"/>
      <c r="AT5" s="711"/>
      <c r="AU5" s="711"/>
      <c r="AV5" s="711"/>
      <c r="AW5" s="711"/>
      <c r="AX5" s="711"/>
      <c r="AY5" s="711"/>
      <c r="AZ5" s="711"/>
      <c r="BA5" s="711"/>
      <c r="BB5" s="711"/>
      <c r="BC5" s="711"/>
      <c r="BD5" s="711"/>
      <c r="BE5" s="711"/>
      <c r="BF5" s="711"/>
      <c r="BG5" s="711"/>
      <c r="BH5" s="711"/>
      <c r="BI5" s="711"/>
      <c r="BJ5" s="711"/>
      <c r="BK5" s="711"/>
      <c r="BL5" s="711"/>
      <c r="BM5" s="711"/>
      <c r="BN5" s="711"/>
      <c r="BO5" s="711"/>
      <c r="BP5" s="711"/>
      <c r="BQ5" s="711"/>
      <c r="BR5" s="711"/>
      <c r="BS5" s="711"/>
      <c r="BT5" s="711"/>
      <c r="BU5" s="711"/>
      <c r="BV5" s="711"/>
      <c r="BW5" s="711"/>
      <c r="BX5" s="711"/>
      <c r="BY5" s="711"/>
      <c r="BZ5" s="711"/>
      <c r="CA5" s="711"/>
      <c r="CB5" s="711"/>
      <c r="CC5" s="711"/>
      <c r="CD5" s="711"/>
      <c r="CE5" s="711"/>
      <c r="CF5" s="711"/>
      <c r="CG5" s="711"/>
      <c r="CH5" s="711"/>
      <c r="CI5" s="711"/>
      <c r="CJ5" s="711"/>
      <c r="CK5" s="711"/>
      <c r="CL5" s="711"/>
      <c r="CM5" s="711"/>
      <c r="CN5" s="711"/>
      <c r="CO5" s="711"/>
      <c r="CP5" s="711"/>
      <c r="CQ5" s="711"/>
      <c r="CR5" s="711"/>
      <c r="CS5" s="711"/>
      <c r="CT5" s="711"/>
      <c r="CU5" s="711"/>
      <c r="CV5" s="711"/>
      <c r="CW5" s="711"/>
      <c r="CX5" s="711"/>
      <c r="CY5" s="711"/>
      <c r="CZ5" s="711"/>
      <c r="DA5" s="711"/>
      <c r="DB5" s="711"/>
      <c r="DC5" s="711"/>
      <c r="DD5" s="711"/>
      <c r="DE5" s="711"/>
      <c r="DF5" s="711"/>
      <c r="DG5" s="711"/>
      <c r="DH5" s="711"/>
      <c r="DI5" s="711"/>
      <c r="DJ5" s="711"/>
      <c r="DK5" s="711"/>
      <c r="DL5" s="711"/>
      <c r="DM5" s="711"/>
      <c r="DN5" s="711"/>
      <c r="DO5" s="711"/>
      <c r="DP5" s="711"/>
      <c r="DQ5" s="711"/>
      <c r="DR5" s="711"/>
      <c r="DS5" s="711"/>
      <c r="DT5" s="711"/>
      <c r="DU5" s="711"/>
      <c r="DV5" s="711"/>
      <c r="DW5" s="711"/>
      <c r="DX5" s="711"/>
      <c r="DY5" s="711"/>
      <c r="DZ5" s="711"/>
      <c r="EA5" s="711"/>
      <c r="EB5" s="711"/>
      <c r="EC5" s="711"/>
      <c r="ED5" s="711"/>
      <c r="EE5" s="711"/>
      <c r="EF5" s="711"/>
      <c r="EG5" s="711"/>
      <c r="EH5" s="711"/>
      <c r="EI5" s="711"/>
      <c r="EJ5" s="711"/>
      <c r="EK5" s="711"/>
      <c r="EL5" s="711"/>
      <c r="EM5" s="711"/>
      <c r="EN5" s="711"/>
      <c r="EO5" s="711"/>
      <c r="EP5" s="711"/>
      <c r="EQ5" s="711"/>
      <c r="ER5" s="711"/>
      <c r="ES5" s="711"/>
      <c r="ET5" s="711"/>
      <c r="EU5" s="711"/>
      <c r="EV5" s="711"/>
      <c r="EW5" s="711"/>
      <c r="EX5" s="711"/>
      <c r="EY5" s="711"/>
      <c r="EZ5" s="711"/>
      <c r="FA5" s="711"/>
      <c r="FB5" s="711"/>
      <c r="FC5" s="711"/>
      <c r="FD5" s="711"/>
      <c r="FE5" s="711"/>
      <c r="FF5" s="711"/>
      <c r="FG5" s="711"/>
      <c r="FH5" s="711"/>
      <c r="FI5" s="711"/>
      <c r="FJ5" s="711"/>
      <c r="FK5" s="711"/>
      <c r="FL5" s="711"/>
      <c r="FM5" s="711"/>
      <c r="FN5" s="711"/>
      <c r="FO5" s="711"/>
      <c r="FP5" s="711"/>
      <c r="FQ5" s="711"/>
      <c r="FR5" s="711"/>
      <c r="FS5" s="711"/>
      <c r="FT5" s="711"/>
      <c r="FU5" s="711"/>
      <c r="FV5" s="711"/>
      <c r="FW5" s="711"/>
      <c r="FX5" s="711"/>
      <c r="FY5" s="711"/>
      <c r="FZ5" s="711"/>
      <c r="GA5" s="711"/>
      <c r="GB5" s="711"/>
      <c r="GC5" s="711"/>
      <c r="GD5" s="711"/>
      <c r="GE5" s="711"/>
      <c r="GF5" s="711"/>
      <c r="GG5" s="711"/>
      <c r="GH5" s="711"/>
      <c r="GI5" s="711"/>
      <c r="GJ5" s="711"/>
      <c r="GK5" s="711"/>
      <c r="GL5" s="711"/>
      <c r="GM5" s="711"/>
      <c r="GN5" s="711"/>
      <c r="GO5" s="711"/>
      <c r="GP5" s="711"/>
      <c r="GQ5" s="711"/>
      <c r="GR5" s="711"/>
      <c r="GS5" s="711"/>
      <c r="GT5" s="711"/>
      <c r="GU5" s="711"/>
      <c r="GV5" s="711"/>
      <c r="GW5" s="711"/>
      <c r="GX5" s="711"/>
      <c r="GY5" s="711"/>
      <c r="GZ5" s="711"/>
      <c r="HA5" s="711"/>
      <c r="HB5" s="711"/>
      <c r="HC5" s="711"/>
      <c r="HD5" s="711"/>
      <c r="HE5" s="711"/>
      <c r="HF5" s="711"/>
      <c r="HG5" s="711"/>
      <c r="HH5" s="711"/>
      <c r="HI5" s="711"/>
      <c r="HJ5" s="711"/>
      <c r="HK5" s="711"/>
      <c r="HL5" s="711"/>
      <c r="HM5" s="711"/>
      <c r="HN5" s="711"/>
      <c r="HO5" s="711"/>
      <c r="HP5" s="711"/>
      <c r="HQ5" s="711"/>
      <c r="HR5" s="711"/>
      <c r="HS5" s="711"/>
      <c r="HT5" s="711"/>
      <c r="HU5" s="711"/>
      <c r="HV5" s="711"/>
      <c r="HW5" s="711"/>
      <c r="HX5" s="711"/>
      <c r="HY5" s="711"/>
      <c r="HZ5" s="711"/>
      <c r="IA5" s="711"/>
      <c r="IB5" s="711"/>
      <c r="IC5" s="711"/>
      <c r="ID5" s="711"/>
      <c r="IE5" s="711"/>
      <c r="IF5" s="711"/>
      <c r="IG5" s="711"/>
      <c r="IH5" s="711"/>
      <c r="II5" s="711"/>
      <c r="IJ5" s="711"/>
      <c r="IK5" s="711"/>
      <c r="IL5" s="711"/>
      <c r="IM5" s="711"/>
      <c r="IN5" s="711"/>
      <c r="IO5" s="711"/>
      <c r="IP5" s="711"/>
      <c r="IQ5" s="711"/>
      <c r="IR5" s="711"/>
      <c r="IS5" s="711"/>
      <c r="IT5" s="711"/>
    </row>
    <row r="6" spans="1:254" ht="37.5" customHeight="1" x14ac:dyDescent="0.3">
      <c r="A6" s="716" t="s">
        <v>0</v>
      </c>
      <c r="B6" s="994" t="s">
        <v>908</v>
      </c>
      <c r="C6" s="995"/>
      <c r="D6" s="996"/>
      <c r="E6" s="689" t="s">
        <v>1024</v>
      </c>
      <c r="F6" s="717" t="s">
        <v>1025</v>
      </c>
      <c r="G6" s="718"/>
      <c r="H6" s="718"/>
      <c r="I6" s="718"/>
      <c r="J6" s="718"/>
      <c r="K6" s="718"/>
      <c r="L6" s="719"/>
    </row>
    <row r="7" spans="1:254" ht="45.75" customHeight="1" x14ac:dyDescent="0.3">
      <c r="A7" s="716" t="s">
        <v>6</v>
      </c>
      <c r="B7" s="720" t="s">
        <v>890</v>
      </c>
      <c r="C7" s="997" t="s">
        <v>919</v>
      </c>
      <c r="D7" s="998"/>
      <c r="E7" s="801">
        <f>E8+E9+E27+E31</f>
        <v>1319530040</v>
      </c>
      <c r="F7" s="721">
        <f>F8+F9+F27+F31</f>
        <v>1897223993</v>
      </c>
      <c r="G7" s="722"/>
      <c r="H7" s="722"/>
      <c r="I7" s="722"/>
      <c r="J7" s="722"/>
      <c r="K7" s="723"/>
      <c r="L7" s="719"/>
    </row>
    <row r="8" spans="1:254" ht="24" customHeight="1" x14ac:dyDescent="0.3">
      <c r="A8" s="716" t="s">
        <v>14</v>
      </c>
      <c r="B8" s="999"/>
      <c r="C8" s="725" t="s">
        <v>61</v>
      </c>
      <c r="D8" s="726" t="s">
        <v>912</v>
      </c>
      <c r="E8" s="801">
        <v>703681</v>
      </c>
      <c r="F8" s="721">
        <f>292935</f>
        <v>292935</v>
      </c>
      <c r="G8" s="722"/>
      <c r="H8" s="722"/>
      <c r="I8" s="722"/>
      <c r="J8" s="719"/>
      <c r="K8" s="723"/>
      <c r="L8" s="719"/>
    </row>
    <row r="9" spans="1:254" ht="24" customHeight="1" x14ac:dyDescent="0.3">
      <c r="A9" s="716" t="s">
        <v>17</v>
      </c>
      <c r="B9" s="1000"/>
      <c r="C9" s="725" t="s">
        <v>62</v>
      </c>
      <c r="D9" s="726" t="s">
        <v>914</v>
      </c>
      <c r="E9" s="801">
        <f>SUM(E10+E14+E18+E22+E26)</f>
        <v>1279025209</v>
      </c>
      <c r="F9" s="721">
        <f>SUM(F10+F14+F18+F22+F26)</f>
        <v>1857129908</v>
      </c>
      <c r="G9" s="722"/>
      <c r="H9" s="722"/>
      <c r="I9" s="722"/>
      <c r="J9" s="719"/>
      <c r="K9" s="723"/>
      <c r="L9" s="719"/>
    </row>
    <row r="10" spans="1:254" ht="42" customHeight="1" x14ac:dyDescent="0.3">
      <c r="A10" s="716" t="s">
        <v>33</v>
      </c>
      <c r="B10" s="1001"/>
      <c r="C10" s="1003"/>
      <c r="D10" s="728" t="s">
        <v>1026</v>
      </c>
      <c r="E10" s="802">
        <f>SUM(E11:E13)</f>
        <v>1238177176</v>
      </c>
      <c r="F10" s="730">
        <f>SUM(F11:F13)</f>
        <v>1732868746</v>
      </c>
      <c r="G10" s="722"/>
      <c r="H10" s="722"/>
      <c r="I10" s="722"/>
      <c r="J10" s="719"/>
      <c r="K10" s="723"/>
      <c r="L10" s="719"/>
    </row>
    <row r="11" spans="1:254" ht="24" customHeight="1" x14ac:dyDescent="0.3">
      <c r="A11" s="716" t="s">
        <v>35</v>
      </c>
      <c r="B11" s="1001"/>
      <c r="C11" s="1003"/>
      <c r="D11" s="728" t="s">
        <v>1027</v>
      </c>
      <c r="E11" s="802">
        <f>431756971+21015795</f>
        <v>452772766</v>
      </c>
      <c r="F11" s="730">
        <f>417512631+21015795</f>
        <v>438528426</v>
      </c>
      <c r="G11" s="722"/>
      <c r="H11" s="722"/>
      <c r="I11" s="722"/>
      <c r="J11" s="719"/>
      <c r="K11" s="723"/>
      <c r="L11" s="719"/>
    </row>
    <row r="12" spans="1:254" ht="24" customHeight="1" x14ac:dyDescent="0.3">
      <c r="A12" s="716" t="s">
        <v>30</v>
      </c>
      <c r="B12" s="1001"/>
      <c r="C12" s="1003"/>
      <c r="D12" s="728" t="s">
        <v>1028</v>
      </c>
      <c r="E12" s="802">
        <v>732576274</v>
      </c>
      <c r="F12" s="730">
        <v>1241613354</v>
      </c>
      <c r="G12" s="722"/>
      <c r="H12" s="722"/>
      <c r="I12" s="722"/>
      <c r="J12" s="719"/>
      <c r="K12" s="723"/>
      <c r="L12" s="719"/>
    </row>
    <row r="13" spans="1:254" ht="24" customHeight="1" x14ac:dyDescent="0.3">
      <c r="A13" s="716" t="s">
        <v>18</v>
      </c>
      <c r="B13" s="1001"/>
      <c r="C13" s="1003"/>
      <c r="D13" s="728" t="s">
        <v>1029</v>
      </c>
      <c r="E13" s="802">
        <v>52828136</v>
      </c>
      <c r="F13" s="730">
        <v>52726966</v>
      </c>
      <c r="G13" s="722"/>
      <c r="H13" s="722"/>
      <c r="I13" s="722"/>
      <c r="J13" s="719"/>
      <c r="K13" s="723"/>
      <c r="L13" s="719"/>
    </row>
    <row r="14" spans="1:254" ht="24" customHeight="1" x14ac:dyDescent="0.3">
      <c r="A14" s="716" t="s">
        <v>19</v>
      </c>
      <c r="B14" s="1001"/>
      <c r="C14" s="1003"/>
      <c r="D14" s="726" t="s">
        <v>1030</v>
      </c>
      <c r="E14" s="801">
        <f>SUM(E15:E17)</f>
        <v>33558600</v>
      </c>
      <c r="F14" s="721">
        <f>SUM(F15:F17)</f>
        <v>74549687</v>
      </c>
      <c r="G14" s="722"/>
      <c r="H14" s="722"/>
      <c r="I14" s="722"/>
      <c r="J14" s="719"/>
      <c r="K14" s="723"/>
      <c r="L14" s="719"/>
    </row>
    <row r="15" spans="1:254" x14ac:dyDescent="0.3">
      <c r="A15" s="716" t="s">
        <v>20</v>
      </c>
      <c r="B15" s="1001"/>
      <c r="C15" s="1003"/>
      <c r="D15" s="728" t="s">
        <v>1031</v>
      </c>
      <c r="E15" s="802">
        <v>0</v>
      </c>
      <c r="F15" s="730">
        <v>0</v>
      </c>
      <c r="G15" s="722"/>
      <c r="H15" s="722"/>
      <c r="I15" s="722"/>
      <c r="J15" s="719"/>
      <c r="K15" s="723"/>
      <c r="L15" s="719"/>
    </row>
    <row r="16" spans="1:254" x14ac:dyDescent="0.3">
      <c r="A16" s="716" t="s">
        <v>21</v>
      </c>
      <c r="B16" s="1001"/>
      <c r="C16" s="1003"/>
      <c r="D16" s="728" t="s">
        <v>1032</v>
      </c>
      <c r="E16" s="802">
        <v>24954094</v>
      </c>
      <c r="F16" s="730">
        <f>67245316+304502+643505+45502</f>
        <v>68238825</v>
      </c>
      <c r="G16" s="722"/>
      <c r="H16" s="722"/>
      <c r="I16" s="722"/>
      <c r="J16" s="719"/>
      <c r="K16" s="723"/>
      <c r="L16" s="719"/>
    </row>
    <row r="17" spans="1:12" x14ac:dyDescent="0.3">
      <c r="A17" s="716" t="s">
        <v>31</v>
      </c>
      <c r="B17" s="1001"/>
      <c r="C17" s="1003"/>
      <c r="D17" s="728" t="s">
        <v>1033</v>
      </c>
      <c r="E17" s="802">
        <v>8604506</v>
      </c>
      <c r="F17" s="730">
        <f>6299937+10925</f>
        <v>6310862</v>
      </c>
      <c r="G17" s="722"/>
      <c r="H17" s="722"/>
      <c r="I17" s="722"/>
      <c r="J17" s="719"/>
      <c r="K17" s="723"/>
      <c r="L17" s="719"/>
    </row>
    <row r="18" spans="1:12" x14ac:dyDescent="0.3">
      <c r="A18" s="716" t="s">
        <v>22</v>
      </c>
      <c r="B18" s="1001"/>
      <c r="C18" s="1003"/>
      <c r="D18" s="726" t="s">
        <v>1034</v>
      </c>
      <c r="E18" s="801">
        <v>0</v>
      </c>
      <c r="F18" s="721">
        <v>0</v>
      </c>
      <c r="G18" s="722"/>
      <c r="H18" s="722"/>
      <c r="I18" s="722"/>
      <c r="J18" s="719"/>
      <c r="K18" s="723"/>
      <c r="L18" s="719"/>
    </row>
    <row r="19" spans="1:12" x14ac:dyDescent="0.3">
      <c r="A19" s="716" t="s">
        <v>24</v>
      </c>
      <c r="B19" s="1001"/>
      <c r="C19" s="1003"/>
      <c r="D19" s="728" t="s">
        <v>1035</v>
      </c>
      <c r="E19" s="802">
        <v>0</v>
      </c>
      <c r="F19" s="730">
        <v>0</v>
      </c>
      <c r="G19" s="722"/>
      <c r="H19" s="722"/>
      <c r="I19" s="722"/>
      <c r="J19" s="719"/>
      <c r="K19" s="723"/>
      <c r="L19" s="719"/>
    </row>
    <row r="20" spans="1:12" x14ac:dyDescent="0.3">
      <c r="A20" s="716" t="s">
        <v>39</v>
      </c>
      <c r="B20" s="1001"/>
      <c r="C20" s="1003"/>
      <c r="D20" s="728" t="s">
        <v>1036</v>
      </c>
      <c r="E20" s="802">
        <v>0</v>
      </c>
      <c r="F20" s="730">
        <v>0</v>
      </c>
      <c r="G20" s="722"/>
      <c r="H20" s="722"/>
      <c r="I20" s="722"/>
      <c r="J20" s="719"/>
      <c r="K20" s="723"/>
      <c r="L20" s="719"/>
    </row>
    <row r="21" spans="1:12" x14ac:dyDescent="0.3">
      <c r="A21" s="716" t="s">
        <v>40</v>
      </c>
      <c r="B21" s="1001"/>
      <c r="C21" s="1003"/>
      <c r="D21" s="728" t="s">
        <v>1037</v>
      </c>
      <c r="E21" s="802">
        <v>0</v>
      </c>
      <c r="F21" s="730">
        <v>0</v>
      </c>
      <c r="G21" s="722"/>
      <c r="H21" s="722"/>
      <c r="I21" s="722"/>
      <c r="J21" s="719"/>
      <c r="K21" s="723"/>
      <c r="L21" s="719"/>
    </row>
    <row r="22" spans="1:12" x14ac:dyDescent="0.3">
      <c r="A22" s="716" t="s">
        <v>41</v>
      </c>
      <c r="B22" s="1001"/>
      <c r="C22" s="1003"/>
      <c r="D22" s="726" t="s">
        <v>1038</v>
      </c>
      <c r="E22" s="801">
        <f>SUM(E23:E25)</f>
        <v>7289433</v>
      </c>
      <c r="F22" s="721">
        <f>SUM(F23:F25)</f>
        <v>49711475</v>
      </c>
      <c r="G22" s="722"/>
      <c r="H22" s="722"/>
      <c r="I22" s="722"/>
      <c r="J22" s="719"/>
      <c r="K22" s="723"/>
      <c r="L22" s="719"/>
    </row>
    <row r="23" spans="1:12" x14ac:dyDescent="0.3">
      <c r="A23" s="716" t="s">
        <v>42</v>
      </c>
      <c r="B23" s="1001"/>
      <c r="C23" s="1003"/>
      <c r="D23" s="728" t="s">
        <v>1039</v>
      </c>
      <c r="E23" s="802">
        <v>0</v>
      </c>
      <c r="F23" s="730">
        <v>49711475</v>
      </c>
      <c r="G23" s="722"/>
      <c r="H23" s="722"/>
      <c r="I23" s="722"/>
      <c r="J23" s="719"/>
      <c r="K23" s="723"/>
      <c r="L23" s="719"/>
    </row>
    <row r="24" spans="1:12" x14ac:dyDescent="0.3">
      <c r="A24" s="716" t="s">
        <v>43</v>
      </c>
      <c r="B24" s="1001"/>
      <c r="C24" s="1003"/>
      <c r="D24" s="728" t="s">
        <v>1040</v>
      </c>
      <c r="E24" s="802">
        <v>0</v>
      </c>
      <c r="F24" s="730">
        <v>0</v>
      </c>
      <c r="G24" s="722"/>
      <c r="H24" s="722"/>
      <c r="I24" s="722"/>
      <c r="J24" s="719"/>
      <c r="K24" s="723"/>
      <c r="L24" s="719"/>
    </row>
    <row r="25" spans="1:12" x14ac:dyDescent="0.3">
      <c r="A25" s="716" t="s">
        <v>44</v>
      </c>
      <c r="B25" s="1001"/>
      <c r="C25" s="1003"/>
      <c r="D25" s="728" t="s">
        <v>1041</v>
      </c>
      <c r="E25" s="802">
        <v>7289433</v>
      </c>
      <c r="F25" s="730">
        <v>0</v>
      </c>
      <c r="G25" s="722"/>
      <c r="H25" s="722"/>
      <c r="I25" s="722"/>
      <c r="J25" s="719"/>
      <c r="K25" s="723"/>
      <c r="L25" s="719"/>
    </row>
    <row r="26" spans="1:12" x14ac:dyDescent="0.3">
      <c r="A26" s="716" t="s">
        <v>45</v>
      </c>
      <c r="B26" s="1002"/>
      <c r="C26" s="1003"/>
      <c r="D26" s="726" t="s">
        <v>1042</v>
      </c>
      <c r="E26" s="802">
        <v>0</v>
      </c>
      <c r="F26" s="730">
        <v>0</v>
      </c>
      <c r="G26" s="722"/>
      <c r="H26" s="722"/>
      <c r="I26" s="722"/>
      <c r="J26" s="719"/>
      <c r="K26" s="723"/>
      <c r="L26" s="719"/>
    </row>
    <row r="27" spans="1:12" x14ac:dyDescent="0.3">
      <c r="A27" s="716" t="s">
        <v>46</v>
      </c>
      <c r="B27" s="731"/>
      <c r="C27" s="732" t="s">
        <v>64</v>
      </c>
      <c r="D27" s="726" t="s">
        <v>916</v>
      </c>
      <c r="E27" s="801">
        <f>SUM(E28:E30)</f>
        <v>39801150</v>
      </c>
      <c r="F27" s="721">
        <f>SUM(F28:F30)</f>
        <v>39801150</v>
      </c>
      <c r="G27" s="722"/>
      <c r="H27" s="722"/>
      <c r="I27" s="722"/>
      <c r="J27" s="719"/>
      <c r="K27" s="723"/>
      <c r="L27" s="719"/>
    </row>
    <row r="28" spans="1:12" x14ac:dyDescent="0.3">
      <c r="A28" s="716" t="s">
        <v>47</v>
      </c>
      <c r="B28" s="1004"/>
      <c r="C28" s="1003"/>
      <c r="D28" s="728" t="s">
        <v>1043</v>
      </c>
      <c r="E28" s="802">
        <v>39801150</v>
      </c>
      <c r="F28" s="730">
        <v>39801150</v>
      </c>
      <c r="G28" s="722"/>
      <c r="H28" s="722"/>
      <c r="I28" s="722"/>
      <c r="J28" s="719"/>
      <c r="K28" s="723"/>
      <c r="L28" s="719"/>
    </row>
    <row r="29" spans="1:12" x14ac:dyDescent="0.3">
      <c r="A29" s="716" t="s">
        <v>50</v>
      </c>
      <c r="B29" s="1001"/>
      <c r="C29" s="1003"/>
      <c r="D29" s="728" t="s">
        <v>1044</v>
      </c>
      <c r="E29" s="802">
        <v>0</v>
      </c>
      <c r="F29" s="730">
        <v>0</v>
      </c>
      <c r="G29" s="722"/>
      <c r="H29" s="722"/>
      <c r="I29" s="722"/>
      <c r="J29" s="719"/>
      <c r="K29" s="723"/>
      <c r="L29" s="719"/>
    </row>
    <row r="30" spans="1:12" x14ac:dyDescent="0.3">
      <c r="A30" s="716" t="s">
        <v>52</v>
      </c>
      <c r="B30" s="1002"/>
      <c r="C30" s="1003"/>
      <c r="D30" s="728" t="s">
        <v>1045</v>
      </c>
      <c r="E30" s="802">
        <v>0</v>
      </c>
      <c r="F30" s="730">
        <v>0</v>
      </c>
      <c r="G30" s="722"/>
      <c r="H30" s="722"/>
      <c r="I30" s="722"/>
      <c r="J30" s="719"/>
      <c r="K30" s="723"/>
      <c r="L30" s="719"/>
    </row>
    <row r="31" spans="1:12" x14ac:dyDescent="0.3">
      <c r="A31" s="716" t="s">
        <v>54</v>
      </c>
      <c r="B31" s="733"/>
      <c r="C31" s="725" t="s">
        <v>989</v>
      </c>
      <c r="D31" s="726" t="s">
        <v>1046</v>
      </c>
      <c r="E31" s="802">
        <v>0</v>
      </c>
      <c r="F31" s="730">
        <v>0</v>
      </c>
      <c r="G31" s="722"/>
      <c r="H31" s="722"/>
      <c r="I31" s="722"/>
      <c r="J31" s="719"/>
      <c r="K31" s="723"/>
      <c r="L31" s="719"/>
    </row>
    <row r="32" spans="1:12" x14ac:dyDescent="0.3">
      <c r="A32" s="716" t="s">
        <v>56</v>
      </c>
      <c r="B32" s="720" t="s">
        <v>899</v>
      </c>
      <c r="C32" s="997" t="s">
        <v>1047</v>
      </c>
      <c r="D32" s="998"/>
      <c r="E32" s="801">
        <f>SUM(E33:E34)</f>
        <v>2031218</v>
      </c>
      <c r="F32" s="721">
        <f>SUM(F33:F34)</f>
        <v>1759200</v>
      </c>
      <c r="G32" s="722"/>
      <c r="H32" s="722"/>
      <c r="I32" s="722"/>
      <c r="J32" s="719"/>
      <c r="K32" s="723"/>
      <c r="L32" s="719"/>
    </row>
    <row r="33" spans="1:12" x14ac:dyDescent="0.3">
      <c r="A33" s="716" t="s">
        <v>57</v>
      </c>
      <c r="B33" s="1005"/>
      <c r="C33" s="725" t="s">
        <v>61</v>
      </c>
      <c r="D33" s="726" t="s">
        <v>921</v>
      </c>
      <c r="E33" s="802">
        <v>2031218</v>
      </c>
      <c r="F33" s="730">
        <v>1759200</v>
      </c>
      <c r="G33" s="722"/>
      <c r="H33" s="722"/>
      <c r="I33" s="722"/>
      <c r="J33" s="719"/>
      <c r="K33" s="723"/>
      <c r="L33" s="719"/>
    </row>
    <row r="34" spans="1:12" x14ac:dyDescent="0.3">
      <c r="A34" s="716" t="s">
        <v>58</v>
      </c>
      <c r="B34" s="1006"/>
      <c r="C34" s="725" t="s">
        <v>62</v>
      </c>
      <c r="D34" s="726" t="s">
        <v>923</v>
      </c>
      <c r="E34" s="802">
        <v>0</v>
      </c>
      <c r="F34" s="730">
        <v>0</v>
      </c>
      <c r="G34" s="722"/>
      <c r="H34" s="722"/>
      <c r="I34" s="722"/>
      <c r="J34" s="719"/>
      <c r="K34" s="723"/>
      <c r="L34" s="719"/>
    </row>
    <row r="35" spans="1:12" x14ac:dyDescent="0.3">
      <c r="A35" s="716" t="s">
        <v>59</v>
      </c>
      <c r="B35" s="720" t="s">
        <v>901</v>
      </c>
      <c r="C35" s="997" t="s">
        <v>1048</v>
      </c>
      <c r="D35" s="998"/>
      <c r="E35" s="801">
        <f>SUM(E36:E40)</f>
        <v>119398491</v>
      </c>
      <c r="F35" s="721">
        <f>SUM(F36:F40)</f>
        <v>184197005</v>
      </c>
      <c r="G35" s="722"/>
      <c r="H35" s="722"/>
      <c r="I35" s="722"/>
      <c r="J35" s="719"/>
      <c r="K35" s="723"/>
      <c r="L35" s="719"/>
    </row>
    <row r="36" spans="1:12" x14ac:dyDescent="0.3">
      <c r="A36" s="716" t="s">
        <v>65</v>
      </c>
      <c r="B36" s="1005"/>
      <c r="C36" s="732" t="s">
        <v>61</v>
      </c>
      <c r="D36" s="728" t="s">
        <v>1049</v>
      </c>
      <c r="E36" s="802">
        <v>0</v>
      </c>
      <c r="F36" s="730">
        <v>0</v>
      </c>
      <c r="G36" s="722"/>
      <c r="H36" s="722"/>
      <c r="I36" s="722"/>
      <c r="J36" s="719"/>
      <c r="K36" s="723"/>
      <c r="L36" s="719"/>
    </row>
    <row r="37" spans="1:12" x14ac:dyDescent="0.3">
      <c r="A37" s="716" t="s">
        <v>78</v>
      </c>
      <c r="B37" s="1006"/>
      <c r="C37" s="732" t="s">
        <v>62</v>
      </c>
      <c r="D37" s="740" t="s">
        <v>1050</v>
      </c>
      <c r="E37" s="802">
        <v>426665</v>
      </c>
      <c r="F37" s="730">
        <f>227325+2615+44895+16060</f>
        <v>290895</v>
      </c>
      <c r="G37" s="722"/>
      <c r="H37" s="722"/>
      <c r="I37" s="722"/>
      <c r="J37" s="719"/>
      <c r="K37" s="723"/>
      <c r="L37" s="719"/>
    </row>
    <row r="38" spans="1:12" x14ac:dyDescent="0.3">
      <c r="A38" s="716" t="s">
        <v>79</v>
      </c>
      <c r="B38" s="1006"/>
      <c r="C38" s="732" t="s">
        <v>64</v>
      </c>
      <c r="D38" s="740" t="s">
        <v>928</v>
      </c>
      <c r="E38" s="802">
        <v>118971826</v>
      </c>
      <c r="F38" s="730">
        <f>178394903+303419+3742506+1465282</f>
        <v>183906110</v>
      </c>
      <c r="G38" s="722"/>
      <c r="H38" s="722"/>
      <c r="I38" s="722"/>
      <c r="J38" s="719"/>
      <c r="K38" s="723"/>
      <c r="L38" s="719"/>
    </row>
    <row r="39" spans="1:12" x14ac:dyDescent="0.3">
      <c r="A39" s="716" t="s">
        <v>80</v>
      </c>
      <c r="B39" s="1006"/>
      <c r="C39" s="732" t="s">
        <v>989</v>
      </c>
      <c r="D39" s="740" t="s">
        <v>1051</v>
      </c>
      <c r="E39" s="802">
        <v>0</v>
      </c>
      <c r="F39" s="730">
        <v>0</v>
      </c>
      <c r="G39" s="722"/>
      <c r="H39" s="722"/>
      <c r="I39" s="722"/>
      <c r="J39" s="719"/>
      <c r="K39" s="723"/>
      <c r="L39" s="719"/>
    </row>
    <row r="40" spans="1:12" x14ac:dyDescent="0.3">
      <c r="A40" s="716" t="s">
        <v>81</v>
      </c>
      <c r="B40" s="1007"/>
      <c r="C40" s="732" t="s">
        <v>1052</v>
      </c>
      <c r="D40" s="740" t="s">
        <v>1053</v>
      </c>
      <c r="E40" s="802">
        <v>0</v>
      </c>
      <c r="F40" s="730">
        <v>0</v>
      </c>
      <c r="G40" s="722"/>
      <c r="H40" s="722"/>
      <c r="I40" s="722"/>
      <c r="J40" s="719"/>
      <c r="K40" s="723"/>
      <c r="L40" s="719"/>
    </row>
    <row r="41" spans="1:12" x14ac:dyDescent="0.3">
      <c r="A41" s="716" t="s">
        <v>82</v>
      </c>
      <c r="B41" s="720" t="s">
        <v>903</v>
      </c>
      <c r="C41" s="997" t="s">
        <v>1054</v>
      </c>
      <c r="D41" s="998"/>
      <c r="E41" s="801">
        <f>SUM(E42+E43+E44)</f>
        <v>28669542</v>
      </c>
      <c r="F41" s="721">
        <f>SUM(F42+F43+F44)</f>
        <v>47068685</v>
      </c>
      <c r="G41" s="722"/>
      <c r="H41" s="722"/>
      <c r="I41" s="722"/>
      <c r="J41" s="719"/>
      <c r="K41" s="723"/>
      <c r="L41" s="719"/>
    </row>
    <row r="42" spans="1:12" x14ac:dyDescent="0.3">
      <c r="A42" s="716" t="s">
        <v>83</v>
      </c>
      <c r="B42" s="999"/>
      <c r="C42" s="732" t="s">
        <v>61</v>
      </c>
      <c r="D42" s="735" t="s">
        <v>933</v>
      </c>
      <c r="E42" s="802">
        <v>28583542</v>
      </c>
      <c r="F42" s="730">
        <f>33489491+2996385</f>
        <v>36485876</v>
      </c>
      <c r="G42" s="722"/>
      <c r="H42" s="722"/>
      <c r="I42" s="722"/>
      <c r="J42" s="719"/>
      <c r="K42" s="723"/>
      <c r="L42" s="719"/>
    </row>
    <row r="43" spans="1:12" x14ac:dyDescent="0.3">
      <c r="A43" s="716" t="s">
        <v>84</v>
      </c>
      <c r="B43" s="1008"/>
      <c r="C43" s="736" t="s">
        <v>62</v>
      </c>
      <c r="D43" s="735" t="s">
        <v>1055</v>
      </c>
      <c r="E43" s="802">
        <v>0</v>
      </c>
      <c r="F43" s="730">
        <v>0</v>
      </c>
      <c r="G43" s="722"/>
      <c r="H43" s="722"/>
      <c r="I43" s="722"/>
      <c r="J43" s="719"/>
      <c r="K43" s="723"/>
      <c r="L43" s="719"/>
    </row>
    <row r="44" spans="1:12" x14ac:dyDescent="0.3">
      <c r="A44" s="716" t="s">
        <v>85</v>
      </c>
      <c r="B44" s="724"/>
      <c r="C44" s="736" t="s">
        <v>64</v>
      </c>
      <c r="D44" s="735" t="s">
        <v>937</v>
      </c>
      <c r="E44" s="802">
        <v>86000</v>
      </c>
      <c r="F44" s="730">
        <f>10377509+205300</f>
        <v>10582809</v>
      </c>
      <c r="G44" s="722"/>
      <c r="H44" s="722"/>
      <c r="I44" s="722"/>
      <c r="J44" s="719"/>
      <c r="K44" s="723"/>
      <c r="L44" s="719"/>
    </row>
    <row r="45" spans="1:12" x14ac:dyDescent="0.3">
      <c r="A45" s="716" t="s">
        <v>86</v>
      </c>
      <c r="B45" s="734" t="s">
        <v>905</v>
      </c>
      <c r="C45" s="997" t="s">
        <v>1056</v>
      </c>
      <c r="D45" s="998"/>
      <c r="E45" s="801">
        <v>-5635482</v>
      </c>
      <c r="F45" s="721">
        <f>-17696040+422136</f>
        <v>-17273904</v>
      </c>
      <c r="G45" s="722"/>
      <c r="H45" s="722"/>
      <c r="I45" s="722"/>
      <c r="J45" s="719"/>
      <c r="K45" s="723"/>
      <c r="L45" s="719"/>
    </row>
    <row r="46" spans="1:12" x14ac:dyDescent="0.3">
      <c r="A46" s="716" t="s">
        <v>87</v>
      </c>
      <c r="B46" s="734" t="s">
        <v>940</v>
      </c>
      <c r="C46" s="997" t="s">
        <v>1057</v>
      </c>
      <c r="D46" s="998"/>
      <c r="E46" s="801">
        <v>0</v>
      </c>
      <c r="F46" s="721">
        <v>0</v>
      </c>
      <c r="G46" s="722"/>
      <c r="H46" s="722"/>
      <c r="I46" s="722"/>
      <c r="J46" s="719"/>
      <c r="K46" s="723"/>
      <c r="L46" s="719"/>
    </row>
    <row r="47" spans="1:12" ht="15.75" thickBot="1" x14ac:dyDescent="0.35">
      <c r="A47" s="716" t="s">
        <v>88</v>
      </c>
      <c r="B47" s="1009" t="s">
        <v>942</v>
      </c>
      <c r="C47" s="1010"/>
      <c r="D47" s="1011"/>
      <c r="E47" s="803">
        <f>E7+E32+E35+E41+E45+E46</f>
        <v>1463993809</v>
      </c>
      <c r="F47" s="737">
        <f>F7+F32+F35+F41+F45+F46</f>
        <v>2112974979</v>
      </c>
      <c r="G47" s="722"/>
      <c r="H47" s="722"/>
      <c r="I47" s="722"/>
      <c r="J47" s="719"/>
      <c r="K47" s="723"/>
      <c r="L47" s="719"/>
    </row>
    <row r="48" spans="1:12" x14ac:dyDescent="0.3">
      <c r="A48" s="738" t="s">
        <v>105</v>
      </c>
      <c r="B48" s="720" t="s">
        <v>956</v>
      </c>
      <c r="C48" s="997" t="s">
        <v>1058</v>
      </c>
      <c r="D48" s="998"/>
      <c r="E48" s="804">
        <f>SUM(E49:E54)</f>
        <v>1396812953</v>
      </c>
      <c r="F48" s="739">
        <f>SUM(F49:F54)</f>
        <v>1996335374</v>
      </c>
    </row>
    <row r="49" spans="1:6" x14ac:dyDescent="0.3">
      <c r="A49" s="738" t="s">
        <v>106</v>
      </c>
      <c r="B49" s="733"/>
      <c r="C49" s="727" t="s">
        <v>61</v>
      </c>
      <c r="D49" s="728" t="s">
        <v>945</v>
      </c>
      <c r="E49" s="805">
        <v>1502518000</v>
      </c>
      <c r="F49" s="741">
        <v>1502518000</v>
      </c>
    </row>
    <row r="50" spans="1:6" x14ac:dyDescent="0.3">
      <c r="A50" s="738" t="s">
        <v>89</v>
      </c>
      <c r="B50" s="733"/>
      <c r="C50" s="727" t="s">
        <v>62</v>
      </c>
      <c r="D50" s="728" t="s">
        <v>1059</v>
      </c>
      <c r="E50" s="805">
        <v>-17473937</v>
      </c>
      <c r="F50" s="741">
        <f>313719570-1774500</f>
        <v>311945070</v>
      </c>
    </row>
    <row r="51" spans="1:6" x14ac:dyDescent="0.3">
      <c r="A51" s="738" t="s">
        <v>90</v>
      </c>
      <c r="B51" s="733"/>
      <c r="C51" s="727" t="s">
        <v>64</v>
      </c>
      <c r="D51" s="728" t="s">
        <v>1060</v>
      </c>
      <c r="E51" s="805">
        <v>18450000</v>
      </c>
      <c r="F51" s="741">
        <f>18320000+105000+25000</f>
        <v>18450000</v>
      </c>
    </row>
    <row r="52" spans="1:6" x14ac:dyDescent="0.3">
      <c r="A52" s="738" t="s">
        <v>91</v>
      </c>
      <c r="B52" s="733"/>
      <c r="C52" s="727" t="s">
        <v>989</v>
      </c>
      <c r="D52" s="728" t="s">
        <v>1061</v>
      </c>
      <c r="E52" s="805">
        <v>-136581740</v>
      </c>
      <c r="F52" s="741">
        <f>233851297+2669311-2169522-916965</f>
        <v>233434121</v>
      </c>
    </row>
    <row r="53" spans="1:6" x14ac:dyDescent="0.3">
      <c r="A53" s="738" t="s">
        <v>92</v>
      </c>
      <c r="B53" s="733"/>
      <c r="C53" s="727" t="s">
        <v>1052</v>
      </c>
      <c r="D53" s="728" t="s">
        <v>1062</v>
      </c>
      <c r="E53" s="805">
        <v>0</v>
      </c>
      <c r="F53" s="741">
        <v>0</v>
      </c>
    </row>
    <row r="54" spans="1:6" x14ac:dyDescent="0.3">
      <c r="A54" s="738" t="s">
        <v>107</v>
      </c>
      <c r="B54" s="733"/>
      <c r="C54" s="727" t="s">
        <v>996</v>
      </c>
      <c r="D54" s="728" t="s">
        <v>1063</v>
      </c>
      <c r="E54" s="805">
        <v>29900630</v>
      </c>
      <c r="F54" s="741">
        <f>-72489980+426419+2582324-530580</f>
        <v>-70011817</v>
      </c>
    </row>
    <row r="55" spans="1:6" x14ac:dyDescent="0.3">
      <c r="A55" s="738" t="s">
        <v>108</v>
      </c>
      <c r="B55" s="720" t="s">
        <v>968</v>
      </c>
      <c r="C55" s="997" t="s">
        <v>1064</v>
      </c>
      <c r="D55" s="998"/>
      <c r="E55" s="806">
        <f>SUM(E56+E57+E58+E59)</f>
        <v>7805372</v>
      </c>
      <c r="F55" s="742">
        <f>SUM(F56+F57+F58+F59)</f>
        <v>9898671</v>
      </c>
    </row>
    <row r="56" spans="1:6" x14ac:dyDescent="0.3">
      <c r="A56" s="738" t="s">
        <v>109</v>
      </c>
      <c r="B56" s="733"/>
      <c r="C56" s="743" t="s">
        <v>61</v>
      </c>
      <c r="D56" s="728" t="s">
        <v>959</v>
      </c>
      <c r="E56" s="805">
        <v>0</v>
      </c>
      <c r="F56" s="741">
        <f>300468+15640+319993</f>
        <v>636101</v>
      </c>
    </row>
    <row r="57" spans="1:6" x14ac:dyDescent="0.3">
      <c r="A57" s="738" t="s">
        <v>110</v>
      </c>
      <c r="B57" s="733"/>
      <c r="C57" s="743" t="s">
        <v>62</v>
      </c>
      <c r="D57" s="728" t="s">
        <v>961</v>
      </c>
      <c r="E57" s="805">
        <v>6256872</v>
      </c>
      <c r="F57" s="741">
        <f>8262772</f>
        <v>8262772</v>
      </c>
    </row>
    <row r="58" spans="1:6" x14ac:dyDescent="0.3">
      <c r="A58" s="738" t="s">
        <v>113</v>
      </c>
      <c r="B58" s="733"/>
      <c r="C58" s="743" t="s">
        <v>1065</v>
      </c>
      <c r="D58" s="728" t="s">
        <v>963</v>
      </c>
      <c r="E58" s="805">
        <v>1548500</v>
      </c>
      <c r="F58" s="741">
        <v>999798</v>
      </c>
    </row>
    <row r="59" spans="1:6" x14ac:dyDescent="0.3">
      <c r="A59" s="738" t="s">
        <v>114</v>
      </c>
      <c r="B59" s="733"/>
      <c r="C59" s="727" t="s">
        <v>1066</v>
      </c>
      <c r="D59" s="744" t="s">
        <v>1067</v>
      </c>
      <c r="E59" s="805">
        <v>0</v>
      </c>
      <c r="F59" s="741">
        <v>0</v>
      </c>
    </row>
    <row r="60" spans="1:6" x14ac:dyDescent="0.3">
      <c r="A60" s="738" t="s">
        <v>115</v>
      </c>
      <c r="B60" s="720" t="s">
        <v>970</v>
      </c>
      <c r="C60" s="997" t="s">
        <v>1068</v>
      </c>
      <c r="D60" s="998"/>
      <c r="E60" s="805">
        <v>0</v>
      </c>
      <c r="F60" s="741">
        <v>0</v>
      </c>
    </row>
    <row r="61" spans="1:6" x14ac:dyDescent="0.3">
      <c r="A61" s="738" t="s">
        <v>116</v>
      </c>
      <c r="B61" s="720" t="s">
        <v>972</v>
      </c>
      <c r="C61" s="997" t="s">
        <v>1069</v>
      </c>
      <c r="D61" s="998"/>
      <c r="E61" s="805">
        <v>0</v>
      </c>
      <c r="F61" s="741">
        <v>0</v>
      </c>
    </row>
    <row r="62" spans="1:6" x14ac:dyDescent="0.3">
      <c r="A62" s="738" t="s">
        <v>117</v>
      </c>
      <c r="B62" s="720" t="s">
        <v>974</v>
      </c>
      <c r="C62" s="997" t="s">
        <v>1070</v>
      </c>
      <c r="D62" s="998"/>
      <c r="E62" s="806">
        <v>59375484</v>
      </c>
      <c r="F62" s="742">
        <f>95530822+2882187+3913104+4414821</f>
        <v>106740934</v>
      </c>
    </row>
    <row r="63" spans="1:6" ht="15.75" thickBot="1" x14ac:dyDescent="0.35">
      <c r="A63" s="738" t="s">
        <v>118</v>
      </c>
      <c r="B63" s="1009" t="s">
        <v>976</v>
      </c>
      <c r="C63" s="1010"/>
      <c r="D63" s="1011"/>
      <c r="E63" s="807">
        <f>E48+E55+E62</f>
        <v>1463993809</v>
      </c>
      <c r="F63" s="745">
        <f>F48+F55+F62</f>
        <v>2112974979</v>
      </c>
    </row>
    <row r="64" spans="1:6" x14ac:dyDescent="0.3">
      <c r="A64" s="746"/>
      <c r="B64" s="746"/>
      <c r="C64" s="746"/>
      <c r="D64" s="747"/>
      <c r="E64" s="748"/>
      <c r="F64" s="748"/>
    </row>
    <row r="66" spans="1:6" x14ac:dyDescent="0.3">
      <c r="A66" s="1012" t="s">
        <v>1071</v>
      </c>
      <c r="B66" s="1012"/>
      <c r="C66" s="1012"/>
      <c r="D66" s="1012"/>
      <c r="E66" s="1012"/>
      <c r="F66" s="1012"/>
    </row>
    <row r="67" spans="1:6" x14ac:dyDescent="0.3">
      <c r="A67" s="749"/>
      <c r="B67" s="750"/>
      <c r="C67" s="750"/>
      <c r="D67" s="714"/>
      <c r="E67" s="714"/>
      <c r="F67" s="714"/>
    </row>
    <row r="68" spans="1:6" x14ac:dyDescent="0.3">
      <c r="A68" s="1012" t="s">
        <v>1072</v>
      </c>
      <c r="B68" s="1012"/>
      <c r="C68" s="1012"/>
      <c r="D68" s="1012"/>
      <c r="E68" s="1012"/>
      <c r="F68" s="1012"/>
    </row>
    <row r="69" spans="1:6" ht="15.75" thickBot="1" x14ac:dyDescent="0.35">
      <c r="A69" s="751"/>
      <c r="B69" s="752"/>
      <c r="C69" s="752"/>
      <c r="D69" s="752"/>
      <c r="E69" s="753"/>
      <c r="F69" s="753" t="s">
        <v>859</v>
      </c>
    </row>
    <row r="70" spans="1:6" ht="52.5" customHeight="1" x14ac:dyDescent="0.3">
      <c r="A70" s="754"/>
      <c r="B70" s="1014" t="s">
        <v>1</v>
      </c>
      <c r="C70" s="1015"/>
      <c r="D70" s="1016"/>
      <c r="E70" s="689" t="s">
        <v>1024</v>
      </c>
      <c r="F70" s="717" t="s">
        <v>1025</v>
      </c>
    </row>
    <row r="71" spans="1:6" x14ac:dyDescent="0.3">
      <c r="A71" s="755" t="s">
        <v>119</v>
      </c>
      <c r="B71" s="1017" t="s">
        <v>1073</v>
      </c>
      <c r="C71" s="1018"/>
      <c r="D71" s="1018"/>
      <c r="E71" s="729">
        <v>98772410</v>
      </c>
      <c r="F71" s="730">
        <f>97901038+770867+1884249+620525</f>
        <v>101176679</v>
      </c>
    </row>
    <row r="72" spans="1:6" ht="32.25" customHeight="1" x14ac:dyDescent="0.3">
      <c r="A72" s="755" t="s">
        <v>120</v>
      </c>
      <c r="B72" s="1019" t="s">
        <v>1074</v>
      </c>
      <c r="C72" s="1020"/>
      <c r="D72" s="1021"/>
      <c r="E72" s="740">
        <v>359526547</v>
      </c>
      <c r="F72" s="741">
        <v>359526547</v>
      </c>
    </row>
    <row r="73" spans="1:6" x14ac:dyDescent="0.3">
      <c r="A73" s="755" t="s">
        <v>121</v>
      </c>
      <c r="B73" s="1022" t="s">
        <v>1075</v>
      </c>
      <c r="C73" s="1023"/>
      <c r="D73" s="1023"/>
      <c r="E73" s="729">
        <v>0</v>
      </c>
      <c r="F73" s="756">
        <v>0</v>
      </c>
    </row>
    <row r="74" spans="1:6" x14ac:dyDescent="0.3">
      <c r="A74" s="755" t="s">
        <v>122</v>
      </c>
      <c r="B74" s="757"/>
      <c r="C74" s="1024" t="s">
        <v>1076</v>
      </c>
      <c r="D74" s="1024"/>
      <c r="E74" s="729">
        <v>0</v>
      </c>
      <c r="F74" s="730">
        <v>0</v>
      </c>
    </row>
    <row r="75" spans="1:6" x14ac:dyDescent="0.3">
      <c r="A75" s="755" t="s">
        <v>123</v>
      </c>
      <c r="B75" s="757"/>
      <c r="C75" s="1024" t="s">
        <v>1077</v>
      </c>
      <c r="D75" s="1024"/>
      <c r="E75" s="729">
        <v>0</v>
      </c>
      <c r="F75" s="730">
        <v>0</v>
      </c>
    </row>
    <row r="76" spans="1:6" x14ac:dyDescent="0.3">
      <c r="A76" s="755" t="s">
        <v>124</v>
      </c>
      <c r="B76" s="757"/>
      <c r="C76" s="1024" t="s">
        <v>1078</v>
      </c>
      <c r="D76" s="1024"/>
      <c r="E76" s="729">
        <v>0</v>
      </c>
      <c r="F76" s="730">
        <v>0</v>
      </c>
    </row>
    <row r="77" spans="1:6" x14ac:dyDescent="0.3">
      <c r="A77" s="755" t="s">
        <v>125</v>
      </c>
      <c r="B77" s="757"/>
      <c r="C77" s="1024" t="s">
        <v>1079</v>
      </c>
      <c r="D77" s="1024"/>
      <c r="E77" s="729">
        <v>0</v>
      </c>
      <c r="F77" s="730">
        <v>0</v>
      </c>
    </row>
    <row r="78" spans="1:6" ht="15.75" thickBot="1" x14ac:dyDescent="0.35">
      <c r="A78" s="755" t="s">
        <v>421</v>
      </c>
      <c r="B78" s="758"/>
      <c r="C78" s="1030" t="s">
        <v>1080</v>
      </c>
      <c r="D78" s="1030"/>
      <c r="E78" s="759">
        <v>0</v>
      </c>
      <c r="F78" s="760">
        <v>0</v>
      </c>
    </row>
    <row r="79" spans="1:6" x14ac:dyDescent="0.3">
      <c r="A79" s="751"/>
      <c r="B79" s="751"/>
      <c r="C79" s="1031"/>
      <c r="D79" s="1031"/>
      <c r="E79" s="761"/>
      <c r="F79" s="761"/>
    </row>
    <row r="80" spans="1:6" x14ac:dyDescent="0.3">
      <c r="A80" s="751"/>
      <c r="B80" s="1013" t="s">
        <v>1081</v>
      </c>
      <c r="C80" s="1013"/>
      <c r="D80" s="1013"/>
      <c r="E80" s="761"/>
      <c r="F80" s="761"/>
    </row>
    <row r="81" spans="1:6" ht="15.75" thickBot="1" x14ac:dyDescent="0.35">
      <c r="A81" s="751"/>
      <c r="B81" s="751"/>
      <c r="C81" s="1025"/>
      <c r="D81" s="1025"/>
      <c r="E81" s="762"/>
      <c r="F81" s="762" t="s">
        <v>859</v>
      </c>
    </row>
    <row r="82" spans="1:6" x14ac:dyDescent="0.3">
      <c r="A82" s="763" t="s">
        <v>424</v>
      </c>
      <c r="B82" s="764"/>
      <c r="C82" s="1026" t="s">
        <v>1082</v>
      </c>
      <c r="D82" s="1026"/>
      <c r="E82" s="765">
        <v>0</v>
      </c>
      <c r="F82" s="766">
        <v>0</v>
      </c>
    </row>
    <row r="83" spans="1:6" x14ac:dyDescent="0.3">
      <c r="A83" s="763" t="s">
        <v>427</v>
      </c>
      <c r="B83" s="767"/>
      <c r="C83" s="1027" t="s">
        <v>1083</v>
      </c>
      <c r="D83" s="1027"/>
      <c r="E83" s="768">
        <v>0</v>
      </c>
      <c r="F83" s="769">
        <v>0</v>
      </c>
    </row>
    <row r="84" spans="1:6" x14ac:dyDescent="0.3">
      <c r="A84" s="763" t="s">
        <v>430</v>
      </c>
      <c r="B84" s="767"/>
      <c r="C84" s="1028" t="s">
        <v>1084</v>
      </c>
      <c r="D84" s="1028"/>
      <c r="E84" s="768">
        <v>0</v>
      </c>
      <c r="F84" s="769">
        <v>0</v>
      </c>
    </row>
    <row r="85" spans="1:6" ht="15.75" thickBot="1" x14ac:dyDescent="0.35">
      <c r="A85" s="763" t="s">
        <v>433</v>
      </c>
      <c r="B85" s="770"/>
      <c r="C85" s="1029" t="s">
        <v>1085</v>
      </c>
      <c r="D85" s="1029"/>
      <c r="E85" s="771">
        <v>0</v>
      </c>
      <c r="F85" s="772">
        <v>0</v>
      </c>
    </row>
    <row r="86" spans="1:6" x14ac:dyDescent="0.3">
      <c r="A86" s="773"/>
      <c r="B86" s="774"/>
      <c r="C86" s="774"/>
    </row>
    <row r="87" spans="1:6" x14ac:dyDescent="0.3">
      <c r="A87" s="775"/>
      <c r="B87" s="774"/>
      <c r="C87" s="774"/>
    </row>
    <row r="88" spans="1:6" x14ac:dyDescent="0.3">
      <c r="A88" s="775"/>
      <c r="B88" s="774"/>
      <c r="C88" s="774"/>
    </row>
    <row r="89" spans="1:6" x14ac:dyDescent="0.3">
      <c r="A89" s="775"/>
      <c r="B89" s="774"/>
      <c r="C89" s="774"/>
    </row>
  </sheetData>
  <mergeCells count="42">
    <mergeCell ref="C81:D81"/>
    <mergeCell ref="C82:D82"/>
    <mergeCell ref="C83:D83"/>
    <mergeCell ref="C84:D84"/>
    <mergeCell ref="C85:D85"/>
    <mergeCell ref="C75:D75"/>
    <mergeCell ref="C76:D76"/>
    <mergeCell ref="C77:D77"/>
    <mergeCell ref="C78:D78"/>
    <mergeCell ref="C79:D79"/>
    <mergeCell ref="B80:D80"/>
    <mergeCell ref="A68:F68"/>
    <mergeCell ref="B70:D70"/>
    <mergeCell ref="B71:D71"/>
    <mergeCell ref="B72:D72"/>
    <mergeCell ref="B73:D73"/>
    <mergeCell ref="C74:D74"/>
    <mergeCell ref="C55:D55"/>
    <mergeCell ref="C60:D60"/>
    <mergeCell ref="C61:D61"/>
    <mergeCell ref="C62:D62"/>
    <mergeCell ref="B63:D63"/>
    <mergeCell ref="A66:F66"/>
    <mergeCell ref="C41:D41"/>
    <mergeCell ref="B42:B43"/>
    <mergeCell ref="C45:D45"/>
    <mergeCell ref="C46:D46"/>
    <mergeCell ref="B47:D47"/>
    <mergeCell ref="C48:D48"/>
    <mergeCell ref="B28:B30"/>
    <mergeCell ref="C28:C30"/>
    <mergeCell ref="C32:D32"/>
    <mergeCell ref="B33:B34"/>
    <mergeCell ref="C35:D35"/>
    <mergeCell ref="B36:B40"/>
    <mergeCell ref="D1:E1"/>
    <mergeCell ref="A3:F3"/>
    <mergeCell ref="A4:F4"/>
    <mergeCell ref="B6:D6"/>
    <mergeCell ref="C7:D7"/>
    <mergeCell ref="B8:B26"/>
    <mergeCell ref="C10:C2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7" orientation="portrait" r:id="rId1"/>
  <headerFooter alignWithMargins="0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zoomScaleSheetLayoutView="75" workbookViewId="0">
      <selection activeCell="A5" sqref="A5"/>
    </sheetView>
  </sheetViews>
  <sheetFormatPr defaultRowHeight="18" customHeight="1" x14ac:dyDescent="0.2"/>
  <cols>
    <col min="1" max="1" width="4.42578125" style="778" customWidth="1"/>
    <col min="2" max="2" width="61.28515625" style="778" customWidth="1"/>
    <col min="3" max="3" width="23.140625" style="778" customWidth="1"/>
    <col min="4" max="4" width="15.7109375" style="778" customWidth="1"/>
    <col min="5" max="16384" width="9.140625" style="778"/>
  </cols>
  <sheetData>
    <row r="1" spans="1:9" ht="18" customHeight="1" x14ac:dyDescent="0.2">
      <c r="A1" s="991" t="s">
        <v>1086</v>
      </c>
      <c r="B1" s="991"/>
      <c r="C1" s="991"/>
      <c r="D1" s="991"/>
    </row>
    <row r="2" spans="1:9" ht="18" customHeight="1" x14ac:dyDescent="0.3">
      <c r="A2" s="779"/>
      <c r="B2" s="779"/>
      <c r="C2" s="779"/>
      <c r="D2" s="779"/>
    </row>
    <row r="3" spans="1:9" ht="15.75" x14ac:dyDescent="0.25">
      <c r="A3" s="1032" t="s">
        <v>1087</v>
      </c>
      <c r="B3" s="1032"/>
      <c r="C3" s="1032"/>
      <c r="D3" s="1032"/>
      <c r="E3" s="1033"/>
      <c r="F3" s="1033"/>
      <c r="G3" s="1033"/>
      <c r="H3" s="1033"/>
      <c r="I3" s="1033"/>
    </row>
    <row r="4" spans="1:9" ht="18" customHeight="1" x14ac:dyDescent="0.25">
      <c r="A4" s="1032" t="s">
        <v>1102</v>
      </c>
      <c r="B4" s="1032"/>
      <c r="C4" s="1032"/>
      <c r="D4" s="1032"/>
      <c r="E4" s="1034"/>
      <c r="F4" s="1034"/>
      <c r="G4" s="1034"/>
      <c r="H4" s="1034"/>
      <c r="I4" s="1034"/>
    </row>
    <row r="5" spans="1:9" ht="18" customHeight="1" x14ac:dyDescent="0.2">
      <c r="A5" s="780"/>
      <c r="B5" s="780"/>
      <c r="C5" s="780"/>
      <c r="D5" s="780"/>
    </row>
    <row r="6" spans="1:9" ht="18" customHeight="1" x14ac:dyDescent="0.3">
      <c r="A6" s="779"/>
      <c r="B6" s="779"/>
      <c r="C6" s="779"/>
      <c r="D6" s="781" t="s">
        <v>859</v>
      </c>
      <c r="E6" s="782"/>
      <c r="F6" s="782"/>
      <c r="G6" s="782"/>
      <c r="H6" s="782"/>
    </row>
    <row r="7" spans="1:9" ht="18" customHeight="1" thickBot="1" x14ac:dyDescent="0.35">
      <c r="A7" s="783"/>
      <c r="B7" s="783"/>
      <c r="C7" s="784"/>
      <c r="D7" s="783"/>
    </row>
    <row r="8" spans="1:9" ht="72" customHeight="1" x14ac:dyDescent="0.3">
      <c r="A8" s="785"/>
      <c r="B8" s="786" t="s">
        <v>1088</v>
      </c>
      <c r="C8" s="787" t="s">
        <v>1089</v>
      </c>
      <c r="D8" s="788" t="s">
        <v>1090</v>
      </c>
    </row>
    <row r="9" spans="1:9" ht="21.95" customHeight="1" x14ac:dyDescent="0.3">
      <c r="A9" s="789" t="s">
        <v>0</v>
      </c>
      <c r="B9" s="790" t="s">
        <v>1091</v>
      </c>
      <c r="C9" s="791">
        <v>14801150</v>
      </c>
      <c r="D9" s="792" t="s">
        <v>1092</v>
      </c>
    </row>
    <row r="10" spans="1:9" ht="21.95" customHeight="1" x14ac:dyDescent="0.3">
      <c r="A10" s="789" t="s">
        <v>6</v>
      </c>
      <c r="B10" s="793" t="s">
        <v>1093</v>
      </c>
      <c r="C10" s="794">
        <v>22000000</v>
      </c>
      <c r="D10" s="792" t="s">
        <v>1092</v>
      </c>
    </row>
    <row r="11" spans="1:9" ht="21.95" customHeight="1" thickBot="1" x14ac:dyDescent="0.35">
      <c r="A11" s="789" t="s">
        <v>14</v>
      </c>
      <c r="B11" s="793" t="s">
        <v>1094</v>
      </c>
      <c r="C11" s="794">
        <v>3000000</v>
      </c>
      <c r="D11" s="795" t="s">
        <v>1092</v>
      </c>
    </row>
    <row r="12" spans="1:9" ht="21.95" customHeight="1" thickBot="1" x14ac:dyDescent="0.35">
      <c r="A12" s="796"/>
      <c r="B12" s="797" t="s">
        <v>94</v>
      </c>
      <c r="C12" s="798">
        <f>SUM(C9:C11)</f>
        <v>39801150</v>
      </c>
      <c r="D12" s="799"/>
    </row>
    <row r="13" spans="1:9" ht="18" customHeight="1" x14ac:dyDescent="0.2">
      <c r="A13" s="800"/>
      <c r="B13" s="800"/>
      <c r="C13" s="800"/>
      <c r="D13" s="800"/>
    </row>
    <row r="14" spans="1:9" ht="18" customHeight="1" x14ac:dyDescent="0.2">
      <c r="A14" s="800"/>
      <c r="B14" s="800"/>
      <c r="C14" s="800"/>
      <c r="D14" s="800"/>
    </row>
    <row r="15" spans="1:9" ht="18" customHeight="1" x14ac:dyDescent="0.2">
      <c r="A15" s="800"/>
      <c r="B15" s="800"/>
      <c r="C15" s="800"/>
      <c r="D15" s="800"/>
    </row>
    <row r="16" spans="1:9" ht="18" customHeight="1" x14ac:dyDescent="0.2">
      <c r="A16" s="800"/>
      <c r="B16" s="800"/>
      <c r="C16" s="800"/>
      <c r="D16" s="800"/>
    </row>
    <row r="17" spans="1:4" ht="18" customHeight="1" x14ac:dyDescent="0.2">
      <c r="A17" s="800"/>
      <c r="B17" s="800"/>
      <c r="C17" s="800"/>
      <c r="D17" s="800"/>
    </row>
  </sheetData>
  <mergeCells count="5">
    <mergeCell ref="A1:D1"/>
    <mergeCell ref="A3:D3"/>
    <mergeCell ref="E3:I3"/>
    <mergeCell ref="A4:D4"/>
    <mergeCell ref="E4:I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view="pageBreakPreview" topLeftCell="A16" zoomScale="80" zoomScaleNormal="100" workbookViewId="0">
      <selection activeCell="I18" sqref="I18"/>
    </sheetView>
  </sheetViews>
  <sheetFormatPr defaultRowHeight="15" x14ac:dyDescent="0.2"/>
  <cols>
    <col min="1" max="1" width="4.85546875" style="197" customWidth="1"/>
    <col min="2" max="2" width="48.85546875" style="16" customWidth="1"/>
    <col min="3" max="7" width="16.7109375" style="16" customWidth="1"/>
    <col min="8" max="16384" width="9.140625" style="16"/>
  </cols>
  <sheetData>
    <row r="1" spans="1:13" x14ac:dyDescent="0.2">
      <c r="C1" s="199" t="s">
        <v>1099</v>
      </c>
      <c r="D1" s="199"/>
      <c r="E1" s="199"/>
    </row>
    <row r="3" spans="1:13" ht="18" x14ac:dyDescent="0.2">
      <c r="A3" s="1036" t="s">
        <v>1100</v>
      </c>
      <c r="B3" s="1036"/>
      <c r="C3" s="1036"/>
      <c r="D3" s="1036"/>
      <c r="E3" s="1036"/>
      <c r="F3" s="1036"/>
      <c r="G3" s="198"/>
    </row>
    <row r="4" spans="1:13" ht="18" x14ac:dyDescent="0.2">
      <c r="A4" s="283"/>
      <c r="B4" s="1035" t="s">
        <v>96</v>
      </c>
      <c r="C4" s="1035"/>
      <c r="D4" s="1035"/>
      <c r="E4" s="1035"/>
      <c r="F4" s="1035"/>
      <c r="H4" s="67"/>
      <c r="I4" s="67"/>
      <c r="J4" s="67"/>
      <c r="K4" s="67"/>
      <c r="L4" s="67"/>
      <c r="M4" s="67"/>
    </row>
    <row r="5" spans="1:13" ht="18" x14ac:dyDescent="0.2">
      <c r="A5" s="283"/>
      <c r="B5" s="224"/>
      <c r="C5" s="1035"/>
      <c r="D5" s="1035"/>
      <c r="E5" s="224"/>
      <c r="F5" s="224"/>
      <c r="H5" s="67"/>
      <c r="I5" s="67"/>
      <c r="J5" s="67"/>
      <c r="K5" s="67"/>
      <c r="L5" s="67"/>
      <c r="M5" s="67"/>
    </row>
    <row r="6" spans="1:13" ht="18" x14ac:dyDescent="0.2">
      <c r="A6" s="283"/>
      <c r="B6" s="1035" t="s">
        <v>580</v>
      </c>
      <c r="C6" s="1035"/>
      <c r="D6" s="1035"/>
      <c r="E6" s="1035"/>
      <c r="F6" s="1035"/>
    </row>
    <row r="7" spans="1:13" ht="18" x14ac:dyDescent="0.2">
      <c r="A7" s="283"/>
      <c r="B7" s="224"/>
      <c r="C7" s="224"/>
      <c r="D7" s="224"/>
      <c r="E7" s="224"/>
      <c r="F7" s="224"/>
    </row>
    <row r="8" spans="1:13" ht="15.75" thickBot="1" x14ac:dyDescent="0.25">
      <c r="C8" s="201"/>
      <c r="D8" s="201"/>
      <c r="E8" s="201"/>
      <c r="F8" s="201"/>
      <c r="G8" s="16" t="s">
        <v>581</v>
      </c>
    </row>
    <row r="9" spans="1:13" ht="36" customHeight="1" thickBot="1" x14ac:dyDescent="0.25">
      <c r="A9" s="313" t="s">
        <v>0</v>
      </c>
      <c r="B9" s="314" t="s">
        <v>653</v>
      </c>
      <c r="C9" s="315" t="s">
        <v>552</v>
      </c>
      <c r="D9" s="316" t="s">
        <v>611</v>
      </c>
      <c r="E9" s="316" t="s">
        <v>629</v>
      </c>
      <c r="F9" s="316" t="s">
        <v>645</v>
      </c>
      <c r="G9" s="317" t="s">
        <v>827</v>
      </c>
    </row>
    <row r="10" spans="1:13" x14ac:dyDescent="0.2">
      <c r="A10" s="318" t="s">
        <v>6</v>
      </c>
      <c r="B10" s="319" t="s">
        <v>654</v>
      </c>
      <c r="C10" s="351">
        <f>'18.m. Önk. rovat+cofog'!F29+'18.m. Önk. rovat+cofog'!F30+'18.m. Önk. rovat+cofog'!F32</f>
        <v>77267103</v>
      </c>
      <c r="D10" s="348">
        <f>'1.m. kiemelt bev.'!F15-300000</f>
        <v>81514470</v>
      </c>
      <c r="E10" s="348">
        <f>'1.m. kiemelt bev.'!F15-300000</f>
        <v>81514470</v>
      </c>
      <c r="F10" s="348">
        <f>'1.m. kiemelt bev.'!F15-300000</f>
        <v>81514470</v>
      </c>
      <c r="G10" s="352">
        <f>64900000-300000</f>
        <v>64600000</v>
      </c>
    </row>
    <row r="11" spans="1:13" ht="45" x14ac:dyDescent="0.2">
      <c r="A11" s="318" t="s">
        <v>14</v>
      </c>
      <c r="B11" s="320" t="s">
        <v>655</v>
      </c>
      <c r="C11" s="353">
        <v>0</v>
      </c>
      <c r="D11" s="321">
        <v>0</v>
      </c>
      <c r="E11" s="321">
        <v>0</v>
      </c>
      <c r="F11" s="321">
        <v>0</v>
      </c>
      <c r="G11" s="322">
        <v>0</v>
      </c>
    </row>
    <row r="12" spans="1:13" x14ac:dyDescent="0.2">
      <c r="A12" s="318" t="s">
        <v>17</v>
      </c>
      <c r="B12" s="320" t="s">
        <v>656</v>
      </c>
      <c r="C12" s="353">
        <v>0</v>
      </c>
      <c r="D12" s="321">
        <v>0</v>
      </c>
      <c r="E12" s="321">
        <v>0</v>
      </c>
      <c r="F12" s="321">
        <v>0</v>
      </c>
      <c r="G12" s="322">
        <v>0</v>
      </c>
    </row>
    <row r="13" spans="1:13" ht="45" x14ac:dyDescent="0.2">
      <c r="A13" s="318" t="s">
        <v>33</v>
      </c>
      <c r="B13" s="320" t="s">
        <v>657</v>
      </c>
      <c r="C13" s="353">
        <v>0</v>
      </c>
      <c r="D13" s="321">
        <v>0</v>
      </c>
      <c r="E13" s="321">
        <v>0</v>
      </c>
      <c r="F13" s="321">
        <v>0</v>
      </c>
      <c r="G13" s="322">
        <v>0</v>
      </c>
    </row>
    <row r="14" spans="1:13" x14ac:dyDescent="0.2">
      <c r="A14" s="318" t="s">
        <v>35</v>
      </c>
      <c r="B14" s="320" t="s">
        <v>658</v>
      </c>
      <c r="C14" s="358">
        <f>'18.m. Önk. rovat+cofog'!F33</f>
        <v>171815</v>
      </c>
      <c r="D14" s="350">
        <v>300000</v>
      </c>
      <c r="E14" s="350">
        <v>300000</v>
      </c>
      <c r="F14" s="350">
        <v>300000</v>
      </c>
      <c r="G14" s="357">
        <v>300000</v>
      </c>
    </row>
    <row r="15" spans="1:13" ht="15.75" thickBot="1" x14ac:dyDescent="0.25">
      <c r="A15" s="318" t="s">
        <v>30</v>
      </c>
      <c r="B15" s="323" t="s">
        <v>659</v>
      </c>
      <c r="C15" s="354">
        <v>0</v>
      </c>
      <c r="D15" s="355">
        <v>0</v>
      </c>
      <c r="E15" s="355">
        <v>0</v>
      </c>
      <c r="F15" s="355">
        <v>0</v>
      </c>
      <c r="G15" s="356">
        <v>0</v>
      </c>
    </row>
    <row r="16" spans="1:13" ht="15.75" thickBot="1" x14ac:dyDescent="0.25">
      <c r="A16" s="324" t="s">
        <v>18</v>
      </c>
      <c r="B16" s="314" t="s">
        <v>94</v>
      </c>
      <c r="C16" s="325">
        <f>SUM(C10:C15)</f>
        <v>77438918</v>
      </c>
      <c r="D16" s="326">
        <f>SUM(D10:D15)</f>
        <v>81814470</v>
      </c>
      <c r="E16" s="326">
        <f>SUM(E10:E15)</f>
        <v>81814470</v>
      </c>
      <c r="F16" s="326">
        <f>SUM(F10:F15)</f>
        <v>81814470</v>
      </c>
      <c r="G16" s="327">
        <f>SUM(G10:G15)</f>
        <v>64900000</v>
      </c>
    </row>
    <row r="17" spans="1:7" x14ac:dyDescent="0.2">
      <c r="A17" s="328"/>
      <c r="B17" s="329"/>
      <c r="C17" s="330"/>
      <c r="D17" s="331"/>
      <c r="E17" s="331"/>
      <c r="F17" s="331"/>
      <c r="G17" s="331"/>
    </row>
    <row r="18" spans="1:7" ht="15.75" thickBot="1" x14ac:dyDescent="0.25">
      <c r="A18" s="328"/>
      <c r="B18" s="331"/>
      <c r="C18" s="331"/>
      <c r="D18" s="331"/>
      <c r="E18" s="331"/>
      <c r="F18" s="331"/>
      <c r="G18" s="331"/>
    </row>
    <row r="19" spans="1:7" ht="15.75" thickBot="1" x14ac:dyDescent="0.25">
      <c r="A19" s="313" t="s">
        <v>19</v>
      </c>
      <c r="B19" s="332" t="s">
        <v>660</v>
      </c>
      <c r="C19" s="333" t="s">
        <v>552</v>
      </c>
      <c r="D19" s="334" t="s">
        <v>611</v>
      </c>
      <c r="E19" s="334" t="s">
        <v>629</v>
      </c>
      <c r="F19" s="334" t="s">
        <v>645</v>
      </c>
      <c r="G19" s="335" t="s">
        <v>827</v>
      </c>
    </row>
    <row r="20" spans="1:7" ht="31.5" customHeight="1" x14ac:dyDescent="0.2">
      <c r="A20" s="318" t="s">
        <v>20</v>
      </c>
      <c r="B20" s="336" t="s">
        <v>661</v>
      </c>
      <c r="C20" s="337">
        <v>0</v>
      </c>
      <c r="D20" s="338">
        <v>0</v>
      </c>
      <c r="E20" s="338">
        <v>0</v>
      </c>
      <c r="F20" s="338">
        <v>0</v>
      </c>
      <c r="G20" s="339">
        <v>0</v>
      </c>
    </row>
    <row r="21" spans="1:7" x14ac:dyDescent="0.2">
      <c r="A21" s="340" t="s">
        <v>21</v>
      </c>
      <c r="B21" s="336" t="s">
        <v>662</v>
      </c>
      <c r="C21" s="337">
        <v>0</v>
      </c>
      <c r="D21" s="338">
        <v>0</v>
      </c>
      <c r="E21" s="338">
        <v>0</v>
      </c>
      <c r="F21" s="338">
        <v>0</v>
      </c>
      <c r="G21" s="339">
        <v>0</v>
      </c>
    </row>
    <row r="22" spans="1:7" x14ac:dyDescent="0.2">
      <c r="A22" s="318" t="s">
        <v>31</v>
      </c>
      <c r="B22" s="336" t="s">
        <v>663</v>
      </c>
      <c r="C22" s="337">
        <v>0</v>
      </c>
      <c r="D22" s="338">
        <v>0</v>
      </c>
      <c r="E22" s="338">
        <v>0</v>
      </c>
      <c r="F22" s="338">
        <v>0</v>
      </c>
      <c r="G22" s="339">
        <v>0</v>
      </c>
    </row>
    <row r="23" spans="1:7" x14ac:dyDescent="0.2">
      <c r="A23" s="340" t="s">
        <v>22</v>
      </c>
      <c r="B23" s="336" t="s">
        <v>664</v>
      </c>
      <c r="C23" s="337">
        <v>0</v>
      </c>
      <c r="D23" s="338">
        <v>0</v>
      </c>
      <c r="E23" s="338">
        <v>0</v>
      </c>
      <c r="F23" s="338">
        <v>0</v>
      </c>
      <c r="G23" s="339">
        <v>0</v>
      </c>
    </row>
    <row r="24" spans="1:7" ht="30" x14ac:dyDescent="0.2">
      <c r="A24" s="318" t="s">
        <v>24</v>
      </c>
      <c r="B24" s="341" t="s">
        <v>665</v>
      </c>
      <c r="C24" s="337">
        <v>0</v>
      </c>
      <c r="D24" s="338">
        <v>0</v>
      </c>
      <c r="E24" s="338">
        <v>0</v>
      </c>
      <c r="F24" s="338">
        <v>0</v>
      </c>
      <c r="G24" s="339">
        <v>0</v>
      </c>
    </row>
    <row r="25" spans="1:7" ht="45" x14ac:dyDescent="0.2">
      <c r="A25" s="340" t="s">
        <v>39</v>
      </c>
      <c r="B25" s="336" t="s">
        <v>666</v>
      </c>
      <c r="C25" s="337">
        <v>0</v>
      </c>
      <c r="D25" s="338">
        <v>0</v>
      </c>
      <c r="E25" s="338">
        <v>0</v>
      </c>
      <c r="F25" s="338">
        <v>0</v>
      </c>
      <c r="G25" s="339">
        <v>0</v>
      </c>
    </row>
    <row r="26" spans="1:7" ht="60.75" thickBot="1" x14ac:dyDescent="0.25">
      <c r="A26" s="318" t="s">
        <v>40</v>
      </c>
      <c r="B26" s="342" t="s">
        <v>667</v>
      </c>
      <c r="C26" s="343">
        <v>0</v>
      </c>
      <c r="D26" s="338">
        <v>0</v>
      </c>
      <c r="E26" s="338">
        <v>0</v>
      </c>
      <c r="F26" s="338">
        <v>0</v>
      </c>
      <c r="G26" s="339">
        <v>0</v>
      </c>
    </row>
    <row r="27" spans="1:7" ht="15.75" thickBot="1" x14ac:dyDescent="0.25">
      <c r="A27" s="344" t="s">
        <v>41</v>
      </c>
      <c r="B27" s="314" t="s">
        <v>94</v>
      </c>
      <c r="C27" s="345">
        <f>SUM(C20:C26)</f>
        <v>0</v>
      </c>
      <c r="D27" s="346">
        <f>SUM(D20:D26)</f>
        <v>0</v>
      </c>
      <c r="E27" s="346">
        <f>SUM(E20:E26)</f>
        <v>0</v>
      </c>
      <c r="F27" s="346">
        <f>SUM(F20:F26)</f>
        <v>0</v>
      </c>
      <c r="G27" s="347">
        <f>SUM(G20:G26)</f>
        <v>0</v>
      </c>
    </row>
    <row r="28" spans="1:7" x14ac:dyDescent="0.2">
      <c r="C28" s="201"/>
      <c r="D28" s="201"/>
      <c r="E28" s="201"/>
      <c r="F28" s="201"/>
    </row>
    <row r="29" spans="1:7" x14ac:dyDescent="0.2">
      <c r="C29" s="201"/>
      <c r="D29" s="201"/>
      <c r="E29" s="201"/>
      <c r="F29" s="201"/>
    </row>
    <row r="30" spans="1:7" x14ac:dyDescent="0.3">
      <c r="A30" s="359" t="s">
        <v>671</v>
      </c>
      <c r="B30" s="12"/>
      <c r="C30" s="12"/>
      <c r="D30" s="12"/>
      <c r="E30" s="12"/>
    </row>
    <row r="31" spans="1:7" x14ac:dyDescent="0.3">
      <c r="A31" s="62" t="s">
        <v>672</v>
      </c>
      <c r="B31" s="12"/>
      <c r="C31" s="12"/>
      <c r="D31" s="12"/>
      <c r="E31" s="12"/>
    </row>
    <row r="32" spans="1:7" ht="15.75" thickBot="1" x14ac:dyDescent="0.35">
      <c r="A32" s="62"/>
      <c r="B32" s="12"/>
      <c r="C32" s="12"/>
      <c r="D32" s="12"/>
      <c r="E32" s="12"/>
    </row>
    <row r="33" spans="1:5" ht="15.75" thickBot="1" x14ac:dyDescent="0.25">
      <c r="A33" s="1037" t="s">
        <v>669</v>
      </c>
      <c r="B33" s="1038"/>
      <c r="C33" s="1037" t="s">
        <v>670</v>
      </c>
      <c r="D33" s="1041"/>
      <c r="E33" s="1038"/>
    </row>
    <row r="34" spans="1:5" x14ac:dyDescent="0.3">
      <c r="A34" s="1039"/>
      <c r="B34" s="1040"/>
      <c r="C34" s="362"/>
      <c r="D34" s="362"/>
      <c r="E34" s="41"/>
    </row>
    <row r="35" spans="1:5" x14ac:dyDescent="0.3">
      <c r="A35" s="1042"/>
      <c r="B35" s="1043"/>
      <c r="C35" s="363"/>
      <c r="D35" s="363"/>
      <c r="E35" s="364"/>
    </row>
    <row r="36" spans="1:5" x14ac:dyDescent="0.3">
      <c r="A36" s="1042"/>
      <c r="B36" s="1043"/>
      <c r="C36" s="363"/>
      <c r="D36" s="363"/>
      <c r="E36" s="364"/>
    </row>
    <row r="37" spans="1:5" x14ac:dyDescent="0.3">
      <c r="A37" s="1042"/>
      <c r="B37" s="1043"/>
      <c r="C37" s="363"/>
      <c r="D37" s="363"/>
      <c r="E37" s="364"/>
    </row>
    <row r="38" spans="1:5" x14ac:dyDescent="0.3">
      <c r="A38" s="1042"/>
      <c r="B38" s="1043"/>
      <c r="C38" s="363"/>
      <c r="D38" s="363"/>
      <c r="E38" s="364"/>
    </row>
    <row r="39" spans="1:5" ht="15.75" thickBot="1" x14ac:dyDescent="0.35">
      <c r="A39" s="1044"/>
      <c r="B39" s="1045"/>
      <c r="C39" s="365"/>
      <c r="D39" s="365"/>
      <c r="E39" s="366"/>
    </row>
    <row r="40" spans="1:5" ht="15.75" thickBot="1" x14ac:dyDescent="0.35">
      <c r="A40" s="1037" t="s">
        <v>94</v>
      </c>
      <c r="B40" s="1038"/>
      <c r="C40" s="360"/>
      <c r="D40" s="360"/>
      <c r="E40" s="361"/>
    </row>
  </sheetData>
  <mergeCells count="13">
    <mergeCell ref="A35:B35"/>
    <mergeCell ref="A36:B36"/>
    <mergeCell ref="A37:B37"/>
    <mergeCell ref="A38:B38"/>
    <mergeCell ref="A39:B39"/>
    <mergeCell ref="A40:B40"/>
    <mergeCell ref="B4:F4"/>
    <mergeCell ref="C5:D5"/>
    <mergeCell ref="B6:F6"/>
    <mergeCell ref="A3:F3"/>
    <mergeCell ref="A33:B33"/>
    <mergeCell ref="A34:B34"/>
    <mergeCell ref="C33:E33"/>
  </mergeCell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view="pageBreakPreview" zoomScale="80" zoomScaleNormal="100" workbookViewId="0">
      <selection activeCell="M36" sqref="M36"/>
    </sheetView>
  </sheetViews>
  <sheetFormatPr defaultRowHeight="12.75" x14ac:dyDescent="0.2"/>
  <cols>
    <col min="1" max="1" width="3.5703125" style="231" customWidth="1"/>
    <col min="2" max="2" width="26.5703125" style="228" customWidth="1"/>
    <col min="3" max="3" width="30.5703125" style="228" customWidth="1"/>
    <col min="4" max="4" width="19.140625" style="228" customWidth="1"/>
    <col min="5" max="5" width="20.7109375" style="228" customWidth="1"/>
    <col min="6" max="6" width="11.5703125" style="228" customWidth="1"/>
    <col min="7" max="7" width="16.85546875" style="228" customWidth="1"/>
    <col min="8" max="8" width="11.140625" style="228" customWidth="1"/>
    <col min="9" max="9" width="11.5703125" style="228" customWidth="1"/>
    <col min="10" max="16384" width="9.140625" style="228"/>
  </cols>
  <sheetData>
    <row r="1" spans="1:11" ht="17.25" customHeight="1" x14ac:dyDescent="0.3">
      <c r="A1" s="232"/>
      <c r="B1" s="939" t="s">
        <v>1098</v>
      </c>
      <c r="C1" s="883"/>
      <c r="D1" s="883"/>
      <c r="E1" s="883"/>
    </row>
    <row r="2" spans="1:11" ht="17.25" customHeight="1" x14ac:dyDescent="0.3">
      <c r="A2" s="232"/>
      <c r="B2" s="222"/>
      <c r="C2" s="55"/>
      <c r="D2" s="55"/>
      <c r="E2" s="55"/>
    </row>
    <row r="3" spans="1:11" ht="17.25" customHeight="1" x14ac:dyDescent="0.3">
      <c r="A3" s="232"/>
      <c r="B3" s="222"/>
      <c r="C3" s="55"/>
      <c r="D3" s="55"/>
      <c r="E3" s="55"/>
    </row>
    <row r="4" spans="1:11" ht="36.75" customHeight="1" x14ac:dyDescent="0.2">
      <c r="A4" s="1061" t="s">
        <v>1101</v>
      </c>
      <c r="B4" s="1061"/>
      <c r="C4" s="1061"/>
      <c r="D4" s="1061"/>
      <c r="E4" s="1061"/>
      <c r="H4" s="229"/>
      <c r="I4" s="229"/>
      <c r="J4" s="229"/>
      <c r="K4" s="229"/>
    </row>
    <row r="5" spans="1:11" ht="17.25" customHeight="1" x14ac:dyDescent="0.25">
      <c r="A5" s="233"/>
      <c r="B5" s="1058" t="s">
        <v>551</v>
      </c>
      <c r="C5" s="1058"/>
      <c r="D5" s="1058"/>
      <c r="E5" s="1058"/>
      <c r="H5" s="229"/>
      <c r="I5" s="229"/>
      <c r="J5" s="229"/>
      <c r="K5" s="229"/>
    </row>
    <row r="6" spans="1:11" ht="17.25" customHeight="1" x14ac:dyDescent="0.25">
      <c r="A6" s="233"/>
      <c r="B6" s="234"/>
      <c r="C6" s="234"/>
      <c r="D6" s="234"/>
      <c r="E6" s="234"/>
      <c r="H6" s="229"/>
      <c r="I6" s="229"/>
      <c r="J6" s="229"/>
      <c r="K6" s="229"/>
    </row>
    <row r="7" spans="1:11" ht="17.25" customHeight="1" x14ac:dyDescent="0.25">
      <c r="A7" s="233"/>
      <c r="B7" s="234"/>
      <c r="C7" s="234"/>
      <c r="D7" s="234"/>
      <c r="E7" s="234"/>
      <c r="H7" s="229"/>
      <c r="I7" s="229"/>
      <c r="J7" s="229"/>
      <c r="K7" s="229"/>
    </row>
    <row r="8" spans="1:11" ht="17.25" customHeight="1" x14ac:dyDescent="0.25">
      <c r="A8" s="233"/>
      <c r="B8" s="234"/>
      <c r="C8" s="234"/>
      <c r="D8" s="234"/>
      <c r="E8" s="234"/>
      <c r="H8" s="229"/>
      <c r="I8" s="229"/>
      <c r="J8" s="229"/>
      <c r="K8" s="229"/>
    </row>
    <row r="9" spans="1:11" ht="16.5" customHeight="1" x14ac:dyDescent="0.3">
      <c r="A9" s="233"/>
      <c r="B9" s="235"/>
      <c r="C9" s="235"/>
      <c r="D9" s="235"/>
      <c r="E9" s="236" t="s">
        <v>644</v>
      </c>
      <c r="H9" s="229"/>
      <c r="I9" s="229"/>
      <c r="J9" s="229"/>
      <c r="K9" s="229"/>
    </row>
    <row r="10" spans="1:11" ht="18.75" customHeight="1" x14ac:dyDescent="0.2">
      <c r="A10" s="1047"/>
      <c r="B10" s="1054" t="s">
        <v>590</v>
      </c>
      <c r="C10" s="1056" t="s">
        <v>586</v>
      </c>
      <c r="D10" s="1056"/>
      <c r="E10" s="1057" t="s">
        <v>524</v>
      </c>
    </row>
    <row r="11" spans="1:11" ht="31.5" customHeight="1" x14ac:dyDescent="0.2">
      <c r="A11" s="1048"/>
      <c r="B11" s="1055"/>
      <c r="C11" s="1059" t="s">
        <v>549</v>
      </c>
      <c r="D11" s="1060"/>
      <c r="E11" s="1057"/>
    </row>
    <row r="12" spans="1:11" ht="35.1" customHeight="1" x14ac:dyDescent="0.2">
      <c r="A12" s="237" t="s">
        <v>0</v>
      </c>
      <c r="B12" s="1065" t="s">
        <v>93</v>
      </c>
      <c r="C12" s="1049" t="s">
        <v>587</v>
      </c>
      <c r="D12" s="1050"/>
      <c r="E12" s="238">
        <v>5972000</v>
      </c>
    </row>
    <row r="13" spans="1:11" ht="35.1" customHeight="1" x14ac:dyDescent="0.2">
      <c r="A13" s="237" t="s">
        <v>6</v>
      </c>
      <c r="B13" s="1066"/>
      <c r="C13" s="1049" t="s">
        <v>588</v>
      </c>
      <c r="D13" s="1050"/>
      <c r="E13" s="238">
        <v>80000</v>
      </c>
    </row>
    <row r="14" spans="1:11" ht="35.1" customHeight="1" x14ac:dyDescent="0.2">
      <c r="A14" s="237" t="s">
        <v>14</v>
      </c>
      <c r="B14" s="239" t="s">
        <v>550</v>
      </c>
      <c r="C14" s="1049" t="s">
        <v>589</v>
      </c>
      <c r="D14" s="1050"/>
      <c r="E14" s="238">
        <v>259613</v>
      </c>
    </row>
    <row r="15" spans="1:11" ht="35.1" customHeight="1" x14ac:dyDescent="0.2">
      <c r="A15" s="237" t="s">
        <v>17</v>
      </c>
      <c r="B15" s="239"/>
      <c r="C15" s="1049"/>
      <c r="D15" s="1050"/>
      <c r="E15" s="238"/>
    </row>
    <row r="16" spans="1:11" s="230" customFormat="1" ht="35.1" customHeight="1" x14ac:dyDescent="0.2">
      <c r="A16" s="237" t="s">
        <v>33</v>
      </c>
      <c r="B16" s="1051" t="s">
        <v>94</v>
      </c>
      <c r="C16" s="1052"/>
      <c r="D16" s="1053"/>
      <c r="E16" s="238">
        <f>SUM(E12:E15)</f>
        <v>6311613</v>
      </c>
    </row>
    <row r="17" spans="1:5" ht="21" customHeight="1" x14ac:dyDescent="0.2"/>
    <row r="18" spans="1:5" ht="21" customHeight="1" x14ac:dyDescent="0.2"/>
    <row r="19" spans="1:5" s="235" customFormat="1" ht="15" x14ac:dyDescent="0.3">
      <c r="A19" s="232"/>
      <c r="E19" s="236" t="s">
        <v>644</v>
      </c>
    </row>
    <row r="20" spans="1:5" s="235" customFormat="1" ht="21.75" customHeight="1" x14ac:dyDescent="0.3">
      <c r="A20" s="1056" t="s">
        <v>592</v>
      </c>
      <c r="B20" s="1056"/>
      <c r="C20" s="1056"/>
      <c r="D20" s="1056"/>
      <c r="E20" s="285" t="s">
        <v>524</v>
      </c>
    </row>
    <row r="21" spans="1:5" s="287" customFormat="1" ht="22.5" customHeight="1" x14ac:dyDescent="0.3">
      <c r="A21" s="1046" t="s">
        <v>593</v>
      </c>
      <c r="B21" s="1046"/>
      <c r="C21" s="1046"/>
      <c r="D21" s="1046"/>
      <c r="E21" s="286">
        <v>0</v>
      </c>
    </row>
    <row r="22" spans="1:5" s="287" customFormat="1" ht="22.5" customHeight="1" x14ac:dyDescent="0.3">
      <c r="A22" s="1046" t="s">
        <v>594</v>
      </c>
      <c r="B22" s="1046"/>
      <c r="C22" s="1046"/>
      <c r="D22" s="1046"/>
      <c r="E22" s="286">
        <v>0</v>
      </c>
    </row>
    <row r="23" spans="1:5" s="287" customFormat="1" ht="22.5" customHeight="1" x14ac:dyDescent="0.3">
      <c r="A23" s="1046" t="s">
        <v>595</v>
      </c>
      <c r="B23" s="1046"/>
      <c r="C23" s="1046"/>
      <c r="D23" s="1046"/>
      <c r="E23" s="240">
        <v>0</v>
      </c>
    </row>
    <row r="24" spans="1:5" s="287" customFormat="1" ht="23.25" customHeight="1" x14ac:dyDescent="0.3">
      <c r="A24" s="1046" t="s">
        <v>596</v>
      </c>
      <c r="B24" s="1046"/>
      <c r="C24" s="1046"/>
      <c r="D24" s="1046"/>
      <c r="E24" s="240">
        <v>0</v>
      </c>
    </row>
    <row r="25" spans="1:5" s="289" customFormat="1" ht="22.5" customHeight="1" x14ac:dyDescent="0.2">
      <c r="A25" s="1062" t="s">
        <v>94</v>
      </c>
      <c r="B25" s="1063"/>
      <c r="C25" s="1063"/>
      <c r="D25" s="1064"/>
      <c r="E25" s="288">
        <f>SUM(E21:E24)</f>
        <v>0</v>
      </c>
    </row>
    <row r="36" ht="12" customHeight="1" x14ac:dyDescent="0.2"/>
    <row r="40" ht="12" customHeight="1" x14ac:dyDescent="0.2"/>
  </sheetData>
  <mergeCells count="20">
    <mergeCell ref="A4:E4"/>
    <mergeCell ref="A25:D25"/>
    <mergeCell ref="A20:D20"/>
    <mergeCell ref="C12:D12"/>
    <mergeCell ref="B12:B13"/>
    <mergeCell ref="C13:D13"/>
    <mergeCell ref="C14:D14"/>
    <mergeCell ref="A21:D21"/>
    <mergeCell ref="A22:D22"/>
    <mergeCell ref="A23:D23"/>
    <mergeCell ref="A24:D24"/>
    <mergeCell ref="A10:A11"/>
    <mergeCell ref="C15:D15"/>
    <mergeCell ref="B16:D16"/>
    <mergeCell ref="B1:E1"/>
    <mergeCell ref="B10:B11"/>
    <mergeCell ref="C10:D10"/>
    <mergeCell ref="E10:E11"/>
    <mergeCell ref="B5:E5"/>
    <mergeCell ref="C11:D11"/>
  </mergeCell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"/>
    </sheetView>
  </sheetViews>
  <sheetFormatPr defaultColWidth="8.85546875" defaultRowHeight="15" x14ac:dyDescent="0.3"/>
  <cols>
    <col min="1" max="1" width="5" style="491" customWidth="1"/>
    <col min="2" max="2" width="86.7109375" style="491" customWidth="1"/>
    <col min="3" max="3" width="15.7109375" style="491" customWidth="1"/>
    <col min="4" max="4" width="16.42578125" style="450" customWidth="1"/>
    <col min="5" max="5" width="14.28515625" style="450" customWidth="1"/>
    <col min="6" max="16384" width="8.85546875" style="445"/>
  </cols>
  <sheetData>
    <row r="1" spans="1:5" x14ac:dyDescent="0.3">
      <c r="A1" s="1067" t="s">
        <v>1097</v>
      </c>
      <c r="B1" s="1067"/>
      <c r="C1" s="1067"/>
      <c r="D1" s="444"/>
      <c r="E1" s="444"/>
    </row>
    <row r="2" spans="1:5" x14ac:dyDescent="0.3">
      <c r="A2" s="451"/>
      <c r="B2" s="488"/>
      <c r="C2" s="488"/>
      <c r="D2" s="446"/>
      <c r="E2" s="446"/>
    </row>
    <row r="3" spans="1:5" ht="39" customHeight="1" x14ac:dyDescent="0.2">
      <c r="A3" s="1068" t="s">
        <v>816</v>
      </c>
      <c r="B3" s="1068"/>
      <c r="C3" s="1068"/>
      <c r="D3" s="447"/>
      <c r="E3" s="447"/>
    </row>
    <row r="4" spans="1:5" ht="17.45" customHeight="1" x14ac:dyDescent="0.3">
      <c r="A4" s="1069" t="s">
        <v>95</v>
      </c>
      <c r="B4" s="1069"/>
      <c r="C4" s="1069"/>
      <c r="D4" s="449"/>
      <c r="E4" s="449"/>
    </row>
    <row r="5" spans="1:5" x14ac:dyDescent="0.3">
      <c r="B5" s="490"/>
      <c r="C5" s="490"/>
      <c r="D5" s="448"/>
      <c r="E5" s="448"/>
    </row>
    <row r="6" spans="1:5" ht="15.75" x14ac:dyDescent="0.25">
      <c r="A6" s="451"/>
      <c r="B6" s="492"/>
      <c r="C6" s="492"/>
      <c r="D6" s="452"/>
      <c r="E6" s="453"/>
    </row>
    <row r="7" spans="1:5" ht="15.75" x14ac:dyDescent="0.3">
      <c r="A7" s="454"/>
      <c r="B7" s="454"/>
      <c r="C7" s="455" t="s">
        <v>581</v>
      </c>
      <c r="D7" s="456"/>
    </row>
    <row r="8" spans="1:5" ht="37.9" customHeight="1" x14ac:dyDescent="0.2">
      <c r="A8" s="457"/>
      <c r="B8" s="458" t="s">
        <v>566</v>
      </c>
      <c r="C8" s="459" t="s">
        <v>771</v>
      </c>
      <c r="D8" s="445"/>
      <c r="E8" s="445"/>
    </row>
    <row r="9" spans="1:5" x14ac:dyDescent="0.2">
      <c r="A9" s="457" t="s">
        <v>0</v>
      </c>
      <c r="B9" s="493" t="s">
        <v>828</v>
      </c>
      <c r="C9" s="494"/>
      <c r="D9" s="445"/>
      <c r="E9" s="445"/>
    </row>
    <row r="10" spans="1:5" x14ac:dyDescent="0.2">
      <c r="A10" s="457" t="s">
        <v>6</v>
      </c>
      <c r="B10" s="495" t="s">
        <v>772</v>
      </c>
      <c r="C10" s="494">
        <v>29599063</v>
      </c>
      <c r="D10" s="445"/>
      <c r="E10" s="445"/>
    </row>
    <row r="11" spans="1:5" x14ac:dyDescent="0.2">
      <c r="A11" s="457" t="s">
        <v>14</v>
      </c>
      <c r="B11" s="495" t="s">
        <v>833</v>
      </c>
      <c r="C11" s="494">
        <v>92048342</v>
      </c>
      <c r="D11" s="445"/>
      <c r="E11" s="445"/>
    </row>
    <row r="12" spans="1:5" x14ac:dyDescent="0.2">
      <c r="A12" s="457" t="s">
        <v>17</v>
      </c>
      <c r="B12" s="495" t="s">
        <v>840</v>
      </c>
      <c r="C12" s="494">
        <v>4409054</v>
      </c>
      <c r="D12" s="445"/>
      <c r="E12" s="445"/>
    </row>
    <row r="13" spans="1:5" ht="15.75" thickBot="1" x14ac:dyDescent="0.25">
      <c r="A13" s="457" t="s">
        <v>33</v>
      </c>
      <c r="B13" s="496" t="s">
        <v>541</v>
      </c>
      <c r="C13" s="497">
        <v>0</v>
      </c>
      <c r="D13" s="445"/>
      <c r="E13" s="445"/>
    </row>
    <row r="14" spans="1:5" ht="16.899999999999999" customHeight="1" x14ac:dyDescent="0.2">
      <c r="A14" s="457" t="s">
        <v>35</v>
      </c>
      <c r="B14" s="498" t="s">
        <v>773</v>
      </c>
      <c r="C14" s="499">
        <f>SUM(C10:C13)</f>
        <v>126056459</v>
      </c>
      <c r="D14" s="445"/>
      <c r="E14" s="445"/>
    </row>
    <row r="15" spans="1:5" x14ac:dyDescent="0.2">
      <c r="A15" s="457"/>
      <c r="B15" s="498"/>
      <c r="C15" s="499"/>
      <c r="D15" s="445"/>
      <c r="E15" s="445"/>
    </row>
    <row r="16" spans="1:5" x14ac:dyDescent="0.2">
      <c r="A16" s="457" t="s">
        <v>30</v>
      </c>
      <c r="B16" s="493" t="s">
        <v>829</v>
      </c>
      <c r="C16" s="494"/>
      <c r="D16" s="445"/>
      <c r="E16" s="445"/>
    </row>
    <row r="17" spans="1:5" x14ac:dyDescent="0.2">
      <c r="A17" s="457" t="s">
        <v>18</v>
      </c>
      <c r="B17" s="495" t="s">
        <v>774</v>
      </c>
      <c r="C17" s="494">
        <v>541114</v>
      </c>
      <c r="D17" s="445"/>
      <c r="E17" s="445"/>
    </row>
    <row r="18" spans="1:5" ht="15.75" thickBot="1" x14ac:dyDescent="0.25">
      <c r="A18" s="457" t="s">
        <v>19</v>
      </c>
      <c r="B18" s="496"/>
      <c r="C18" s="497">
        <v>0</v>
      </c>
      <c r="D18" s="445"/>
      <c r="E18" s="445"/>
    </row>
    <row r="19" spans="1:5" ht="16.899999999999999" customHeight="1" x14ac:dyDescent="0.2">
      <c r="A19" s="457" t="s">
        <v>20</v>
      </c>
      <c r="B19" s="499" t="s">
        <v>775</v>
      </c>
      <c r="C19" s="499">
        <f>SUM(C17:C18)</f>
        <v>541114</v>
      </c>
      <c r="D19" s="445"/>
      <c r="E19" s="445"/>
    </row>
    <row r="20" spans="1:5" x14ac:dyDescent="0.2">
      <c r="A20" s="457"/>
      <c r="B20" s="499"/>
      <c r="C20" s="499"/>
      <c r="D20" s="445"/>
      <c r="E20" s="445"/>
    </row>
    <row r="21" spans="1:5" ht="27.6" customHeight="1" x14ac:dyDescent="0.2">
      <c r="A21" s="457" t="s">
        <v>21</v>
      </c>
      <c r="B21" s="460" t="s">
        <v>831</v>
      </c>
      <c r="C21" s="461">
        <f>C14+C19</f>
        <v>126597573</v>
      </c>
      <c r="D21" s="445"/>
      <c r="E21" s="445"/>
    </row>
    <row r="25" spans="1:5" x14ac:dyDescent="0.3">
      <c r="D25" s="462"/>
    </row>
  </sheetData>
  <mergeCells count="3">
    <mergeCell ref="A1:C1"/>
    <mergeCell ref="A3:C3"/>
    <mergeCell ref="A4:C4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155"/>
  <sheetViews>
    <sheetView view="pageBreakPreview" zoomScaleNormal="100" zoomScaleSheetLayoutView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CF110" sqref="CF110"/>
    </sheetView>
  </sheetViews>
  <sheetFormatPr defaultRowHeight="15" x14ac:dyDescent="0.2"/>
  <cols>
    <col min="1" max="1" width="7" style="101" customWidth="1"/>
    <col min="2" max="2" width="9.140625" style="101"/>
    <col min="3" max="3" width="59.28515625" style="102" customWidth="1"/>
    <col min="4" max="31" width="13.7109375" style="102" customWidth="1"/>
    <col min="32" max="33" width="13.7109375" style="122" customWidth="1"/>
    <col min="34" max="90" width="13.7109375" style="102" customWidth="1"/>
    <col min="91" max="16384" width="9.140625" style="102"/>
  </cols>
  <sheetData>
    <row r="1" spans="1:90" x14ac:dyDescent="0.2">
      <c r="A1" s="199" t="s">
        <v>598</v>
      </c>
      <c r="B1" s="199"/>
      <c r="C1" s="199"/>
    </row>
    <row r="2" spans="1:90" ht="18" x14ac:dyDescent="0.2">
      <c r="A2" s="100" t="s">
        <v>849</v>
      </c>
      <c r="B2" s="102"/>
    </row>
    <row r="3" spans="1:90" ht="18" x14ac:dyDescent="0.2">
      <c r="A3" s="100"/>
      <c r="B3" s="102"/>
    </row>
    <row r="5" spans="1:90" ht="15.75" x14ac:dyDescent="0.2">
      <c r="A5" s="104" t="s">
        <v>132</v>
      </c>
      <c r="B5" s="104"/>
      <c r="C5" s="104"/>
    </row>
    <row r="6" spans="1:90" s="131" customFormat="1" ht="13.5" x14ac:dyDescent="0.2">
      <c r="A6" s="105"/>
      <c r="B6" s="1109"/>
      <c r="C6" s="1109"/>
      <c r="D6" s="1097" t="s">
        <v>486</v>
      </c>
      <c r="E6" s="1098"/>
      <c r="F6" s="1099"/>
      <c r="G6" s="1100" t="s">
        <v>134</v>
      </c>
      <c r="H6" s="1101"/>
      <c r="I6" s="1102"/>
      <c r="J6" s="1097" t="s">
        <v>135</v>
      </c>
      <c r="K6" s="1098"/>
      <c r="L6" s="1099"/>
      <c r="M6" s="1097" t="s">
        <v>136</v>
      </c>
      <c r="N6" s="1098"/>
      <c r="O6" s="1099"/>
      <c r="P6" s="1097" t="s">
        <v>137</v>
      </c>
      <c r="Q6" s="1098"/>
      <c r="R6" s="1099"/>
      <c r="S6" s="1097" t="s">
        <v>652</v>
      </c>
      <c r="T6" s="1098"/>
      <c r="U6" s="1099"/>
      <c r="V6" s="1097" t="s">
        <v>138</v>
      </c>
      <c r="W6" s="1098"/>
      <c r="X6" s="1099"/>
      <c r="Y6" s="1097" t="s">
        <v>584</v>
      </c>
      <c r="Z6" s="1098"/>
      <c r="AA6" s="1099"/>
      <c r="AB6" s="1097" t="s">
        <v>139</v>
      </c>
      <c r="AC6" s="1098"/>
      <c r="AD6" s="1099"/>
      <c r="AE6" s="1097" t="s">
        <v>781</v>
      </c>
      <c r="AF6" s="1098"/>
      <c r="AG6" s="1099"/>
      <c r="AH6" s="1097" t="s">
        <v>140</v>
      </c>
      <c r="AI6" s="1098"/>
      <c r="AJ6" s="1099"/>
      <c r="AK6" s="1097" t="s">
        <v>141</v>
      </c>
      <c r="AL6" s="1098"/>
      <c r="AM6" s="1099"/>
      <c r="AN6" s="1097" t="s">
        <v>142</v>
      </c>
      <c r="AO6" s="1098"/>
      <c r="AP6" s="1099"/>
      <c r="AQ6" s="1097" t="s">
        <v>143</v>
      </c>
      <c r="AR6" s="1098"/>
      <c r="AS6" s="1099"/>
      <c r="AT6" s="1097" t="s">
        <v>144</v>
      </c>
      <c r="AU6" s="1098"/>
      <c r="AV6" s="1099"/>
      <c r="AW6" s="1097" t="s">
        <v>145</v>
      </c>
      <c r="AX6" s="1098"/>
      <c r="AY6" s="1099"/>
      <c r="AZ6" s="1097" t="s">
        <v>146</v>
      </c>
      <c r="BA6" s="1098"/>
      <c r="BB6" s="1099"/>
      <c r="BC6" s="1097" t="s">
        <v>147</v>
      </c>
      <c r="BD6" s="1098"/>
      <c r="BE6" s="1099"/>
      <c r="BF6" s="1097" t="s">
        <v>778</v>
      </c>
      <c r="BG6" s="1098"/>
      <c r="BH6" s="1099"/>
      <c r="BI6" s="1097" t="s">
        <v>628</v>
      </c>
      <c r="BJ6" s="1098"/>
      <c r="BK6" s="1099"/>
      <c r="BL6" s="1097" t="s">
        <v>148</v>
      </c>
      <c r="BM6" s="1098"/>
      <c r="BN6" s="1099"/>
      <c r="BO6" s="1097" t="s">
        <v>149</v>
      </c>
      <c r="BP6" s="1098"/>
      <c r="BQ6" s="1099"/>
      <c r="BR6" s="1097" t="s">
        <v>133</v>
      </c>
      <c r="BS6" s="1098"/>
      <c r="BT6" s="1099"/>
      <c r="BU6" s="1097" t="s">
        <v>150</v>
      </c>
      <c r="BV6" s="1098"/>
      <c r="BW6" s="1099"/>
      <c r="BX6" s="1097" t="s">
        <v>462</v>
      </c>
      <c r="BY6" s="1098"/>
      <c r="BZ6" s="1099"/>
      <c r="CA6" s="1097" t="s">
        <v>464</v>
      </c>
      <c r="CB6" s="1098"/>
      <c r="CC6" s="1099"/>
      <c r="CD6" s="1097" t="s">
        <v>151</v>
      </c>
      <c r="CE6" s="1098"/>
      <c r="CF6" s="1099"/>
      <c r="CG6" s="1097" t="s">
        <v>152</v>
      </c>
      <c r="CH6" s="1098"/>
      <c r="CI6" s="1099"/>
      <c r="CJ6" s="404"/>
      <c r="CK6" s="518"/>
      <c r="CL6" s="405"/>
    </row>
    <row r="7" spans="1:90" s="131" customFormat="1" ht="13.5" x14ac:dyDescent="0.2">
      <c r="A7" s="105"/>
      <c r="B7" s="1114" t="s">
        <v>154</v>
      </c>
      <c r="C7" s="1115"/>
      <c r="D7" s="1094" t="s">
        <v>487</v>
      </c>
      <c r="E7" s="1095"/>
      <c r="F7" s="1096"/>
      <c r="G7" s="1091" t="s">
        <v>157</v>
      </c>
      <c r="H7" s="1092"/>
      <c r="I7" s="1093"/>
      <c r="J7" s="1091" t="s">
        <v>158</v>
      </c>
      <c r="K7" s="1092"/>
      <c r="L7" s="1093"/>
      <c r="M7" s="1091" t="s">
        <v>159</v>
      </c>
      <c r="N7" s="1092"/>
      <c r="O7" s="1093"/>
      <c r="P7" s="1094" t="s">
        <v>160</v>
      </c>
      <c r="Q7" s="1095"/>
      <c r="R7" s="1096"/>
      <c r="S7" s="1091" t="s">
        <v>161</v>
      </c>
      <c r="T7" s="1092"/>
      <c r="U7" s="1093"/>
      <c r="V7" s="1091" t="s">
        <v>162</v>
      </c>
      <c r="W7" s="1092"/>
      <c r="X7" s="1093"/>
      <c r="Y7" s="1091" t="s">
        <v>585</v>
      </c>
      <c r="Z7" s="1092"/>
      <c r="AA7" s="1093"/>
      <c r="AB7" s="1091" t="s">
        <v>163</v>
      </c>
      <c r="AC7" s="1092"/>
      <c r="AD7" s="1093"/>
      <c r="AE7" s="1091" t="s">
        <v>782</v>
      </c>
      <c r="AF7" s="1092"/>
      <c r="AG7" s="1093"/>
      <c r="AH7" s="1091" t="s">
        <v>164</v>
      </c>
      <c r="AI7" s="1092"/>
      <c r="AJ7" s="1093"/>
      <c r="AK7" s="1091" t="s">
        <v>165</v>
      </c>
      <c r="AL7" s="1092"/>
      <c r="AM7" s="1093"/>
      <c r="AN7" s="1091" t="s">
        <v>165</v>
      </c>
      <c r="AO7" s="1092"/>
      <c r="AP7" s="1093"/>
      <c r="AQ7" s="1091" t="s">
        <v>166</v>
      </c>
      <c r="AR7" s="1092"/>
      <c r="AS7" s="1093"/>
      <c r="AT7" s="1091" t="s">
        <v>167</v>
      </c>
      <c r="AU7" s="1092"/>
      <c r="AV7" s="1093"/>
      <c r="AW7" s="1091" t="s">
        <v>168</v>
      </c>
      <c r="AX7" s="1092"/>
      <c r="AY7" s="1093"/>
      <c r="AZ7" s="1091" t="s">
        <v>169</v>
      </c>
      <c r="BA7" s="1092"/>
      <c r="BB7" s="1093"/>
      <c r="BC7" s="1094" t="s">
        <v>170</v>
      </c>
      <c r="BD7" s="1095"/>
      <c r="BE7" s="1096"/>
      <c r="BF7" s="1091" t="s">
        <v>779</v>
      </c>
      <c r="BG7" s="1092"/>
      <c r="BH7" s="1093"/>
      <c r="BI7" s="1091" t="s">
        <v>171</v>
      </c>
      <c r="BJ7" s="1092"/>
      <c r="BK7" s="1093"/>
      <c r="BL7" s="1091" t="s">
        <v>172</v>
      </c>
      <c r="BM7" s="1092"/>
      <c r="BN7" s="1093"/>
      <c r="BO7" s="1091" t="s">
        <v>173</v>
      </c>
      <c r="BP7" s="1092"/>
      <c r="BQ7" s="1093"/>
      <c r="BR7" s="1094" t="s">
        <v>601</v>
      </c>
      <c r="BS7" s="1095"/>
      <c r="BT7" s="1096"/>
      <c r="BU7" s="1091" t="s">
        <v>174</v>
      </c>
      <c r="BV7" s="1092"/>
      <c r="BW7" s="1093"/>
      <c r="BX7" s="1091" t="s">
        <v>463</v>
      </c>
      <c r="BY7" s="1092"/>
      <c r="BZ7" s="1093"/>
      <c r="CA7" s="1091" t="s">
        <v>465</v>
      </c>
      <c r="CB7" s="1092"/>
      <c r="CC7" s="1093"/>
      <c r="CD7" s="1091" t="s">
        <v>175</v>
      </c>
      <c r="CE7" s="1092"/>
      <c r="CF7" s="1093"/>
      <c r="CG7" s="1094" t="s">
        <v>176</v>
      </c>
      <c r="CH7" s="1095"/>
      <c r="CI7" s="1096"/>
      <c r="CJ7" s="400"/>
      <c r="CK7" s="519"/>
      <c r="CL7" s="401"/>
    </row>
    <row r="8" spans="1:90" s="131" customFormat="1" ht="13.5" x14ac:dyDescent="0.2">
      <c r="A8" s="105"/>
      <c r="B8" s="1088"/>
      <c r="C8" s="1090"/>
      <c r="D8" s="1088" t="s">
        <v>488</v>
      </c>
      <c r="E8" s="1089"/>
      <c r="F8" s="1090"/>
      <c r="G8" s="1085" t="s">
        <v>180</v>
      </c>
      <c r="H8" s="1086"/>
      <c r="I8" s="1087"/>
      <c r="J8" s="1085" t="s">
        <v>181</v>
      </c>
      <c r="K8" s="1086"/>
      <c r="L8" s="1087"/>
      <c r="M8" s="1085" t="s">
        <v>182</v>
      </c>
      <c r="N8" s="1086"/>
      <c r="O8" s="1087"/>
      <c r="P8" s="1088" t="s">
        <v>180</v>
      </c>
      <c r="Q8" s="1089"/>
      <c r="R8" s="1090"/>
      <c r="S8" s="1085" t="s">
        <v>183</v>
      </c>
      <c r="T8" s="1086"/>
      <c r="U8" s="1087"/>
      <c r="V8" s="1085" t="s">
        <v>184</v>
      </c>
      <c r="W8" s="1086"/>
      <c r="X8" s="1087"/>
      <c r="Y8" s="1085" t="s">
        <v>185</v>
      </c>
      <c r="Z8" s="1086"/>
      <c r="AA8" s="1087"/>
      <c r="AB8" s="1085"/>
      <c r="AC8" s="1086"/>
      <c r="AD8" s="1087"/>
      <c r="AE8" s="1085" t="s">
        <v>783</v>
      </c>
      <c r="AF8" s="1086"/>
      <c r="AG8" s="1087"/>
      <c r="AH8" s="1085" t="s">
        <v>185</v>
      </c>
      <c r="AI8" s="1086"/>
      <c r="AJ8" s="1087"/>
      <c r="AK8" s="1085" t="s">
        <v>186</v>
      </c>
      <c r="AL8" s="1086"/>
      <c r="AM8" s="1087"/>
      <c r="AN8" s="1085" t="s">
        <v>187</v>
      </c>
      <c r="AO8" s="1086"/>
      <c r="AP8" s="1087"/>
      <c r="AQ8" s="1085" t="s">
        <v>187</v>
      </c>
      <c r="AR8" s="1086"/>
      <c r="AS8" s="1087"/>
      <c r="AT8" s="1085" t="s">
        <v>188</v>
      </c>
      <c r="AU8" s="1086"/>
      <c r="AV8" s="1087"/>
      <c r="AW8" s="1085" t="s">
        <v>189</v>
      </c>
      <c r="AX8" s="1086"/>
      <c r="AY8" s="1087"/>
      <c r="AZ8" s="1085" t="s">
        <v>190</v>
      </c>
      <c r="BA8" s="1086"/>
      <c r="BB8" s="1087"/>
      <c r="BC8" s="1088" t="s">
        <v>191</v>
      </c>
      <c r="BD8" s="1089"/>
      <c r="BE8" s="1090"/>
      <c r="BF8" s="1085" t="s">
        <v>651</v>
      </c>
      <c r="BG8" s="1086"/>
      <c r="BH8" s="1087"/>
      <c r="BI8" s="1085"/>
      <c r="BJ8" s="1086"/>
      <c r="BK8" s="1087"/>
      <c r="BL8" s="1085" t="s">
        <v>192</v>
      </c>
      <c r="BM8" s="1086"/>
      <c r="BN8" s="1087"/>
      <c r="BO8" s="1085" t="s">
        <v>193</v>
      </c>
      <c r="BP8" s="1086"/>
      <c r="BQ8" s="1087"/>
      <c r="BR8" s="1088" t="s">
        <v>207</v>
      </c>
      <c r="BS8" s="1089"/>
      <c r="BT8" s="1090"/>
      <c r="BU8" s="1085" t="s">
        <v>191</v>
      </c>
      <c r="BV8" s="1086"/>
      <c r="BW8" s="1087"/>
      <c r="BX8" s="1085" t="s">
        <v>207</v>
      </c>
      <c r="BY8" s="1086"/>
      <c r="BZ8" s="1087"/>
      <c r="CA8" s="1085" t="s">
        <v>466</v>
      </c>
      <c r="CB8" s="1086"/>
      <c r="CC8" s="1087"/>
      <c r="CD8" s="1085" t="s">
        <v>194</v>
      </c>
      <c r="CE8" s="1086"/>
      <c r="CF8" s="1087"/>
      <c r="CG8" s="1088" t="s">
        <v>491</v>
      </c>
      <c r="CH8" s="1089"/>
      <c r="CI8" s="1090"/>
      <c r="CJ8" s="402"/>
      <c r="CK8" s="520"/>
      <c r="CL8" s="403"/>
    </row>
    <row r="9" spans="1:90" ht="15" customHeight="1" x14ac:dyDescent="0.2">
      <c r="A9" s="1117" t="s">
        <v>195</v>
      </c>
      <c r="B9" s="1120" t="s">
        <v>196</v>
      </c>
      <c r="C9" s="106"/>
      <c r="D9" s="1082"/>
      <c r="E9" s="1083"/>
      <c r="F9" s="1084"/>
      <c r="G9" s="1082"/>
      <c r="H9" s="1083"/>
      <c r="I9" s="1084"/>
      <c r="J9" s="1082"/>
      <c r="K9" s="1083"/>
      <c r="L9" s="1084"/>
      <c r="M9" s="1082">
        <v>680002</v>
      </c>
      <c r="N9" s="1083"/>
      <c r="O9" s="1084"/>
      <c r="P9" s="1082"/>
      <c r="Q9" s="1083"/>
      <c r="R9" s="1084"/>
      <c r="S9" s="1082"/>
      <c r="T9" s="1083"/>
      <c r="U9" s="1084"/>
      <c r="V9" s="1082"/>
      <c r="W9" s="1083"/>
      <c r="X9" s="1084"/>
      <c r="Y9" s="1082"/>
      <c r="Z9" s="1083"/>
      <c r="AA9" s="1084"/>
      <c r="AB9" s="1082"/>
      <c r="AC9" s="1083"/>
      <c r="AD9" s="1084"/>
      <c r="AE9" s="1082"/>
      <c r="AF9" s="1083"/>
      <c r="AG9" s="1084"/>
      <c r="AH9" s="1082"/>
      <c r="AI9" s="1083"/>
      <c r="AJ9" s="1084"/>
      <c r="AK9" s="1082"/>
      <c r="AL9" s="1083"/>
      <c r="AM9" s="1084"/>
      <c r="AN9" s="1082"/>
      <c r="AO9" s="1083"/>
      <c r="AP9" s="1084"/>
      <c r="AQ9" s="1082"/>
      <c r="AR9" s="1083"/>
      <c r="AS9" s="1084"/>
      <c r="AT9" s="1082"/>
      <c r="AU9" s="1083"/>
      <c r="AV9" s="1084"/>
      <c r="AW9" s="1082"/>
      <c r="AX9" s="1083"/>
      <c r="AY9" s="1084"/>
      <c r="AZ9" s="1082">
        <v>931102</v>
      </c>
      <c r="BA9" s="1083"/>
      <c r="BB9" s="1084"/>
      <c r="BC9" s="1082"/>
      <c r="BD9" s="1083"/>
      <c r="BE9" s="1084"/>
      <c r="BF9" s="1079"/>
      <c r="BG9" s="1080"/>
      <c r="BH9" s="1081"/>
      <c r="BI9" s="1082">
        <v>910501</v>
      </c>
      <c r="BJ9" s="1083"/>
      <c r="BK9" s="1084"/>
      <c r="BL9" s="1082"/>
      <c r="BM9" s="1083"/>
      <c r="BN9" s="1084"/>
      <c r="BO9" s="1082"/>
      <c r="BP9" s="1083"/>
      <c r="BQ9" s="1084"/>
      <c r="BR9" s="1103"/>
      <c r="BS9" s="1104"/>
      <c r="BT9" s="1105"/>
      <c r="BU9" s="1082"/>
      <c r="BV9" s="1083"/>
      <c r="BW9" s="1084"/>
      <c r="BX9" s="1082"/>
      <c r="BY9" s="1083"/>
      <c r="BZ9" s="1084"/>
      <c r="CA9" s="1082"/>
      <c r="CB9" s="1083"/>
      <c r="CC9" s="1084"/>
      <c r="CD9" s="1082"/>
      <c r="CE9" s="1083"/>
      <c r="CF9" s="1084"/>
      <c r="CG9" s="1082"/>
      <c r="CH9" s="1083"/>
      <c r="CI9" s="1084"/>
      <c r="CJ9" s="1106" t="s">
        <v>197</v>
      </c>
      <c r="CK9" s="1107"/>
      <c r="CL9" s="1108"/>
    </row>
    <row r="10" spans="1:90" s="122" customFormat="1" x14ac:dyDescent="0.2">
      <c r="A10" s="1118"/>
      <c r="B10" s="1121"/>
      <c r="C10" s="108" t="s">
        <v>1</v>
      </c>
      <c r="D10" s="1073" t="s">
        <v>489</v>
      </c>
      <c r="E10" s="1074"/>
      <c r="F10" s="1075"/>
      <c r="G10" s="1073" t="s">
        <v>157</v>
      </c>
      <c r="H10" s="1074"/>
      <c r="I10" s="1075"/>
      <c r="J10" s="1073" t="s">
        <v>158</v>
      </c>
      <c r="K10" s="1074"/>
      <c r="L10" s="1075"/>
      <c r="M10" s="1073" t="s">
        <v>200</v>
      </c>
      <c r="N10" s="1074"/>
      <c r="O10" s="1075"/>
      <c r="P10" s="1073" t="s">
        <v>201</v>
      </c>
      <c r="Q10" s="1074"/>
      <c r="R10" s="1075"/>
      <c r="S10" s="1073" t="s">
        <v>777</v>
      </c>
      <c r="T10" s="1074"/>
      <c r="U10" s="1075"/>
      <c r="V10" s="1073" t="s">
        <v>162</v>
      </c>
      <c r="W10" s="1074"/>
      <c r="X10" s="1075"/>
      <c r="Y10" s="1073" t="s">
        <v>585</v>
      </c>
      <c r="Z10" s="1074"/>
      <c r="AA10" s="1075"/>
      <c r="AB10" s="1073" t="s">
        <v>163</v>
      </c>
      <c r="AC10" s="1074"/>
      <c r="AD10" s="1075"/>
      <c r="AE10" s="1076" t="s">
        <v>836</v>
      </c>
      <c r="AF10" s="1077"/>
      <c r="AG10" s="1078"/>
      <c r="AH10" s="1073" t="s">
        <v>202</v>
      </c>
      <c r="AI10" s="1074"/>
      <c r="AJ10" s="1075"/>
      <c r="AK10" s="1073" t="s">
        <v>165</v>
      </c>
      <c r="AL10" s="1074"/>
      <c r="AM10" s="1075"/>
      <c r="AN10" s="1073" t="s">
        <v>165</v>
      </c>
      <c r="AO10" s="1074"/>
      <c r="AP10" s="1075"/>
      <c r="AQ10" s="1073" t="s">
        <v>166</v>
      </c>
      <c r="AR10" s="1074"/>
      <c r="AS10" s="1075"/>
      <c r="AT10" s="1073" t="s">
        <v>203</v>
      </c>
      <c r="AU10" s="1074"/>
      <c r="AV10" s="1075"/>
      <c r="AW10" s="1073" t="s">
        <v>168</v>
      </c>
      <c r="AX10" s="1074"/>
      <c r="AY10" s="1075"/>
      <c r="AZ10" s="1073" t="s">
        <v>169</v>
      </c>
      <c r="BA10" s="1074"/>
      <c r="BB10" s="1075"/>
      <c r="BC10" s="1073" t="s">
        <v>204</v>
      </c>
      <c r="BD10" s="1074"/>
      <c r="BE10" s="1075"/>
      <c r="BF10" s="1073" t="s">
        <v>205</v>
      </c>
      <c r="BG10" s="1074"/>
      <c r="BH10" s="1075"/>
      <c r="BI10" s="1073" t="s">
        <v>205</v>
      </c>
      <c r="BJ10" s="1074"/>
      <c r="BK10" s="1075"/>
      <c r="BL10" s="1073" t="s">
        <v>172</v>
      </c>
      <c r="BM10" s="1074"/>
      <c r="BN10" s="1075"/>
      <c r="BO10" s="1073" t="s">
        <v>173</v>
      </c>
      <c r="BP10" s="1074"/>
      <c r="BQ10" s="1075"/>
      <c r="BR10" s="1073" t="s">
        <v>602</v>
      </c>
      <c r="BS10" s="1074"/>
      <c r="BT10" s="1075"/>
      <c r="BU10" s="1073" t="s">
        <v>174</v>
      </c>
      <c r="BV10" s="1074"/>
      <c r="BW10" s="1075"/>
      <c r="BX10" s="1073" t="s">
        <v>463</v>
      </c>
      <c r="BY10" s="1074"/>
      <c r="BZ10" s="1075"/>
      <c r="CA10" s="1073" t="s">
        <v>465</v>
      </c>
      <c r="CB10" s="1074"/>
      <c r="CC10" s="1075"/>
      <c r="CD10" s="1073" t="s">
        <v>175</v>
      </c>
      <c r="CE10" s="1074"/>
      <c r="CF10" s="1075"/>
      <c r="CG10" s="1076" t="s">
        <v>176</v>
      </c>
      <c r="CH10" s="1077"/>
      <c r="CI10" s="1078"/>
      <c r="CJ10" s="1076" t="s">
        <v>66</v>
      </c>
      <c r="CK10" s="1077"/>
      <c r="CL10" s="1078"/>
    </row>
    <row r="11" spans="1:90" s="122" customFormat="1" x14ac:dyDescent="0.2">
      <c r="A11" s="1118"/>
      <c r="B11" s="1121"/>
      <c r="C11" s="109"/>
      <c r="D11" s="1070"/>
      <c r="E11" s="1071"/>
      <c r="F11" s="1072"/>
      <c r="G11" s="1070" t="s">
        <v>180</v>
      </c>
      <c r="H11" s="1071"/>
      <c r="I11" s="1072"/>
      <c r="J11" s="1070"/>
      <c r="K11" s="1071"/>
      <c r="L11" s="1072"/>
      <c r="M11" s="1070" t="s">
        <v>208</v>
      </c>
      <c r="N11" s="1071"/>
      <c r="O11" s="1072"/>
      <c r="P11" s="1070" t="s">
        <v>209</v>
      </c>
      <c r="Q11" s="1071"/>
      <c r="R11" s="1072"/>
      <c r="S11" s="1070" t="s">
        <v>210</v>
      </c>
      <c r="T11" s="1071"/>
      <c r="U11" s="1072"/>
      <c r="V11" s="1070" t="s">
        <v>184</v>
      </c>
      <c r="W11" s="1071"/>
      <c r="X11" s="1072"/>
      <c r="Y11" s="1070" t="s">
        <v>185</v>
      </c>
      <c r="Z11" s="1071"/>
      <c r="AA11" s="1072"/>
      <c r="AB11" s="1070"/>
      <c r="AC11" s="1071"/>
      <c r="AD11" s="1072"/>
      <c r="AE11" s="1070" t="s">
        <v>841</v>
      </c>
      <c r="AF11" s="1071"/>
      <c r="AG11" s="1072"/>
      <c r="AH11" s="1070" t="s">
        <v>185</v>
      </c>
      <c r="AI11" s="1071"/>
      <c r="AJ11" s="1072"/>
      <c r="AK11" s="1070" t="s">
        <v>186</v>
      </c>
      <c r="AL11" s="1071"/>
      <c r="AM11" s="1072"/>
      <c r="AN11" s="1070" t="s">
        <v>187</v>
      </c>
      <c r="AO11" s="1071"/>
      <c r="AP11" s="1072"/>
      <c r="AQ11" s="1070" t="s">
        <v>187</v>
      </c>
      <c r="AR11" s="1071"/>
      <c r="AS11" s="1072"/>
      <c r="AT11" s="1070" t="s">
        <v>211</v>
      </c>
      <c r="AU11" s="1071"/>
      <c r="AV11" s="1072"/>
      <c r="AW11" s="1070" t="s">
        <v>189</v>
      </c>
      <c r="AX11" s="1071"/>
      <c r="AY11" s="1072"/>
      <c r="AZ11" s="1070" t="s">
        <v>190</v>
      </c>
      <c r="BA11" s="1071"/>
      <c r="BB11" s="1072"/>
      <c r="BC11" s="1070" t="s">
        <v>212</v>
      </c>
      <c r="BD11" s="1071"/>
      <c r="BE11" s="1072"/>
      <c r="BF11" s="1070" t="s">
        <v>780</v>
      </c>
      <c r="BG11" s="1071"/>
      <c r="BH11" s="1072"/>
      <c r="BI11" s="1070"/>
      <c r="BJ11" s="1071"/>
      <c r="BK11" s="1072"/>
      <c r="BL11" s="1070" t="s">
        <v>192</v>
      </c>
      <c r="BM11" s="1071"/>
      <c r="BN11" s="1072"/>
      <c r="BO11" s="1070" t="s">
        <v>193</v>
      </c>
      <c r="BP11" s="1071"/>
      <c r="BQ11" s="1072"/>
      <c r="BR11" s="1070" t="s">
        <v>212</v>
      </c>
      <c r="BS11" s="1071"/>
      <c r="BT11" s="1072"/>
      <c r="BU11" s="1070" t="s">
        <v>191</v>
      </c>
      <c r="BV11" s="1071"/>
      <c r="BW11" s="1072"/>
      <c r="BX11" s="1070" t="s">
        <v>207</v>
      </c>
      <c r="BY11" s="1071"/>
      <c r="BZ11" s="1072"/>
      <c r="CA11" s="1070" t="s">
        <v>466</v>
      </c>
      <c r="CB11" s="1071"/>
      <c r="CC11" s="1072"/>
      <c r="CD11" s="1070" t="s">
        <v>194</v>
      </c>
      <c r="CE11" s="1071"/>
      <c r="CF11" s="1072"/>
      <c r="CG11" s="1070" t="s">
        <v>491</v>
      </c>
      <c r="CH11" s="1071"/>
      <c r="CI11" s="1072"/>
      <c r="CJ11" s="1070" t="s">
        <v>213</v>
      </c>
      <c r="CK11" s="1071"/>
      <c r="CL11" s="1072"/>
    </row>
    <row r="12" spans="1:90" s="122" customFormat="1" ht="24" customHeight="1" x14ac:dyDescent="0.2">
      <c r="A12" s="1119"/>
      <c r="B12" s="1122"/>
      <c r="C12" s="109"/>
      <c r="D12" s="378" t="s">
        <v>673</v>
      </c>
      <c r="E12" s="378" t="s">
        <v>674</v>
      </c>
      <c r="F12" s="378" t="s">
        <v>845</v>
      </c>
      <c r="G12" s="378" t="s">
        <v>673</v>
      </c>
      <c r="H12" s="378" t="s">
        <v>674</v>
      </c>
      <c r="I12" s="378" t="s">
        <v>845</v>
      </c>
      <c r="J12" s="378" t="s">
        <v>673</v>
      </c>
      <c r="K12" s="378" t="s">
        <v>674</v>
      </c>
      <c r="L12" s="378" t="s">
        <v>845</v>
      </c>
      <c r="M12" s="378" t="s">
        <v>673</v>
      </c>
      <c r="N12" s="378" t="s">
        <v>674</v>
      </c>
      <c r="O12" s="378" t="s">
        <v>845</v>
      </c>
      <c r="P12" s="378" t="s">
        <v>673</v>
      </c>
      <c r="Q12" s="378" t="s">
        <v>674</v>
      </c>
      <c r="R12" s="378" t="s">
        <v>845</v>
      </c>
      <c r="S12" s="378" t="s">
        <v>673</v>
      </c>
      <c r="T12" s="378" t="s">
        <v>674</v>
      </c>
      <c r="U12" s="378" t="s">
        <v>845</v>
      </c>
      <c r="V12" s="378" t="s">
        <v>673</v>
      </c>
      <c r="W12" s="378" t="s">
        <v>674</v>
      </c>
      <c r="X12" s="378" t="s">
        <v>845</v>
      </c>
      <c r="Y12" s="378" t="s">
        <v>673</v>
      </c>
      <c r="Z12" s="378" t="s">
        <v>674</v>
      </c>
      <c r="AA12" s="378" t="s">
        <v>845</v>
      </c>
      <c r="AB12" s="378" t="s">
        <v>673</v>
      </c>
      <c r="AC12" s="378" t="s">
        <v>674</v>
      </c>
      <c r="AD12" s="378" t="s">
        <v>845</v>
      </c>
      <c r="AE12" s="378" t="s">
        <v>673</v>
      </c>
      <c r="AF12" s="507" t="s">
        <v>674</v>
      </c>
      <c r="AG12" s="378" t="s">
        <v>845</v>
      </c>
      <c r="AH12" s="378" t="s">
        <v>673</v>
      </c>
      <c r="AI12" s="378" t="s">
        <v>674</v>
      </c>
      <c r="AJ12" s="378" t="s">
        <v>845</v>
      </c>
      <c r="AK12" s="378" t="s">
        <v>673</v>
      </c>
      <c r="AL12" s="378" t="s">
        <v>674</v>
      </c>
      <c r="AM12" s="378" t="s">
        <v>845</v>
      </c>
      <c r="AN12" s="378" t="s">
        <v>673</v>
      </c>
      <c r="AO12" s="378" t="s">
        <v>674</v>
      </c>
      <c r="AP12" s="378" t="s">
        <v>845</v>
      </c>
      <c r="AQ12" s="378" t="s">
        <v>673</v>
      </c>
      <c r="AR12" s="378" t="s">
        <v>674</v>
      </c>
      <c r="AS12" s="378" t="s">
        <v>845</v>
      </c>
      <c r="AT12" s="378" t="s">
        <v>673</v>
      </c>
      <c r="AU12" s="378" t="s">
        <v>674</v>
      </c>
      <c r="AV12" s="378" t="s">
        <v>845</v>
      </c>
      <c r="AW12" s="378" t="s">
        <v>673</v>
      </c>
      <c r="AX12" s="378" t="s">
        <v>674</v>
      </c>
      <c r="AY12" s="378" t="s">
        <v>845</v>
      </c>
      <c r="AZ12" s="378" t="s">
        <v>673</v>
      </c>
      <c r="BA12" s="378" t="s">
        <v>674</v>
      </c>
      <c r="BB12" s="378" t="s">
        <v>845</v>
      </c>
      <c r="BC12" s="378" t="s">
        <v>673</v>
      </c>
      <c r="BD12" s="378" t="s">
        <v>674</v>
      </c>
      <c r="BE12" s="378" t="s">
        <v>845</v>
      </c>
      <c r="BF12" s="378" t="s">
        <v>673</v>
      </c>
      <c r="BG12" s="378" t="s">
        <v>674</v>
      </c>
      <c r="BH12" s="378" t="s">
        <v>845</v>
      </c>
      <c r="BI12" s="378" t="s">
        <v>673</v>
      </c>
      <c r="BJ12" s="378" t="s">
        <v>674</v>
      </c>
      <c r="BK12" s="378" t="s">
        <v>845</v>
      </c>
      <c r="BL12" s="378" t="s">
        <v>673</v>
      </c>
      <c r="BM12" s="378" t="s">
        <v>674</v>
      </c>
      <c r="BN12" s="378" t="s">
        <v>845</v>
      </c>
      <c r="BO12" s="378" t="s">
        <v>673</v>
      </c>
      <c r="BP12" s="378" t="s">
        <v>674</v>
      </c>
      <c r="BQ12" s="378" t="s">
        <v>845</v>
      </c>
      <c r="BR12" s="378" t="s">
        <v>673</v>
      </c>
      <c r="BS12" s="378" t="s">
        <v>674</v>
      </c>
      <c r="BT12" s="378" t="s">
        <v>845</v>
      </c>
      <c r="BU12" s="378" t="s">
        <v>673</v>
      </c>
      <c r="BV12" s="378" t="s">
        <v>674</v>
      </c>
      <c r="BW12" s="378" t="s">
        <v>845</v>
      </c>
      <c r="BX12" s="378" t="s">
        <v>673</v>
      </c>
      <c r="BY12" s="378" t="s">
        <v>674</v>
      </c>
      <c r="BZ12" s="378" t="s">
        <v>845</v>
      </c>
      <c r="CA12" s="378" t="s">
        <v>673</v>
      </c>
      <c r="CB12" s="378" t="s">
        <v>674</v>
      </c>
      <c r="CC12" s="378" t="s">
        <v>845</v>
      </c>
      <c r="CD12" s="378" t="s">
        <v>673</v>
      </c>
      <c r="CE12" s="378" t="s">
        <v>674</v>
      </c>
      <c r="CF12" s="378" t="s">
        <v>845</v>
      </c>
      <c r="CG12" s="378" t="s">
        <v>673</v>
      </c>
      <c r="CH12" s="378" t="s">
        <v>674</v>
      </c>
      <c r="CI12" s="378" t="s">
        <v>845</v>
      </c>
      <c r="CJ12" s="378" t="s">
        <v>673</v>
      </c>
      <c r="CK12" s="378" t="s">
        <v>674</v>
      </c>
      <c r="CL12" s="378" t="s">
        <v>845</v>
      </c>
    </row>
    <row r="13" spans="1:90" x14ac:dyDescent="0.2">
      <c r="A13" s="119" t="s">
        <v>0</v>
      </c>
      <c r="B13" s="107" t="s">
        <v>214</v>
      </c>
      <c r="C13" s="121" t="s">
        <v>215</v>
      </c>
      <c r="D13" s="69"/>
      <c r="E13" s="69"/>
      <c r="F13" s="69"/>
      <c r="G13" s="69">
        <v>41311600</v>
      </c>
      <c r="H13" s="69">
        <f>5450000*8.99+253334+503621+6383152</f>
        <v>56135607</v>
      </c>
      <c r="I13" s="69">
        <f>5450000*8.99+253334+503621+6383152</f>
        <v>56135607</v>
      </c>
      <c r="J13" s="69">
        <v>1215228</v>
      </c>
      <c r="K13" s="69">
        <v>1215228</v>
      </c>
      <c r="L13" s="69">
        <v>1215228</v>
      </c>
      <c r="M13" s="69"/>
      <c r="N13" s="69"/>
      <c r="O13" s="69"/>
      <c r="P13" s="69"/>
      <c r="Q13" s="69"/>
      <c r="R13" s="69"/>
      <c r="S13" s="69"/>
      <c r="T13" s="69"/>
      <c r="U13" s="69"/>
      <c r="V13" s="69">
        <v>2887440</v>
      </c>
      <c r="W13" s="69">
        <v>2887440</v>
      </c>
      <c r="X13" s="69">
        <v>2887440</v>
      </c>
      <c r="Y13" s="69"/>
      <c r="Z13" s="69"/>
      <c r="AA13" s="69"/>
      <c r="AB13" s="69">
        <v>1318549</v>
      </c>
      <c r="AC13" s="69">
        <v>1318549</v>
      </c>
      <c r="AD13" s="69">
        <v>1318549</v>
      </c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71"/>
      <c r="CI13" s="71"/>
      <c r="CJ13" s="71">
        <f t="shared" ref="CJ13:CJ21" si="0">D13+G13+J13+M13+P13+S13+BF13+V13+Y13+AB13+AE13+AH13+AK13+AN13+AQ13+AT13+AW13+AZ13+BC13+BI13+BL13+BO13+BR13+BU13+BX13+CA13+CD13+CG13</f>
        <v>46732817</v>
      </c>
      <c r="CK13" s="71">
        <f t="shared" ref="CK13:CK21" si="1">E13+H13+K13+N13+Q13+T13+BG13+W13+Z13+AC13+AF13+AI13+AL13+AO13+AR13+AU13+AX13+BA13+BD13+BJ13+BM13+BP13+BS13+BV13+BY13+CB13+CE13+CH13</f>
        <v>61556824</v>
      </c>
      <c r="CL13" s="71">
        <f t="shared" ref="CL13:CL21" si="2">F13+I13+L13+O13+R13+U13+BH13+X13+AA13+AD13+AG13+AJ13+AM13+AP13+AS13+AV13+AY13+BB13+BE13+BK13+BN13+BQ13+BT13+BW13+BZ13+CC13+CF13+CI13</f>
        <v>61556824</v>
      </c>
    </row>
    <row r="14" spans="1:90" x14ac:dyDescent="0.2">
      <c r="A14" s="119" t="s">
        <v>6</v>
      </c>
      <c r="B14" s="107" t="s">
        <v>216</v>
      </c>
      <c r="C14" s="121" t="s">
        <v>217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>
        <v>42585920</v>
      </c>
      <c r="BP14" s="69">
        <f>43655020+3276650</f>
        <v>46931670</v>
      </c>
      <c r="BQ14" s="69">
        <f>43655020+3276650</f>
        <v>46931670</v>
      </c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71"/>
      <c r="CI14" s="71"/>
      <c r="CJ14" s="71">
        <f t="shared" si="0"/>
        <v>42585920</v>
      </c>
      <c r="CK14" s="71">
        <f t="shared" si="1"/>
        <v>46931670</v>
      </c>
      <c r="CL14" s="71">
        <f t="shared" si="2"/>
        <v>46931670</v>
      </c>
    </row>
    <row r="15" spans="1:90" x14ac:dyDescent="0.2">
      <c r="A15" s="119" t="s">
        <v>14</v>
      </c>
      <c r="B15" s="107" t="s">
        <v>218</v>
      </c>
      <c r="C15" s="121" t="s">
        <v>219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>
        <f>12782000+9675484+92340</f>
        <v>22549824</v>
      </c>
      <c r="BS15" s="69">
        <f>14344000+18104430*0.7+219222+922240+602000</f>
        <v>28760563</v>
      </c>
      <c r="BT15" s="69">
        <f>27355101+922240+224694+258528</f>
        <v>28760563</v>
      </c>
      <c r="BU15" s="69">
        <v>3400000</v>
      </c>
      <c r="BV15" s="69">
        <f>3400000+320000+460608*1.175+191046*1.155+147931</f>
        <v>4629803.53</v>
      </c>
      <c r="BW15" s="69">
        <f>3780000+320000+975008</f>
        <v>5075008</v>
      </c>
      <c r="BX15" s="69">
        <v>25451184</v>
      </c>
      <c r="BY15" s="69">
        <f>26242040+423500+366992+42000</f>
        <v>27074532</v>
      </c>
      <c r="BZ15" s="69">
        <f>26242040+357613+325000</f>
        <v>26924653</v>
      </c>
      <c r="CA15" s="69">
        <v>13145000</v>
      </c>
      <c r="CB15" s="69">
        <f>150000+13728000+1501500+1973790+105970+258545</f>
        <v>17717805</v>
      </c>
      <c r="CC15" s="69">
        <f>150000+13728000+1944480+1600000</f>
        <v>17422480</v>
      </c>
      <c r="CD15" s="69"/>
      <c r="CE15" s="69"/>
      <c r="CF15" s="69"/>
      <c r="CG15" s="69"/>
      <c r="CH15" s="71"/>
      <c r="CI15" s="71"/>
      <c r="CJ15" s="71">
        <f t="shared" si="0"/>
        <v>64546008</v>
      </c>
      <c r="CK15" s="71">
        <f t="shared" si="1"/>
        <v>78182703.530000001</v>
      </c>
      <c r="CL15" s="71">
        <f t="shared" si="2"/>
        <v>78182704</v>
      </c>
    </row>
    <row r="16" spans="1:90" x14ac:dyDescent="0.2">
      <c r="A16" s="119" t="s">
        <v>17</v>
      </c>
      <c r="B16" s="107" t="s">
        <v>220</v>
      </c>
      <c r="C16" s="121" t="s">
        <v>221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>
        <v>2557044</v>
      </c>
      <c r="BJ16" s="69">
        <f>2557044+878920</f>
        <v>3435964</v>
      </c>
      <c r="BK16" s="69">
        <f>2557044+878920</f>
        <v>3435964</v>
      </c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71"/>
      <c r="CI16" s="71"/>
      <c r="CJ16" s="71">
        <f t="shared" si="0"/>
        <v>2557044</v>
      </c>
      <c r="CK16" s="71">
        <f t="shared" si="1"/>
        <v>3435964</v>
      </c>
      <c r="CL16" s="71">
        <f t="shared" si="2"/>
        <v>3435964</v>
      </c>
    </row>
    <row r="17" spans="1:90" x14ac:dyDescent="0.2">
      <c r="A17" s="119" t="s">
        <v>33</v>
      </c>
      <c r="B17" s="107" t="s">
        <v>222</v>
      </c>
      <c r="C17" s="121" t="s">
        <v>223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71"/>
      <c r="CI17" s="71"/>
      <c r="CJ17" s="71">
        <f t="shared" si="0"/>
        <v>0</v>
      </c>
      <c r="CK17" s="71">
        <f t="shared" si="1"/>
        <v>0</v>
      </c>
      <c r="CL17" s="71">
        <f t="shared" si="2"/>
        <v>0</v>
      </c>
    </row>
    <row r="18" spans="1:90" x14ac:dyDescent="0.2">
      <c r="A18" s="119" t="s">
        <v>35</v>
      </c>
      <c r="B18" s="107" t="s">
        <v>224</v>
      </c>
      <c r="C18" s="121" t="s">
        <v>225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71">
        <v>564896</v>
      </c>
      <c r="CI18" s="71">
        <v>564896</v>
      </c>
      <c r="CJ18" s="71">
        <f t="shared" si="0"/>
        <v>0</v>
      </c>
      <c r="CK18" s="71">
        <f t="shared" si="1"/>
        <v>564896</v>
      </c>
      <c r="CL18" s="71">
        <f t="shared" si="2"/>
        <v>564896</v>
      </c>
    </row>
    <row r="19" spans="1:90" s="132" customFormat="1" x14ac:dyDescent="0.2">
      <c r="A19" s="107" t="s">
        <v>30</v>
      </c>
      <c r="B19" s="110" t="s">
        <v>226</v>
      </c>
      <c r="C19" s="111" t="s">
        <v>227</v>
      </c>
      <c r="D19" s="70">
        <f>SUM(D13:D18)</f>
        <v>0</v>
      </c>
      <c r="E19" s="70">
        <f t="shared" ref="E19:BP19" si="3">SUM(E13:E18)</f>
        <v>0</v>
      </c>
      <c r="F19" s="70">
        <f t="shared" si="3"/>
        <v>0</v>
      </c>
      <c r="G19" s="70">
        <f t="shared" si="3"/>
        <v>41311600</v>
      </c>
      <c r="H19" s="70">
        <f t="shared" si="3"/>
        <v>56135607</v>
      </c>
      <c r="I19" s="70">
        <f t="shared" si="3"/>
        <v>56135607</v>
      </c>
      <c r="J19" s="70">
        <f t="shared" si="3"/>
        <v>1215228</v>
      </c>
      <c r="K19" s="70">
        <f t="shared" si="3"/>
        <v>1215228</v>
      </c>
      <c r="L19" s="70">
        <f t="shared" si="3"/>
        <v>1215228</v>
      </c>
      <c r="M19" s="70">
        <f t="shared" si="3"/>
        <v>0</v>
      </c>
      <c r="N19" s="70">
        <f t="shared" si="3"/>
        <v>0</v>
      </c>
      <c r="O19" s="70">
        <f t="shared" si="3"/>
        <v>0</v>
      </c>
      <c r="P19" s="70">
        <f t="shared" si="3"/>
        <v>0</v>
      </c>
      <c r="Q19" s="70">
        <f t="shared" si="3"/>
        <v>0</v>
      </c>
      <c r="R19" s="70">
        <f t="shared" si="3"/>
        <v>0</v>
      </c>
      <c r="S19" s="70">
        <f t="shared" si="3"/>
        <v>0</v>
      </c>
      <c r="T19" s="70">
        <f t="shared" si="3"/>
        <v>0</v>
      </c>
      <c r="U19" s="70">
        <f t="shared" si="3"/>
        <v>0</v>
      </c>
      <c r="V19" s="70">
        <f t="shared" si="3"/>
        <v>2887440</v>
      </c>
      <c r="W19" s="70">
        <f t="shared" si="3"/>
        <v>2887440</v>
      </c>
      <c r="X19" s="70">
        <f t="shared" si="3"/>
        <v>2887440</v>
      </c>
      <c r="Y19" s="70">
        <f t="shared" si="3"/>
        <v>0</v>
      </c>
      <c r="Z19" s="70">
        <f t="shared" si="3"/>
        <v>0</v>
      </c>
      <c r="AA19" s="70">
        <f t="shared" si="3"/>
        <v>0</v>
      </c>
      <c r="AB19" s="70">
        <f t="shared" si="3"/>
        <v>1318549</v>
      </c>
      <c r="AC19" s="70">
        <f t="shared" si="3"/>
        <v>1318549</v>
      </c>
      <c r="AD19" s="70">
        <f t="shared" si="3"/>
        <v>1318549</v>
      </c>
      <c r="AE19" s="70">
        <f t="shared" si="3"/>
        <v>0</v>
      </c>
      <c r="AF19" s="70">
        <f t="shared" si="3"/>
        <v>0</v>
      </c>
      <c r="AG19" s="70">
        <f t="shared" si="3"/>
        <v>0</v>
      </c>
      <c r="AH19" s="70">
        <f t="shared" si="3"/>
        <v>0</v>
      </c>
      <c r="AI19" s="70">
        <f t="shared" si="3"/>
        <v>0</v>
      </c>
      <c r="AJ19" s="70">
        <f t="shared" si="3"/>
        <v>0</v>
      </c>
      <c r="AK19" s="70">
        <f t="shared" si="3"/>
        <v>0</v>
      </c>
      <c r="AL19" s="70">
        <f t="shared" si="3"/>
        <v>0</v>
      </c>
      <c r="AM19" s="70">
        <f t="shared" si="3"/>
        <v>0</v>
      </c>
      <c r="AN19" s="70">
        <f t="shared" si="3"/>
        <v>0</v>
      </c>
      <c r="AO19" s="70">
        <f t="shared" si="3"/>
        <v>0</v>
      </c>
      <c r="AP19" s="70">
        <f t="shared" si="3"/>
        <v>0</v>
      </c>
      <c r="AQ19" s="70">
        <f t="shared" si="3"/>
        <v>0</v>
      </c>
      <c r="AR19" s="70">
        <f t="shared" si="3"/>
        <v>0</v>
      </c>
      <c r="AS19" s="70">
        <f t="shared" si="3"/>
        <v>0</v>
      </c>
      <c r="AT19" s="70">
        <f t="shared" si="3"/>
        <v>0</v>
      </c>
      <c r="AU19" s="70">
        <f t="shared" si="3"/>
        <v>0</v>
      </c>
      <c r="AV19" s="70">
        <f t="shared" si="3"/>
        <v>0</v>
      </c>
      <c r="AW19" s="70">
        <f t="shared" si="3"/>
        <v>0</v>
      </c>
      <c r="AX19" s="70">
        <f t="shared" si="3"/>
        <v>0</v>
      </c>
      <c r="AY19" s="70">
        <f t="shared" si="3"/>
        <v>0</v>
      </c>
      <c r="AZ19" s="70">
        <f t="shared" si="3"/>
        <v>0</v>
      </c>
      <c r="BA19" s="70">
        <f t="shared" si="3"/>
        <v>0</v>
      </c>
      <c r="BB19" s="70">
        <f t="shared" si="3"/>
        <v>0</v>
      </c>
      <c r="BC19" s="70">
        <f t="shared" si="3"/>
        <v>0</v>
      </c>
      <c r="BD19" s="70">
        <f t="shared" si="3"/>
        <v>0</v>
      </c>
      <c r="BE19" s="70">
        <f t="shared" si="3"/>
        <v>0</v>
      </c>
      <c r="BF19" s="70">
        <f t="shared" si="3"/>
        <v>0</v>
      </c>
      <c r="BG19" s="70">
        <f t="shared" si="3"/>
        <v>0</v>
      </c>
      <c r="BH19" s="70">
        <f t="shared" si="3"/>
        <v>0</v>
      </c>
      <c r="BI19" s="70">
        <f t="shared" si="3"/>
        <v>2557044</v>
      </c>
      <c r="BJ19" s="70">
        <f t="shared" si="3"/>
        <v>3435964</v>
      </c>
      <c r="BK19" s="70">
        <f t="shared" si="3"/>
        <v>3435964</v>
      </c>
      <c r="BL19" s="70">
        <f t="shared" si="3"/>
        <v>0</v>
      </c>
      <c r="BM19" s="70">
        <f t="shared" si="3"/>
        <v>0</v>
      </c>
      <c r="BN19" s="70">
        <f t="shared" si="3"/>
        <v>0</v>
      </c>
      <c r="BO19" s="70">
        <f t="shared" si="3"/>
        <v>42585920</v>
      </c>
      <c r="BP19" s="70">
        <f t="shared" si="3"/>
        <v>46931670</v>
      </c>
      <c r="BQ19" s="70">
        <f t="shared" ref="BQ19:CI19" si="4">SUM(BQ13:BQ18)</f>
        <v>46931670</v>
      </c>
      <c r="BR19" s="70">
        <f t="shared" si="4"/>
        <v>22549824</v>
      </c>
      <c r="BS19" s="70">
        <f t="shared" si="4"/>
        <v>28760563</v>
      </c>
      <c r="BT19" s="70">
        <f t="shared" si="4"/>
        <v>28760563</v>
      </c>
      <c r="BU19" s="70">
        <f t="shared" si="4"/>
        <v>3400000</v>
      </c>
      <c r="BV19" s="70">
        <f t="shared" si="4"/>
        <v>4629803.53</v>
      </c>
      <c r="BW19" s="70">
        <f t="shared" si="4"/>
        <v>5075008</v>
      </c>
      <c r="BX19" s="70">
        <f t="shared" si="4"/>
        <v>25451184</v>
      </c>
      <c r="BY19" s="70">
        <f t="shared" si="4"/>
        <v>27074532</v>
      </c>
      <c r="BZ19" s="70">
        <f t="shared" si="4"/>
        <v>26924653</v>
      </c>
      <c r="CA19" s="70">
        <f t="shared" si="4"/>
        <v>13145000</v>
      </c>
      <c r="CB19" s="70">
        <f t="shared" si="4"/>
        <v>17717805</v>
      </c>
      <c r="CC19" s="70">
        <f t="shared" si="4"/>
        <v>17422480</v>
      </c>
      <c r="CD19" s="70">
        <f t="shared" si="4"/>
        <v>0</v>
      </c>
      <c r="CE19" s="70">
        <f t="shared" si="4"/>
        <v>0</v>
      </c>
      <c r="CF19" s="70">
        <f t="shared" si="4"/>
        <v>0</v>
      </c>
      <c r="CG19" s="70">
        <f t="shared" si="4"/>
        <v>0</v>
      </c>
      <c r="CH19" s="70">
        <f t="shared" si="4"/>
        <v>564896</v>
      </c>
      <c r="CI19" s="70">
        <f t="shared" si="4"/>
        <v>564896</v>
      </c>
      <c r="CJ19" s="312">
        <f t="shared" si="0"/>
        <v>156421789</v>
      </c>
      <c r="CK19" s="312">
        <f t="shared" si="1"/>
        <v>190672057.53</v>
      </c>
      <c r="CL19" s="312">
        <f t="shared" si="2"/>
        <v>190672058</v>
      </c>
    </row>
    <row r="20" spans="1:90" x14ac:dyDescent="0.2">
      <c r="A20" s="119" t="s">
        <v>18</v>
      </c>
      <c r="B20" s="107" t="s">
        <v>228</v>
      </c>
      <c r="C20" s="121" t="s">
        <v>229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71"/>
      <c r="CI20" s="71"/>
      <c r="CJ20" s="71">
        <f t="shared" si="0"/>
        <v>0</v>
      </c>
      <c r="CK20" s="71">
        <f t="shared" si="1"/>
        <v>0</v>
      </c>
      <c r="CL20" s="71">
        <f t="shared" si="2"/>
        <v>0</v>
      </c>
    </row>
    <row r="21" spans="1:90" x14ac:dyDescent="0.2">
      <c r="A21" s="119" t="s">
        <v>19</v>
      </c>
      <c r="B21" s="107" t="s">
        <v>230</v>
      </c>
      <c r="C21" s="121" t="s">
        <v>231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71"/>
      <c r="CI21" s="71"/>
      <c r="CJ21" s="71">
        <f t="shared" si="0"/>
        <v>0</v>
      </c>
      <c r="CK21" s="71">
        <f t="shared" si="1"/>
        <v>0</v>
      </c>
      <c r="CL21" s="71">
        <f t="shared" si="2"/>
        <v>0</v>
      </c>
    </row>
    <row r="22" spans="1:90" x14ac:dyDescent="0.2">
      <c r="A22" s="119" t="s">
        <v>20</v>
      </c>
      <c r="B22" s="107" t="s">
        <v>232</v>
      </c>
      <c r="C22" s="121" t="s">
        <v>233</v>
      </c>
      <c r="D22" s="69"/>
      <c r="E22" s="69"/>
      <c r="F22" s="69"/>
      <c r="G22" s="69"/>
      <c r="H22" s="69">
        <v>358173</v>
      </c>
      <c r="I22" s="69">
        <v>358173</v>
      </c>
      <c r="J22" s="69"/>
      <c r="K22" s="69"/>
      <c r="L22" s="69"/>
      <c r="M22" s="69"/>
      <c r="N22" s="69"/>
      <c r="O22" s="69"/>
      <c r="P22" s="69"/>
      <c r="Q22" s="69"/>
      <c r="R22" s="69"/>
      <c r="S22" s="69">
        <v>11131429</v>
      </c>
      <c r="T22" s="69">
        <f>9109800-162232</f>
        <v>8947568</v>
      </c>
      <c r="U22" s="69">
        <v>8947568</v>
      </c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>
        <f>1550000*7+1175000+655200</f>
        <v>12680200</v>
      </c>
      <c r="AM22" s="69">
        <f>1550000*7+1175000+655200</f>
        <v>12680200</v>
      </c>
      <c r="AN22" s="69"/>
      <c r="AO22" s="69"/>
      <c r="AP22" s="69"/>
      <c r="AQ22" s="69"/>
      <c r="AR22" s="69"/>
      <c r="AS22" s="69"/>
      <c r="AT22" s="69">
        <v>6202800</v>
      </c>
      <c r="AU22" s="69">
        <f>6246000+500000*1.175+65300</f>
        <v>6898800</v>
      </c>
      <c r="AV22" s="69">
        <f>6246000+500000*1.175+65300</f>
        <v>6898800</v>
      </c>
      <c r="AW22" s="69">
        <v>116400</v>
      </c>
      <c r="AX22" s="69">
        <f>9700*12</f>
        <v>116400</v>
      </c>
      <c r="AY22" s="69">
        <f>9700*12</f>
        <v>116400</v>
      </c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>
        <v>748311</v>
      </c>
      <c r="BV22" s="69"/>
      <c r="BW22" s="69"/>
      <c r="BX22" s="69">
        <v>194571</v>
      </c>
      <c r="BY22" s="69">
        <v>5450000</v>
      </c>
      <c r="BZ22" s="69">
        <v>5450000</v>
      </c>
      <c r="CA22" s="69">
        <v>1047059</v>
      </c>
      <c r="CB22" s="69"/>
      <c r="CC22" s="69"/>
      <c r="CD22" s="69"/>
      <c r="CE22" s="69"/>
      <c r="CF22" s="69"/>
      <c r="CG22" s="69"/>
      <c r="CH22" s="71"/>
      <c r="CI22" s="71"/>
      <c r="CJ22" s="71">
        <f t="shared" ref="CJ22:CJ59" si="5">D22+G22+J22+M22+P22+S22+BF22+V22+Y22+AB22+AE22+AH22+AK22+AN22+AQ22+AT22+AW22+AZ22+BC22+BI22+BL22+BO22+BR22+BU22+BX22+CA22+CD22+CG22</f>
        <v>19440570</v>
      </c>
      <c r="CK22" s="71">
        <f t="shared" ref="CK22:CK59" si="6">E22+H22+K22+N22+Q22+T22+BG22+W22+Z22+AC22+AF22+AI22+AL22+AO22+AR22+AU22+AX22+BA22+BD22+BJ22+BM22+BP22+BS22+BV22+BY22+CB22+CE22+CH22</f>
        <v>34451141</v>
      </c>
      <c r="CL22" s="71">
        <f t="shared" ref="CL22:CL59" si="7">F22+I22+L22+O22+R22+U22+BH22+X22+AA22+AD22+AG22+AJ22+AM22+AP22+AS22+AV22+AY22+BB22+BE22+BK22+BN22+BQ22+BT22+BW22+BZ22+CC22+CF22+CI22</f>
        <v>34451141</v>
      </c>
    </row>
    <row r="23" spans="1:90" s="132" customFormat="1" x14ac:dyDescent="0.2">
      <c r="A23" s="107" t="s">
        <v>21</v>
      </c>
      <c r="B23" s="110" t="s">
        <v>234</v>
      </c>
      <c r="C23" s="111" t="s">
        <v>235</v>
      </c>
      <c r="D23" s="70">
        <f>SUM(D20:D22)+D19</f>
        <v>0</v>
      </c>
      <c r="E23" s="70">
        <f t="shared" ref="E23:BP23" si="8">SUM(E20:E22)+E19</f>
        <v>0</v>
      </c>
      <c r="F23" s="70">
        <f t="shared" si="8"/>
        <v>0</v>
      </c>
      <c r="G23" s="70">
        <f t="shared" si="8"/>
        <v>41311600</v>
      </c>
      <c r="H23" s="70">
        <f t="shared" si="8"/>
        <v>56493780</v>
      </c>
      <c r="I23" s="70">
        <f t="shared" si="8"/>
        <v>56493780</v>
      </c>
      <c r="J23" s="70">
        <f t="shared" si="8"/>
        <v>1215228</v>
      </c>
      <c r="K23" s="70">
        <f t="shared" si="8"/>
        <v>1215228</v>
      </c>
      <c r="L23" s="70">
        <f t="shared" si="8"/>
        <v>1215228</v>
      </c>
      <c r="M23" s="70">
        <f t="shared" si="8"/>
        <v>0</v>
      </c>
      <c r="N23" s="70">
        <f t="shared" si="8"/>
        <v>0</v>
      </c>
      <c r="O23" s="70">
        <f t="shared" si="8"/>
        <v>0</v>
      </c>
      <c r="P23" s="70">
        <f t="shared" si="8"/>
        <v>0</v>
      </c>
      <c r="Q23" s="70">
        <f t="shared" si="8"/>
        <v>0</v>
      </c>
      <c r="R23" s="70">
        <f t="shared" si="8"/>
        <v>0</v>
      </c>
      <c r="S23" s="70">
        <f t="shared" si="8"/>
        <v>11131429</v>
      </c>
      <c r="T23" s="70">
        <f t="shared" si="8"/>
        <v>8947568</v>
      </c>
      <c r="U23" s="70">
        <f t="shared" si="8"/>
        <v>8947568</v>
      </c>
      <c r="V23" s="70">
        <f t="shared" si="8"/>
        <v>2887440</v>
      </c>
      <c r="W23" s="70">
        <f t="shared" si="8"/>
        <v>2887440</v>
      </c>
      <c r="X23" s="70">
        <f t="shared" si="8"/>
        <v>2887440</v>
      </c>
      <c r="Y23" s="70">
        <f t="shared" si="8"/>
        <v>0</v>
      </c>
      <c r="Z23" s="70">
        <f t="shared" si="8"/>
        <v>0</v>
      </c>
      <c r="AA23" s="70">
        <f t="shared" si="8"/>
        <v>0</v>
      </c>
      <c r="AB23" s="70">
        <f t="shared" si="8"/>
        <v>1318549</v>
      </c>
      <c r="AC23" s="70">
        <f t="shared" si="8"/>
        <v>1318549</v>
      </c>
      <c r="AD23" s="70">
        <f t="shared" si="8"/>
        <v>1318549</v>
      </c>
      <c r="AE23" s="70">
        <f t="shared" si="8"/>
        <v>0</v>
      </c>
      <c r="AF23" s="70">
        <f t="shared" si="8"/>
        <v>0</v>
      </c>
      <c r="AG23" s="70">
        <f t="shared" si="8"/>
        <v>0</v>
      </c>
      <c r="AH23" s="70">
        <f t="shared" si="8"/>
        <v>0</v>
      </c>
      <c r="AI23" s="70">
        <f t="shared" si="8"/>
        <v>0</v>
      </c>
      <c r="AJ23" s="70">
        <f t="shared" si="8"/>
        <v>0</v>
      </c>
      <c r="AK23" s="70">
        <f t="shared" si="8"/>
        <v>0</v>
      </c>
      <c r="AL23" s="70">
        <f t="shared" si="8"/>
        <v>12680200</v>
      </c>
      <c r="AM23" s="70">
        <f t="shared" si="8"/>
        <v>12680200</v>
      </c>
      <c r="AN23" s="70">
        <f t="shared" si="8"/>
        <v>0</v>
      </c>
      <c r="AO23" s="70">
        <f t="shared" si="8"/>
        <v>0</v>
      </c>
      <c r="AP23" s="70">
        <f t="shared" si="8"/>
        <v>0</v>
      </c>
      <c r="AQ23" s="70">
        <f t="shared" si="8"/>
        <v>0</v>
      </c>
      <c r="AR23" s="70">
        <f t="shared" si="8"/>
        <v>0</v>
      </c>
      <c r="AS23" s="70">
        <f t="shared" si="8"/>
        <v>0</v>
      </c>
      <c r="AT23" s="70">
        <f t="shared" si="8"/>
        <v>6202800</v>
      </c>
      <c r="AU23" s="70">
        <f t="shared" si="8"/>
        <v>6898800</v>
      </c>
      <c r="AV23" s="70">
        <f t="shared" si="8"/>
        <v>6898800</v>
      </c>
      <c r="AW23" s="70">
        <f t="shared" si="8"/>
        <v>116400</v>
      </c>
      <c r="AX23" s="70">
        <f t="shared" si="8"/>
        <v>116400</v>
      </c>
      <c r="AY23" s="70">
        <f t="shared" si="8"/>
        <v>116400</v>
      </c>
      <c r="AZ23" s="70">
        <f t="shared" si="8"/>
        <v>0</v>
      </c>
      <c r="BA23" s="70">
        <f t="shared" si="8"/>
        <v>0</v>
      </c>
      <c r="BB23" s="70">
        <f t="shared" si="8"/>
        <v>0</v>
      </c>
      <c r="BC23" s="70">
        <f t="shared" si="8"/>
        <v>0</v>
      </c>
      <c r="BD23" s="70">
        <f t="shared" si="8"/>
        <v>0</v>
      </c>
      <c r="BE23" s="70">
        <f t="shared" si="8"/>
        <v>0</v>
      </c>
      <c r="BF23" s="70">
        <f t="shared" si="8"/>
        <v>0</v>
      </c>
      <c r="BG23" s="70">
        <f t="shared" si="8"/>
        <v>0</v>
      </c>
      <c r="BH23" s="70">
        <f t="shared" si="8"/>
        <v>0</v>
      </c>
      <c r="BI23" s="70">
        <f t="shared" si="8"/>
        <v>2557044</v>
      </c>
      <c r="BJ23" s="70">
        <f t="shared" si="8"/>
        <v>3435964</v>
      </c>
      <c r="BK23" s="70">
        <f t="shared" si="8"/>
        <v>3435964</v>
      </c>
      <c r="BL23" s="70">
        <f t="shared" si="8"/>
        <v>0</v>
      </c>
      <c r="BM23" s="70">
        <f t="shared" si="8"/>
        <v>0</v>
      </c>
      <c r="BN23" s="70">
        <f t="shared" si="8"/>
        <v>0</v>
      </c>
      <c r="BO23" s="70">
        <f t="shared" si="8"/>
        <v>42585920</v>
      </c>
      <c r="BP23" s="70">
        <f t="shared" si="8"/>
        <v>46931670</v>
      </c>
      <c r="BQ23" s="70">
        <f t="shared" ref="BQ23:CI23" si="9">SUM(BQ20:BQ22)+BQ19</f>
        <v>46931670</v>
      </c>
      <c r="BR23" s="70">
        <f t="shared" si="9"/>
        <v>22549824</v>
      </c>
      <c r="BS23" s="70">
        <f t="shared" si="9"/>
        <v>28760563</v>
      </c>
      <c r="BT23" s="70">
        <f t="shared" si="9"/>
        <v>28760563</v>
      </c>
      <c r="BU23" s="70">
        <f t="shared" si="9"/>
        <v>4148311</v>
      </c>
      <c r="BV23" s="70">
        <f t="shared" si="9"/>
        <v>4629803.53</v>
      </c>
      <c r="BW23" s="70">
        <f t="shared" si="9"/>
        <v>5075008</v>
      </c>
      <c r="BX23" s="70">
        <f t="shared" si="9"/>
        <v>25645755</v>
      </c>
      <c r="BY23" s="70">
        <f t="shared" si="9"/>
        <v>32524532</v>
      </c>
      <c r="BZ23" s="70">
        <f t="shared" si="9"/>
        <v>32374653</v>
      </c>
      <c r="CA23" s="70">
        <f t="shared" si="9"/>
        <v>14192059</v>
      </c>
      <c r="CB23" s="70">
        <f t="shared" si="9"/>
        <v>17717805</v>
      </c>
      <c r="CC23" s="70">
        <f t="shared" si="9"/>
        <v>17422480</v>
      </c>
      <c r="CD23" s="70">
        <f t="shared" si="9"/>
        <v>0</v>
      </c>
      <c r="CE23" s="70">
        <f t="shared" si="9"/>
        <v>0</v>
      </c>
      <c r="CF23" s="70">
        <f t="shared" si="9"/>
        <v>0</v>
      </c>
      <c r="CG23" s="70">
        <f t="shared" si="9"/>
        <v>0</v>
      </c>
      <c r="CH23" s="70">
        <f t="shared" si="9"/>
        <v>564896</v>
      </c>
      <c r="CI23" s="70">
        <f t="shared" si="9"/>
        <v>564896</v>
      </c>
      <c r="CJ23" s="312">
        <f t="shared" si="5"/>
        <v>175862359</v>
      </c>
      <c r="CK23" s="312">
        <f t="shared" si="6"/>
        <v>225123198.53</v>
      </c>
      <c r="CL23" s="312">
        <f t="shared" si="7"/>
        <v>225123199</v>
      </c>
    </row>
    <row r="24" spans="1:90" x14ac:dyDescent="0.2">
      <c r="A24" s="119" t="s">
        <v>31</v>
      </c>
      <c r="B24" s="107" t="s">
        <v>236</v>
      </c>
      <c r="C24" s="121" t="s">
        <v>237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71"/>
      <c r="CI24" s="71"/>
      <c r="CJ24" s="71">
        <f t="shared" si="5"/>
        <v>0</v>
      </c>
      <c r="CK24" s="71">
        <f t="shared" si="6"/>
        <v>0</v>
      </c>
      <c r="CL24" s="71">
        <f t="shared" si="7"/>
        <v>0</v>
      </c>
    </row>
    <row r="25" spans="1:90" x14ac:dyDescent="0.2">
      <c r="A25" s="119" t="s">
        <v>22</v>
      </c>
      <c r="B25" s="107" t="s">
        <v>238</v>
      </c>
      <c r="C25" s="121" t="s">
        <v>239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71"/>
      <c r="CI25" s="71"/>
      <c r="CJ25" s="71">
        <f t="shared" si="5"/>
        <v>0</v>
      </c>
      <c r="CK25" s="71">
        <f t="shared" si="6"/>
        <v>0</v>
      </c>
      <c r="CL25" s="71">
        <f t="shared" si="7"/>
        <v>0</v>
      </c>
    </row>
    <row r="26" spans="1:90" x14ac:dyDescent="0.2">
      <c r="A26" s="119" t="s">
        <v>24</v>
      </c>
      <c r="B26" s="107" t="s">
        <v>240</v>
      </c>
      <c r="C26" s="121" t="s">
        <v>241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71"/>
      <c r="CI26" s="71"/>
      <c r="CJ26" s="71">
        <f t="shared" si="5"/>
        <v>0</v>
      </c>
      <c r="CK26" s="71">
        <f t="shared" si="6"/>
        <v>0</v>
      </c>
      <c r="CL26" s="71">
        <f t="shared" si="7"/>
        <v>0</v>
      </c>
    </row>
    <row r="27" spans="1:90" x14ac:dyDescent="0.2">
      <c r="A27" s="119" t="s">
        <v>39</v>
      </c>
      <c r="B27" s="107" t="s">
        <v>242</v>
      </c>
      <c r="C27" s="121" t="s">
        <v>243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>
        <v>92048342</v>
      </c>
      <c r="O27" s="69">
        <v>92048342</v>
      </c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>
        <f>541114+29599063+4409054</f>
        <v>34549231</v>
      </c>
      <c r="AG27" s="69">
        <f>541114+29599063+4409054</f>
        <v>34549231</v>
      </c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71"/>
      <c r="CI27" s="71"/>
      <c r="CJ27" s="71">
        <f t="shared" si="5"/>
        <v>0</v>
      </c>
      <c r="CK27" s="71">
        <f t="shared" si="6"/>
        <v>126597573</v>
      </c>
      <c r="CL27" s="71">
        <f t="shared" si="7"/>
        <v>126597573</v>
      </c>
    </row>
    <row r="28" spans="1:90" s="132" customFormat="1" x14ac:dyDescent="0.2">
      <c r="A28" s="107" t="s">
        <v>40</v>
      </c>
      <c r="B28" s="110" t="s">
        <v>244</v>
      </c>
      <c r="C28" s="111" t="s">
        <v>245</v>
      </c>
      <c r="D28" s="70">
        <f>SUM(D24:D27)</f>
        <v>0</v>
      </c>
      <c r="E28" s="70">
        <f t="shared" ref="E28:BP28" si="10">SUM(E24:E27)</f>
        <v>0</v>
      </c>
      <c r="F28" s="70">
        <f t="shared" si="10"/>
        <v>0</v>
      </c>
      <c r="G28" s="70">
        <f t="shared" si="10"/>
        <v>0</v>
      </c>
      <c r="H28" s="70">
        <f t="shared" si="10"/>
        <v>0</v>
      </c>
      <c r="I28" s="70">
        <f t="shared" si="10"/>
        <v>0</v>
      </c>
      <c r="J28" s="70">
        <f t="shared" si="10"/>
        <v>0</v>
      </c>
      <c r="K28" s="70">
        <f t="shared" si="10"/>
        <v>0</v>
      </c>
      <c r="L28" s="70">
        <f t="shared" si="10"/>
        <v>0</v>
      </c>
      <c r="M28" s="70">
        <f t="shared" si="10"/>
        <v>0</v>
      </c>
      <c r="N28" s="70">
        <f t="shared" si="10"/>
        <v>92048342</v>
      </c>
      <c r="O28" s="70">
        <f t="shared" si="10"/>
        <v>92048342</v>
      </c>
      <c r="P28" s="70">
        <f t="shared" si="10"/>
        <v>0</v>
      </c>
      <c r="Q28" s="70">
        <f t="shared" si="10"/>
        <v>0</v>
      </c>
      <c r="R28" s="70">
        <f t="shared" si="10"/>
        <v>0</v>
      </c>
      <c r="S28" s="70">
        <f t="shared" si="10"/>
        <v>0</v>
      </c>
      <c r="T28" s="70">
        <f t="shared" si="10"/>
        <v>0</v>
      </c>
      <c r="U28" s="70">
        <f t="shared" si="10"/>
        <v>0</v>
      </c>
      <c r="V28" s="70">
        <f t="shared" si="10"/>
        <v>0</v>
      </c>
      <c r="W28" s="70">
        <f t="shared" si="10"/>
        <v>0</v>
      </c>
      <c r="X28" s="70">
        <f t="shared" si="10"/>
        <v>0</v>
      </c>
      <c r="Y28" s="70">
        <f t="shared" si="10"/>
        <v>0</v>
      </c>
      <c r="Z28" s="70">
        <f t="shared" si="10"/>
        <v>0</v>
      </c>
      <c r="AA28" s="70">
        <f t="shared" si="10"/>
        <v>0</v>
      </c>
      <c r="AB28" s="70">
        <f t="shared" si="10"/>
        <v>0</v>
      </c>
      <c r="AC28" s="70">
        <f t="shared" si="10"/>
        <v>0</v>
      </c>
      <c r="AD28" s="70">
        <f t="shared" si="10"/>
        <v>0</v>
      </c>
      <c r="AE28" s="70">
        <f t="shared" si="10"/>
        <v>0</v>
      </c>
      <c r="AF28" s="70">
        <f t="shared" si="10"/>
        <v>34549231</v>
      </c>
      <c r="AG28" s="70">
        <f t="shared" si="10"/>
        <v>34549231</v>
      </c>
      <c r="AH28" s="70">
        <f t="shared" si="10"/>
        <v>0</v>
      </c>
      <c r="AI28" s="70">
        <f t="shared" si="10"/>
        <v>0</v>
      </c>
      <c r="AJ28" s="70">
        <f t="shared" si="10"/>
        <v>0</v>
      </c>
      <c r="AK28" s="70">
        <f t="shared" si="10"/>
        <v>0</v>
      </c>
      <c r="AL28" s="70">
        <f t="shared" si="10"/>
        <v>0</v>
      </c>
      <c r="AM28" s="70">
        <f t="shared" si="10"/>
        <v>0</v>
      </c>
      <c r="AN28" s="70">
        <f t="shared" si="10"/>
        <v>0</v>
      </c>
      <c r="AO28" s="70">
        <f t="shared" si="10"/>
        <v>0</v>
      </c>
      <c r="AP28" s="70">
        <f t="shared" si="10"/>
        <v>0</v>
      </c>
      <c r="AQ28" s="70">
        <f t="shared" si="10"/>
        <v>0</v>
      </c>
      <c r="AR28" s="70">
        <f t="shared" si="10"/>
        <v>0</v>
      </c>
      <c r="AS28" s="70">
        <f t="shared" si="10"/>
        <v>0</v>
      </c>
      <c r="AT28" s="70">
        <f t="shared" si="10"/>
        <v>0</v>
      </c>
      <c r="AU28" s="70">
        <f t="shared" si="10"/>
        <v>0</v>
      </c>
      <c r="AV28" s="70">
        <f t="shared" si="10"/>
        <v>0</v>
      </c>
      <c r="AW28" s="70">
        <f t="shared" si="10"/>
        <v>0</v>
      </c>
      <c r="AX28" s="70">
        <f t="shared" si="10"/>
        <v>0</v>
      </c>
      <c r="AY28" s="70">
        <f t="shared" si="10"/>
        <v>0</v>
      </c>
      <c r="AZ28" s="70">
        <f t="shared" si="10"/>
        <v>0</v>
      </c>
      <c r="BA28" s="70">
        <f t="shared" si="10"/>
        <v>0</v>
      </c>
      <c r="BB28" s="70">
        <f t="shared" si="10"/>
        <v>0</v>
      </c>
      <c r="BC28" s="70">
        <f t="shared" si="10"/>
        <v>0</v>
      </c>
      <c r="BD28" s="70">
        <f t="shared" si="10"/>
        <v>0</v>
      </c>
      <c r="BE28" s="70">
        <f t="shared" si="10"/>
        <v>0</v>
      </c>
      <c r="BF28" s="70">
        <f t="shared" si="10"/>
        <v>0</v>
      </c>
      <c r="BG28" s="70">
        <f t="shared" si="10"/>
        <v>0</v>
      </c>
      <c r="BH28" s="70">
        <f t="shared" si="10"/>
        <v>0</v>
      </c>
      <c r="BI28" s="70">
        <f t="shared" si="10"/>
        <v>0</v>
      </c>
      <c r="BJ28" s="70">
        <f t="shared" si="10"/>
        <v>0</v>
      </c>
      <c r="BK28" s="70">
        <f t="shared" si="10"/>
        <v>0</v>
      </c>
      <c r="BL28" s="70">
        <f t="shared" si="10"/>
        <v>0</v>
      </c>
      <c r="BM28" s="70">
        <f t="shared" si="10"/>
        <v>0</v>
      </c>
      <c r="BN28" s="70">
        <f t="shared" si="10"/>
        <v>0</v>
      </c>
      <c r="BO28" s="70">
        <f t="shared" si="10"/>
        <v>0</v>
      </c>
      <c r="BP28" s="70">
        <f t="shared" si="10"/>
        <v>0</v>
      </c>
      <c r="BQ28" s="70">
        <f t="shared" ref="BQ28:CI28" si="11">SUM(BQ24:BQ27)</f>
        <v>0</v>
      </c>
      <c r="BR28" s="70">
        <f t="shared" si="11"/>
        <v>0</v>
      </c>
      <c r="BS28" s="70">
        <f t="shared" si="11"/>
        <v>0</v>
      </c>
      <c r="BT28" s="70">
        <f t="shared" si="11"/>
        <v>0</v>
      </c>
      <c r="BU28" s="70">
        <f t="shared" si="11"/>
        <v>0</v>
      </c>
      <c r="BV28" s="70">
        <f t="shared" si="11"/>
        <v>0</v>
      </c>
      <c r="BW28" s="70">
        <f t="shared" si="11"/>
        <v>0</v>
      </c>
      <c r="BX28" s="70">
        <f t="shared" si="11"/>
        <v>0</v>
      </c>
      <c r="BY28" s="70">
        <f t="shared" si="11"/>
        <v>0</v>
      </c>
      <c r="BZ28" s="70">
        <f t="shared" si="11"/>
        <v>0</v>
      </c>
      <c r="CA28" s="70">
        <f t="shared" si="11"/>
        <v>0</v>
      </c>
      <c r="CB28" s="70">
        <f t="shared" si="11"/>
        <v>0</v>
      </c>
      <c r="CC28" s="70">
        <f t="shared" si="11"/>
        <v>0</v>
      </c>
      <c r="CD28" s="70">
        <f t="shared" si="11"/>
        <v>0</v>
      </c>
      <c r="CE28" s="70">
        <f t="shared" si="11"/>
        <v>0</v>
      </c>
      <c r="CF28" s="70">
        <f t="shared" si="11"/>
        <v>0</v>
      </c>
      <c r="CG28" s="70">
        <f t="shared" si="11"/>
        <v>0</v>
      </c>
      <c r="CH28" s="70">
        <f t="shared" si="11"/>
        <v>0</v>
      </c>
      <c r="CI28" s="70">
        <f t="shared" si="11"/>
        <v>0</v>
      </c>
      <c r="CJ28" s="312">
        <f t="shared" si="5"/>
        <v>0</v>
      </c>
      <c r="CK28" s="312">
        <f t="shared" si="6"/>
        <v>126597573</v>
      </c>
      <c r="CL28" s="312">
        <f t="shared" si="7"/>
        <v>126597573</v>
      </c>
    </row>
    <row r="29" spans="1:90" x14ac:dyDescent="0.2">
      <c r="A29" s="119" t="s">
        <v>41</v>
      </c>
      <c r="B29" s="107" t="s">
        <v>246</v>
      </c>
      <c r="C29" s="112" t="s">
        <v>93</v>
      </c>
      <c r="D29" s="69">
        <v>1000000</v>
      </c>
      <c r="E29" s="69">
        <v>1132507</v>
      </c>
      <c r="F29" s="69">
        <v>855953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71"/>
      <c r="CI29" s="71"/>
      <c r="CJ29" s="71">
        <f t="shared" si="5"/>
        <v>1000000</v>
      </c>
      <c r="CK29" s="71">
        <f t="shared" si="6"/>
        <v>1132507</v>
      </c>
      <c r="CL29" s="71">
        <f t="shared" si="7"/>
        <v>855953</v>
      </c>
    </row>
    <row r="30" spans="1:90" x14ac:dyDescent="0.2">
      <c r="A30" s="119" t="s">
        <v>42</v>
      </c>
      <c r="B30" s="107" t="s">
        <v>247</v>
      </c>
      <c r="C30" s="112" t="s">
        <v>248</v>
      </c>
      <c r="D30" s="69">
        <v>80000000</v>
      </c>
      <c r="E30" s="69">
        <v>80000000</v>
      </c>
      <c r="F30" s="69">
        <v>76247550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71"/>
      <c r="CI30" s="71"/>
      <c r="CJ30" s="71">
        <f t="shared" si="5"/>
        <v>80000000</v>
      </c>
      <c r="CK30" s="71">
        <f t="shared" si="6"/>
        <v>80000000</v>
      </c>
      <c r="CL30" s="71">
        <f t="shared" si="7"/>
        <v>76247550</v>
      </c>
    </row>
    <row r="31" spans="1:90" x14ac:dyDescent="0.2">
      <c r="A31" s="119" t="s">
        <v>43</v>
      </c>
      <c r="B31" s="107" t="s">
        <v>249</v>
      </c>
      <c r="C31" s="112" t="s">
        <v>250</v>
      </c>
      <c r="D31" s="69">
        <v>8000000</v>
      </c>
      <c r="E31" s="69">
        <v>0</v>
      </c>
      <c r="F31" s="69">
        <v>0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71"/>
      <c r="CI31" s="71"/>
      <c r="CJ31" s="71">
        <f t="shared" si="5"/>
        <v>8000000</v>
      </c>
      <c r="CK31" s="71">
        <f t="shared" si="6"/>
        <v>0</v>
      </c>
      <c r="CL31" s="71">
        <f t="shared" si="7"/>
        <v>0</v>
      </c>
    </row>
    <row r="32" spans="1:90" x14ac:dyDescent="0.2">
      <c r="A32" s="119" t="s">
        <v>44</v>
      </c>
      <c r="B32" s="107" t="s">
        <v>251</v>
      </c>
      <c r="C32" s="112" t="s">
        <v>71</v>
      </c>
      <c r="D32" s="69">
        <v>50000</v>
      </c>
      <c r="E32" s="69">
        <v>200000</v>
      </c>
      <c r="F32" s="69">
        <v>163600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71"/>
      <c r="CI32" s="71"/>
      <c r="CJ32" s="71">
        <f t="shared" si="5"/>
        <v>50000</v>
      </c>
      <c r="CK32" s="71">
        <f t="shared" si="6"/>
        <v>200000</v>
      </c>
      <c r="CL32" s="71">
        <f t="shared" si="7"/>
        <v>163600</v>
      </c>
    </row>
    <row r="33" spans="1:90" x14ac:dyDescent="0.2">
      <c r="A33" s="119" t="s">
        <v>45</v>
      </c>
      <c r="B33" s="107" t="s">
        <v>251</v>
      </c>
      <c r="C33" s="112" t="s">
        <v>252</v>
      </c>
      <c r="D33" s="69">
        <v>100000</v>
      </c>
      <c r="E33" s="69">
        <v>481963</v>
      </c>
      <c r="F33" s="69">
        <v>171815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71"/>
      <c r="CI33" s="71"/>
      <c r="CJ33" s="71">
        <f t="shared" si="5"/>
        <v>100000</v>
      </c>
      <c r="CK33" s="71">
        <f t="shared" si="6"/>
        <v>481963</v>
      </c>
      <c r="CL33" s="71">
        <f t="shared" si="7"/>
        <v>171815</v>
      </c>
    </row>
    <row r="34" spans="1:90" s="132" customFormat="1" x14ac:dyDescent="0.2">
      <c r="A34" s="107" t="s">
        <v>46</v>
      </c>
      <c r="B34" s="110" t="s">
        <v>253</v>
      </c>
      <c r="C34" s="113" t="s">
        <v>8</v>
      </c>
      <c r="D34" s="70">
        <f>SUM(D29:D33)</f>
        <v>89150000</v>
      </c>
      <c r="E34" s="70">
        <f t="shared" ref="E34:BP34" si="12">SUM(E29:E33)</f>
        <v>81814470</v>
      </c>
      <c r="F34" s="70">
        <f t="shared" si="12"/>
        <v>77438918</v>
      </c>
      <c r="G34" s="70">
        <f t="shared" si="12"/>
        <v>0</v>
      </c>
      <c r="H34" s="70">
        <f t="shared" si="12"/>
        <v>0</v>
      </c>
      <c r="I34" s="70">
        <f t="shared" si="12"/>
        <v>0</v>
      </c>
      <c r="J34" s="70">
        <f t="shared" si="12"/>
        <v>0</v>
      </c>
      <c r="K34" s="70">
        <f t="shared" si="12"/>
        <v>0</v>
      </c>
      <c r="L34" s="70">
        <f t="shared" si="12"/>
        <v>0</v>
      </c>
      <c r="M34" s="70">
        <f t="shared" si="12"/>
        <v>0</v>
      </c>
      <c r="N34" s="70">
        <f t="shared" si="12"/>
        <v>0</v>
      </c>
      <c r="O34" s="70">
        <f t="shared" si="12"/>
        <v>0</v>
      </c>
      <c r="P34" s="70">
        <f t="shared" si="12"/>
        <v>0</v>
      </c>
      <c r="Q34" s="70">
        <f t="shared" si="12"/>
        <v>0</v>
      </c>
      <c r="R34" s="70">
        <f t="shared" si="12"/>
        <v>0</v>
      </c>
      <c r="S34" s="70">
        <f t="shared" si="12"/>
        <v>0</v>
      </c>
      <c r="T34" s="70">
        <f t="shared" si="12"/>
        <v>0</v>
      </c>
      <c r="U34" s="70">
        <f t="shared" si="12"/>
        <v>0</v>
      </c>
      <c r="V34" s="70">
        <f t="shared" si="12"/>
        <v>0</v>
      </c>
      <c r="W34" s="70">
        <f t="shared" si="12"/>
        <v>0</v>
      </c>
      <c r="X34" s="70">
        <f t="shared" si="12"/>
        <v>0</v>
      </c>
      <c r="Y34" s="70">
        <f t="shared" si="12"/>
        <v>0</v>
      </c>
      <c r="Z34" s="70">
        <f t="shared" si="12"/>
        <v>0</v>
      </c>
      <c r="AA34" s="70">
        <f t="shared" si="12"/>
        <v>0</v>
      </c>
      <c r="AB34" s="70">
        <f t="shared" si="12"/>
        <v>0</v>
      </c>
      <c r="AC34" s="70">
        <f t="shared" si="12"/>
        <v>0</v>
      </c>
      <c r="AD34" s="70">
        <f t="shared" si="12"/>
        <v>0</v>
      </c>
      <c r="AE34" s="70">
        <f t="shared" si="12"/>
        <v>0</v>
      </c>
      <c r="AF34" s="70">
        <f t="shared" si="12"/>
        <v>0</v>
      </c>
      <c r="AG34" s="70">
        <f t="shared" si="12"/>
        <v>0</v>
      </c>
      <c r="AH34" s="70">
        <f t="shared" si="12"/>
        <v>0</v>
      </c>
      <c r="AI34" s="70">
        <f t="shared" si="12"/>
        <v>0</v>
      </c>
      <c r="AJ34" s="70">
        <f t="shared" si="12"/>
        <v>0</v>
      </c>
      <c r="AK34" s="70">
        <f t="shared" si="12"/>
        <v>0</v>
      </c>
      <c r="AL34" s="70">
        <f t="shared" si="12"/>
        <v>0</v>
      </c>
      <c r="AM34" s="70">
        <f t="shared" si="12"/>
        <v>0</v>
      </c>
      <c r="AN34" s="70">
        <f t="shared" si="12"/>
        <v>0</v>
      </c>
      <c r="AO34" s="70">
        <f t="shared" si="12"/>
        <v>0</v>
      </c>
      <c r="AP34" s="70">
        <f t="shared" si="12"/>
        <v>0</v>
      </c>
      <c r="AQ34" s="70">
        <f t="shared" si="12"/>
        <v>0</v>
      </c>
      <c r="AR34" s="70">
        <f t="shared" si="12"/>
        <v>0</v>
      </c>
      <c r="AS34" s="70">
        <f t="shared" si="12"/>
        <v>0</v>
      </c>
      <c r="AT34" s="70">
        <f t="shared" si="12"/>
        <v>0</v>
      </c>
      <c r="AU34" s="70">
        <f t="shared" si="12"/>
        <v>0</v>
      </c>
      <c r="AV34" s="70">
        <f t="shared" si="12"/>
        <v>0</v>
      </c>
      <c r="AW34" s="70">
        <f t="shared" si="12"/>
        <v>0</v>
      </c>
      <c r="AX34" s="70">
        <f t="shared" si="12"/>
        <v>0</v>
      </c>
      <c r="AY34" s="70">
        <f t="shared" si="12"/>
        <v>0</v>
      </c>
      <c r="AZ34" s="70">
        <f t="shared" si="12"/>
        <v>0</v>
      </c>
      <c r="BA34" s="70">
        <f t="shared" si="12"/>
        <v>0</v>
      </c>
      <c r="BB34" s="70">
        <f t="shared" si="12"/>
        <v>0</v>
      </c>
      <c r="BC34" s="70">
        <f t="shared" si="12"/>
        <v>0</v>
      </c>
      <c r="BD34" s="70">
        <f t="shared" si="12"/>
        <v>0</v>
      </c>
      <c r="BE34" s="70">
        <f t="shared" si="12"/>
        <v>0</v>
      </c>
      <c r="BF34" s="70">
        <f t="shared" si="12"/>
        <v>0</v>
      </c>
      <c r="BG34" s="70">
        <f t="shared" si="12"/>
        <v>0</v>
      </c>
      <c r="BH34" s="70">
        <f t="shared" si="12"/>
        <v>0</v>
      </c>
      <c r="BI34" s="70">
        <f t="shared" si="12"/>
        <v>0</v>
      </c>
      <c r="BJ34" s="70">
        <f t="shared" si="12"/>
        <v>0</v>
      </c>
      <c r="BK34" s="70">
        <f t="shared" si="12"/>
        <v>0</v>
      </c>
      <c r="BL34" s="70">
        <f t="shared" si="12"/>
        <v>0</v>
      </c>
      <c r="BM34" s="70">
        <f t="shared" si="12"/>
        <v>0</v>
      </c>
      <c r="BN34" s="70">
        <f t="shared" si="12"/>
        <v>0</v>
      </c>
      <c r="BO34" s="70">
        <f t="shared" si="12"/>
        <v>0</v>
      </c>
      <c r="BP34" s="70">
        <f t="shared" si="12"/>
        <v>0</v>
      </c>
      <c r="BQ34" s="70">
        <f t="shared" ref="BQ34:CI34" si="13">SUM(BQ29:BQ33)</f>
        <v>0</v>
      </c>
      <c r="BR34" s="70">
        <f t="shared" si="13"/>
        <v>0</v>
      </c>
      <c r="BS34" s="70">
        <f t="shared" si="13"/>
        <v>0</v>
      </c>
      <c r="BT34" s="70">
        <f t="shared" si="13"/>
        <v>0</v>
      </c>
      <c r="BU34" s="70">
        <f t="shared" si="13"/>
        <v>0</v>
      </c>
      <c r="BV34" s="70">
        <f t="shared" si="13"/>
        <v>0</v>
      </c>
      <c r="BW34" s="70">
        <f t="shared" si="13"/>
        <v>0</v>
      </c>
      <c r="BX34" s="70">
        <f t="shared" si="13"/>
        <v>0</v>
      </c>
      <c r="BY34" s="70">
        <f t="shared" si="13"/>
        <v>0</v>
      </c>
      <c r="BZ34" s="70">
        <f t="shared" si="13"/>
        <v>0</v>
      </c>
      <c r="CA34" s="70">
        <f t="shared" si="13"/>
        <v>0</v>
      </c>
      <c r="CB34" s="70">
        <f t="shared" si="13"/>
        <v>0</v>
      </c>
      <c r="CC34" s="70">
        <f t="shared" si="13"/>
        <v>0</v>
      </c>
      <c r="CD34" s="70">
        <f t="shared" si="13"/>
        <v>0</v>
      </c>
      <c r="CE34" s="70">
        <f t="shared" si="13"/>
        <v>0</v>
      </c>
      <c r="CF34" s="70">
        <f t="shared" si="13"/>
        <v>0</v>
      </c>
      <c r="CG34" s="70">
        <f t="shared" si="13"/>
        <v>0</v>
      </c>
      <c r="CH34" s="70">
        <f t="shared" si="13"/>
        <v>0</v>
      </c>
      <c r="CI34" s="70">
        <f t="shared" si="13"/>
        <v>0</v>
      </c>
      <c r="CJ34" s="312">
        <f t="shared" si="5"/>
        <v>89150000</v>
      </c>
      <c r="CK34" s="312">
        <f t="shared" si="6"/>
        <v>81814470</v>
      </c>
      <c r="CL34" s="312">
        <f t="shared" si="7"/>
        <v>77438918</v>
      </c>
    </row>
    <row r="35" spans="1:90" x14ac:dyDescent="0.2">
      <c r="A35" s="119" t="s">
        <v>47</v>
      </c>
      <c r="B35" s="107" t="s">
        <v>254</v>
      </c>
      <c r="C35" s="121" t="s">
        <v>255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>
        <v>200000</v>
      </c>
      <c r="AI35" s="69">
        <v>200000</v>
      </c>
      <c r="AJ35" s="69">
        <v>10500</v>
      </c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71"/>
      <c r="CI35" s="71"/>
      <c r="CJ35" s="71">
        <f t="shared" si="5"/>
        <v>200000</v>
      </c>
      <c r="CK35" s="71">
        <f t="shared" si="6"/>
        <v>200000</v>
      </c>
      <c r="CL35" s="71">
        <f t="shared" si="7"/>
        <v>10500</v>
      </c>
    </row>
    <row r="36" spans="1:90" x14ac:dyDescent="0.2">
      <c r="A36" s="119" t="s">
        <v>50</v>
      </c>
      <c r="B36" s="107" t="s">
        <v>256</v>
      </c>
      <c r="C36" s="112" t="s">
        <v>257</v>
      </c>
      <c r="D36" s="69"/>
      <c r="E36" s="69"/>
      <c r="F36" s="69"/>
      <c r="G36" s="69"/>
      <c r="H36" s="69"/>
      <c r="I36" s="69"/>
      <c r="J36" s="69">
        <v>100000</v>
      </c>
      <c r="K36" s="69">
        <v>80000</v>
      </c>
      <c r="L36" s="69">
        <v>60000</v>
      </c>
      <c r="M36" s="69"/>
      <c r="N36" s="69">
        <v>20000</v>
      </c>
      <c r="O36" s="69">
        <v>13055</v>
      </c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>
        <v>200000</v>
      </c>
      <c r="AI36" s="69">
        <v>500000</v>
      </c>
      <c r="AJ36" s="69">
        <v>467295</v>
      </c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71"/>
      <c r="CI36" s="71"/>
      <c r="CJ36" s="71">
        <f t="shared" si="5"/>
        <v>300000</v>
      </c>
      <c r="CK36" s="71">
        <f t="shared" si="6"/>
        <v>600000</v>
      </c>
      <c r="CL36" s="71">
        <f t="shared" si="7"/>
        <v>540350</v>
      </c>
    </row>
    <row r="37" spans="1:90" x14ac:dyDescent="0.2">
      <c r="A37" s="119" t="s">
        <v>52</v>
      </c>
      <c r="B37" s="107" t="s">
        <v>258</v>
      </c>
      <c r="C37" s="112" t="s">
        <v>259</v>
      </c>
      <c r="D37" s="69"/>
      <c r="E37" s="69"/>
      <c r="F37" s="69"/>
      <c r="G37" s="120"/>
      <c r="H37" s="120"/>
      <c r="I37" s="120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>
        <v>20000</v>
      </c>
      <c r="Z37" s="69">
        <v>50000</v>
      </c>
      <c r="AA37" s="69">
        <v>17480</v>
      </c>
      <c r="AB37" s="69"/>
      <c r="AC37" s="69"/>
      <c r="AD37" s="69"/>
      <c r="AE37" s="69"/>
      <c r="AF37" s="69"/>
      <c r="AG37" s="69"/>
      <c r="AH37" s="69"/>
      <c r="AI37" s="69">
        <v>350000</v>
      </c>
      <c r="AJ37" s="69">
        <v>182028</v>
      </c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71"/>
      <c r="CI37" s="71"/>
      <c r="CJ37" s="71">
        <f t="shared" si="5"/>
        <v>20000</v>
      </c>
      <c r="CK37" s="71">
        <f t="shared" si="6"/>
        <v>400000</v>
      </c>
      <c r="CL37" s="71">
        <f t="shared" si="7"/>
        <v>199508</v>
      </c>
    </row>
    <row r="38" spans="1:90" x14ac:dyDescent="0.2">
      <c r="A38" s="119" t="s">
        <v>54</v>
      </c>
      <c r="B38" s="107" t="s">
        <v>260</v>
      </c>
      <c r="C38" s="112" t="s">
        <v>261</v>
      </c>
      <c r="D38" s="69"/>
      <c r="E38" s="69"/>
      <c r="F38" s="69"/>
      <c r="G38" s="69"/>
      <c r="H38" s="69"/>
      <c r="I38" s="69"/>
      <c r="J38" s="69">
        <v>100000</v>
      </c>
      <c r="K38" s="69">
        <v>110000</v>
      </c>
      <c r="L38" s="69">
        <v>106000</v>
      </c>
      <c r="M38" s="69">
        <v>1000000</v>
      </c>
      <c r="N38" s="69">
        <v>26090000</v>
      </c>
      <c r="O38" s="69">
        <v>4716484</v>
      </c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>
        <v>530000</v>
      </c>
      <c r="AI38" s="69">
        <v>530000</v>
      </c>
      <c r="AJ38" s="69">
        <v>15000</v>
      </c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>
        <v>2000000</v>
      </c>
      <c r="BJ38" s="69">
        <v>900000</v>
      </c>
      <c r="BK38" s="69">
        <v>859570</v>
      </c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71"/>
      <c r="CI38" s="71"/>
      <c r="CJ38" s="71">
        <f t="shared" si="5"/>
        <v>3630000</v>
      </c>
      <c r="CK38" s="71">
        <f t="shared" si="6"/>
        <v>27630000</v>
      </c>
      <c r="CL38" s="71">
        <f t="shared" si="7"/>
        <v>5697054</v>
      </c>
    </row>
    <row r="39" spans="1:90" x14ac:dyDescent="0.2">
      <c r="A39" s="119" t="s">
        <v>56</v>
      </c>
      <c r="B39" s="107" t="s">
        <v>262</v>
      </c>
      <c r="C39" s="112" t="s">
        <v>263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71"/>
      <c r="CI39" s="71"/>
      <c r="CJ39" s="71">
        <f t="shared" si="5"/>
        <v>0</v>
      </c>
      <c r="CK39" s="71">
        <f t="shared" si="6"/>
        <v>0</v>
      </c>
      <c r="CL39" s="71">
        <f t="shared" si="7"/>
        <v>0</v>
      </c>
    </row>
    <row r="40" spans="1:90" x14ac:dyDescent="0.2">
      <c r="A40" s="119" t="s">
        <v>57</v>
      </c>
      <c r="B40" s="107" t="s">
        <v>264</v>
      </c>
      <c r="C40" s="112" t="s">
        <v>265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>
        <v>7144500</v>
      </c>
      <c r="O40" s="69">
        <v>1185927</v>
      </c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>
        <f>Z37*0.27</f>
        <v>13500</v>
      </c>
      <c r="AA40" s="69">
        <v>4720</v>
      </c>
      <c r="AB40" s="69"/>
      <c r="AC40" s="69"/>
      <c r="AD40" s="69"/>
      <c r="AE40" s="69"/>
      <c r="AF40" s="69"/>
      <c r="AG40" s="69"/>
      <c r="AH40" s="69">
        <f>(AH35+AH36)*0.27</f>
        <v>108000</v>
      </c>
      <c r="AI40" s="69">
        <v>300000</v>
      </c>
      <c r="AJ40" s="69">
        <v>272412</v>
      </c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71"/>
      <c r="CI40" s="71"/>
      <c r="CJ40" s="71">
        <f t="shared" si="5"/>
        <v>108000</v>
      </c>
      <c r="CK40" s="71">
        <f t="shared" si="6"/>
        <v>7458000</v>
      </c>
      <c r="CL40" s="71">
        <f t="shared" si="7"/>
        <v>1463059</v>
      </c>
    </row>
    <row r="41" spans="1:90" x14ac:dyDescent="0.2">
      <c r="A41" s="119" t="s">
        <v>58</v>
      </c>
      <c r="B41" s="107" t="s">
        <v>266</v>
      </c>
      <c r="C41" s="112" t="s">
        <v>267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71"/>
      <c r="CI41" s="71"/>
      <c r="CJ41" s="71">
        <f t="shared" si="5"/>
        <v>0</v>
      </c>
      <c r="CK41" s="71">
        <f t="shared" si="6"/>
        <v>0</v>
      </c>
      <c r="CL41" s="71">
        <f t="shared" si="7"/>
        <v>0</v>
      </c>
    </row>
    <row r="42" spans="1:90" x14ac:dyDescent="0.2">
      <c r="A42" s="119" t="s">
        <v>59</v>
      </c>
      <c r="B42" s="107" t="s">
        <v>268</v>
      </c>
      <c r="C42" s="112" t="s">
        <v>269</v>
      </c>
      <c r="D42" s="69"/>
      <c r="E42" s="69"/>
      <c r="F42" s="69"/>
      <c r="G42" s="69">
        <v>2500</v>
      </c>
      <c r="H42" s="69">
        <v>1000</v>
      </c>
      <c r="I42" s="69">
        <v>47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>
        <v>1500</v>
      </c>
      <c r="AJ42" s="69">
        <v>45</v>
      </c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71"/>
      <c r="CI42" s="71"/>
      <c r="CJ42" s="71">
        <f t="shared" si="5"/>
        <v>2500</v>
      </c>
      <c r="CK42" s="71">
        <f t="shared" si="6"/>
        <v>2500</v>
      </c>
      <c r="CL42" s="71">
        <f t="shared" si="7"/>
        <v>92</v>
      </c>
    </row>
    <row r="43" spans="1:90" x14ac:dyDescent="0.2">
      <c r="A43" s="119" t="s">
        <v>65</v>
      </c>
      <c r="B43" s="107" t="s">
        <v>270</v>
      </c>
      <c r="C43" s="112" t="s">
        <v>271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71"/>
      <c r="CI43" s="71"/>
      <c r="CJ43" s="71">
        <f t="shared" si="5"/>
        <v>0</v>
      </c>
      <c r="CK43" s="71">
        <f t="shared" si="6"/>
        <v>0</v>
      </c>
      <c r="CL43" s="71">
        <f t="shared" si="7"/>
        <v>0</v>
      </c>
    </row>
    <row r="44" spans="1:90" x14ac:dyDescent="0.2">
      <c r="A44" s="119" t="s">
        <v>78</v>
      </c>
      <c r="B44" s="107" t="s">
        <v>272</v>
      </c>
      <c r="C44" s="112" t="s">
        <v>273</v>
      </c>
      <c r="D44" s="69"/>
      <c r="E44" s="69"/>
      <c r="F44" s="69"/>
      <c r="G44" s="69">
        <v>450000</v>
      </c>
      <c r="H44" s="69">
        <v>2198950</v>
      </c>
      <c r="I44" s="69">
        <v>464560</v>
      </c>
      <c r="J44" s="69"/>
      <c r="K44" s="69"/>
      <c r="L44" s="69"/>
      <c r="M44" s="69"/>
      <c r="N44" s="69"/>
      <c r="O44" s="69"/>
      <c r="P44" s="69"/>
      <c r="Q44" s="69"/>
      <c r="R44" s="69"/>
      <c r="S44" s="69">
        <v>50</v>
      </c>
      <c r="T44" s="69">
        <v>100</v>
      </c>
      <c r="U44" s="69">
        <v>70</v>
      </c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>
        <v>50000</v>
      </c>
      <c r="AJ44" s="69">
        <v>45003</v>
      </c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>
        <v>20000</v>
      </c>
      <c r="BJ44" s="69">
        <v>20000</v>
      </c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>
        <v>1000</v>
      </c>
      <c r="CF44" s="69">
        <v>729</v>
      </c>
      <c r="CG44" s="69"/>
      <c r="CH44" s="71"/>
      <c r="CI44" s="71"/>
      <c r="CJ44" s="71">
        <f t="shared" si="5"/>
        <v>470050</v>
      </c>
      <c r="CK44" s="71">
        <f t="shared" si="6"/>
        <v>2270050</v>
      </c>
      <c r="CL44" s="71">
        <f t="shared" si="7"/>
        <v>510362</v>
      </c>
    </row>
    <row r="45" spans="1:90" s="132" customFormat="1" x14ac:dyDescent="0.2">
      <c r="A45" s="107" t="s">
        <v>79</v>
      </c>
      <c r="B45" s="110" t="s">
        <v>274</v>
      </c>
      <c r="C45" s="113" t="s">
        <v>2</v>
      </c>
      <c r="D45" s="70">
        <f>SUM(D35:D44)</f>
        <v>0</v>
      </c>
      <c r="E45" s="70">
        <f t="shared" ref="E45:BP45" si="14">SUM(E35:E44)</f>
        <v>0</v>
      </c>
      <c r="F45" s="70">
        <f t="shared" si="14"/>
        <v>0</v>
      </c>
      <c r="G45" s="70">
        <f t="shared" si="14"/>
        <v>452500</v>
      </c>
      <c r="H45" s="70">
        <f t="shared" si="14"/>
        <v>2199950</v>
      </c>
      <c r="I45" s="70">
        <f t="shared" si="14"/>
        <v>464607</v>
      </c>
      <c r="J45" s="70">
        <f t="shared" si="14"/>
        <v>200000</v>
      </c>
      <c r="K45" s="70">
        <f t="shared" si="14"/>
        <v>190000</v>
      </c>
      <c r="L45" s="70">
        <f t="shared" si="14"/>
        <v>166000</v>
      </c>
      <c r="M45" s="70">
        <f t="shared" si="14"/>
        <v>1000000</v>
      </c>
      <c r="N45" s="70">
        <f t="shared" si="14"/>
        <v>33254500</v>
      </c>
      <c r="O45" s="70">
        <f t="shared" si="14"/>
        <v>5915466</v>
      </c>
      <c r="P45" s="70">
        <f t="shared" si="14"/>
        <v>0</v>
      </c>
      <c r="Q45" s="70">
        <f t="shared" si="14"/>
        <v>0</v>
      </c>
      <c r="R45" s="70">
        <f t="shared" si="14"/>
        <v>0</v>
      </c>
      <c r="S45" s="70">
        <f t="shared" si="14"/>
        <v>50</v>
      </c>
      <c r="T45" s="70">
        <f t="shared" si="14"/>
        <v>100</v>
      </c>
      <c r="U45" s="70">
        <f t="shared" si="14"/>
        <v>70</v>
      </c>
      <c r="V45" s="70">
        <f t="shared" si="14"/>
        <v>0</v>
      </c>
      <c r="W45" s="70">
        <f t="shared" si="14"/>
        <v>0</v>
      </c>
      <c r="X45" s="70">
        <f t="shared" si="14"/>
        <v>0</v>
      </c>
      <c r="Y45" s="70">
        <f t="shared" si="14"/>
        <v>20000</v>
      </c>
      <c r="Z45" s="70">
        <f t="shared" si="14"/>
        <v>63500</v>
      </c>
      <c r="AA45" s="70">
        <f t="shared" si="14"/>
        <v>22200</v>
      </c>
      <c r="AB45" s="70">
        <f t="shared" si="14"/>
        <v>0</v>
      </c>
      <c r="AC45" s="70">
        <f t="shared" si="14"/>
        <v>0</v>
      </c>
      <c r="AD45" s="70">
        <f t="shared" si="14"/>
        <v>0</v>
      </c>
      <c r="AE45" s="70">
        <f t="shared" si="14"/>
        <v>0</v>
      </c>
      <c r="AF45" s="70">
        <f t="shared" si="14"/>
        <v>0</v>
      </c>
      <c r="AG45" s="70">
        <f t="shared" si="14"/>
        <v>0</v>
      </c>
      <c r="AH45" s="70">
        <f t="shared" si="14"/>
        <v>1038000</v>
      </c>
      <c r="AI45" s="70">
        <f t="shared" si="14"/>
        <v>1931500</v>
      </c>
      <c r="AJ45" s="70">
        <f t="shared" si="14"/>
        <v>992283</v>
      </c>
      <c r="AK45" s="70">
        <f t="shared" si="14"/>
        <v>0</v>
      </c>
      <c r="AL45" s="70">
        <f t="shared" si="14"/>
        <v>0</v>
      </c>
      <c r="AM45" s="70">
        <f t="shared" si="14"/>
        <v>0</v>
      </c>
      <c r="AN45" s="70">
        <f t="shared" si="14"/>
        <v>0</v>
      </c>
      <c r="AO45" s="70">
        <f t="shared" si="14"/>
        <v>0</v>
      </c>
      <c r="AP45" s="70">
        <f t="shared" si="14"/>
        <v>0</v>
      </c>
      <c r="AQ45" s="70">
        <f t="shared" si="14"/>
        <v>0</v>
      </c>
      <c r="AR45" s="70">
        <f t="shared" si="14"/>
        <v>0</v>
      </c>
      <c r="AS45" s="70">
        <f t="shared" si="14"/>
        <v>0</v>
      </c>
      <c r="AT45" s="70">
        <f t="shared" si="14"/>
        <v>0</v>
      </c>
      <c r="AU45" s="70">
        <f t="shared" si="14"/>
        <v>0</v>
      </c>
      <c r="AV45" s="70">
        <f t="shared" si="14"/>
        <v>0</v>
      </c>
      <c r="AW45" s="70">
        <f t="shared" si="14"/>
        <v>0</v>
      </c>
      <c r="AX45" s="70">
        <f t="shared" si="14"/>
        <v>0</v>
      </c>
      <c r="AY45" s="70">
        <f t="shared" si="14"/>
        <v>0</v>
      </c>
      <c r="AZ45" s="70">
        <f t="shared" si="14"/>
        <v>0</v>
      </c>
      <c r="BA45" s="70">
        <f t="shared" si="14"/>
        <v>0</v>
      </c>
      <c r="BB45" s="70">
        <f t="shared" si="14"/>
        <v>0</v>
      </c>
      <c r="BC45" s="70">
        <f t="shared" si="14"/>
        <v>0</v>
      </c>
      <c r="BD45" s="70">
        <f t="shared" si="14"/>
        <v>0</v>
      </c>
      <c r="BE45" s="70">
        <f t="shared" si="14"/>
        <v>0</v>
      </c>
      <c r="BF45" s="70">
        <f t="shared" si="14"/>
        <v>0</v>
      </c>
      <c r="BG45" s="70">
        <f t="shared" si="14"/>
        <v>0</v>
      </c>
      <c r="BH45" s="70">
        <f t="shared" si="14"/>
        <v>0</v>
      </c>
      <c r="BI45" s="70">
        <f t="shared" si="14"/>
        <v>2020000</v>
      </c>
      <c r="BJ45" s="70">
        <f t="shared" si="14"/>
        <v>920000</v>
      </c>
      <c r="BK45" s="70">
        <f t="shared" si="14"/>
        <v>859570</v>
      </c>
      <c r="BL45" s="70">
        <f t="shared" si="14"/>
        <v>0</v>
      </c>
      <c r="BM45" s="70">
        <f t="shared" si="14"/>
        <v>0</v>
      </c>
      <c r="BN45" s="70">
        <f t="shared" si="14"/>
        <v>0</v>
      </c>
      <c r="BO45" s="70">
        <f t="shared" si="14"/>
        <v>0</v>
      </c>
      <c r="BP45" s="70">
        <f t="shared" si="14"/>
        <v>0</v>
      </c>
      <c r="BQ45" s="70">
        <f t="shared" ref="BQ45:CI45" si="15">SUM(BQ35:BQ44)</f>
        <v>0</v>
      </c>
      <c r="BR45" s="70">
        <f t="shared" si="15"/>
        <v>0</v>
      </c>
      <c r="BS45" s="70">
        <f t="shared" si="15"/>
        <v>0</v>
      </c>
      <c r="BT45" s="70">
        <f t="shared" si="15"/>
        <v>0</v>
      </c>
      <c r="BU45" s="70">
        <f t="shared" si="15"/>
        <v>0</v>
      </c>
      <c r="BV45" s="70">
        <f t="shared" si="15"/>
        <v>0</v>
      </c>
      <c r="BW45" s="70">
        <f t="shared" si="15"/>
        <v>0</v>
      </c>
      <c r="BX45" s="70">
        <f t="shared" si="15"/>
        <v>0</v>
      </c>
      <c r="BY45" s="70">
        <f t="shared" si="15"/>
        <v>0</v>
      </c>
      <c r="BZ45" s="70">
        <f t="shared" si="15"/>
        <v>0</v>
      </c>
      <c r="CA45" s="70">
        <f t="shared" si="15"/>
        <v>0</v>
      </c>
      <c r="CB45" s="70">
        <f t="shared" si="15"/>
        <v>0</v>
      </c>
      <c r="CC45" s="70">
        <f t="shared" si="15"/>
        <v>0</v>
      </c>
      <c r="CD45" s="70">
        <f t="shared" si="15"/>
        <v>0</v>
      </c>
      <c r="CE45" s="70">
        <f t="shared" si="15"/>
        <v>1000</v>
      </c>
      <c r="CF45" s="70">
        <f t="shared" si="15"/>
        <v>729</v>
      </c>
      <c r="CG45" s="70">
        <f t="shared" si="15"/>
        <v>0</v>
      </c>
      <c r="CH45" s="70">
        <f t="shared" si="15"/>
        <v>0</v>
      </c>
      <c r="CI45" s="70">
        <f t="shared" si="15"/>
        <v>0</v>
      </c>
      <c r="CJ45" s="312">
        <f t="shared" si="5"/>
        <v>4730550</v>
      </c>
      <c r="CK45" s="312">
        <f t="shared" si="6"/>
        <v>38560550</v>
      </c>
      <c r="CL45" s="312">
        <f t="shared" si="7"/>
        <v>8420925</v>
      </c>
    </row>
    <row r="46" spans="1:90" x14ac:dyDescent="0.2">
      <c r="A46" s="119" t="s">
        <v>80</v>
      </c>
      <c r="B46" s="107" t="s">
        <v>275</v>
      </c>
      <c r="C46" s="112" t="s">
        <v>276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>
        <v>1133434</v>
      </c>
      <c r="O46" s="69">
        <v>1133434</v>
      </c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71"/>
      <c r="CI46" s="71"/>
      <c r="CJ46" s="71">
        <f t="shared" si="5"/>
        <v>0</v>
      </c>
      <c r="CK46" s="71">
        <f t="shared" si="6"/>
        <v>1133434</v>
      </c>
      <c r="CL46" s="71">
        <f t="shared" si="7"/>
        <v>1133434</v>
      </c>
    </row>
    <row r="47" spans="1:90" x14ac:dyDescent="0.2">
      <c r="A47" s="119" t="s">
        <v>81</v>
      </c>
      <c r="B47" s="107" t="s">
        <v>277</v>
      </c>
      <c r="C47" s="112" t="s">
        <v>278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>
        <v>393701</v>
      </c>
      <c r="AJ47" s="69">
        <v>393701</v>
      </c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71"/>
      <c r="CI47" s="71"/>
      <c r="CJ47" s="71">
        <f t="shared" si="5"/>
        <v>0</v>
      </c>
      <c r="CK47" s="71">
        <f t="shared" si="6"/>
        <v>393701</v>
      </c>
      <c r="CL47" s="71">
        <f t="shared" si="7"/>
        <v>393701</v>
      </c>
    </row>
    <row r="48" spans="1:90" s="132" customFormat="1" x14ac:dyDescent="0.2">
      <c r="A48" s="107" t="s">
        <v>82</v>
      </c>
      <c r="B48" s="110" t="s">
        <v>279</v>
      </c>
      <c r="C48" s="111" t="s">
        <v>3</v>
      </c>
      <c r="D48" s="70">
        <f>SUM(D46:D47)</f>
        <v>0</v>
      </c>
      <c r="E48" s="70">
        <f t="shared" ref="E48:BP48" si="16">SUM(E46:E47)</f>
        <v>0</v>
      </c>
      <c r="F48" s="70">
        <f t="shared" si="16"/>
        <v>0</v>
      </c>
      <c r="G48" s="70">
        <f t="shared" si="16"/>
        <v>0</v>
      </c>
      <c r="H48" s="70">
        <f t="shared" si="16"/>
        <v>0</v>
      </c>
      <c r="I48" s="70">
        <f t="shared" si="16"/>
        <v>0</v>
      </c>
      <c r="J48" s="70">
        <f t="shared" si="16"/>
        <v>0</v>
      </c>
      <c r="K48" s="70">
        <f t="shared" si="16"/>
        <v>0</v>
      </c>
      <c r="L48" s="70">
        <f t="shared" si="16"/>
        <v>0</v>
      </c>
      <c r="M48" s="70">
        <f t="shared" si="16"/>
        <v>0</v>
      </c>
      <c r="N48" s="70">
        <f t="shared" si="16"/>
        <v>1133434</v>
      </c>
      <c r="O48" s="70">
        <f t="shared" si="16"/>
        <v>1133434</v>
      </c>
      <c r="P48" s="70">
        <f t="shared" si="16"/>
        <v>0</v>
      </c>
      <c r="Q48" s="70">
        <f t="shared" si="16"/>
        <v>0</v>
      </c>
      <c r="R48" s="70">
        <f t="shared" si="16"/>
        <v>0</v>
      </c>
      <c r="S48" s="70">
        <f t="shared" si="16"/>
        <v>0</v>
      </c>
      <c r="T48" s="70">
        <f t="shared" si="16"/>
        <v>0</v>
      </c>
      <c r="U48" s="70">
        <f t="shared" si="16"/>
        <v>0</v>
      </c>
      <c r="V48" s="70">
        <f t="shared" si="16"/>
        <v>0</v>
      </c>
      <c r="W48" s="70">
        <f t="shared" si="16"/>
        <v>0</v>
      </c>
      <c r="X48" s="70">
        <f t="shared" si="16"/>
        <v>0</v>
      </c>
      <c r="Y48" s="70">
        <f t="shared" si="16"/>
        <v>0</v>
      </c>
      <c r="Z48" s="70">
        <f t="shared" si="16"/>
        <v>0</v>
      </c>
      <c r="AA48" s="70">
        <f t="shared" si="16"/>
        <v>0</v>
      </c>
      <c r="AB48" s="70">
        <f t="shared" si="16"/>
        <v>0</v>
      </c>
      <c r="AC48" s="70">
        <f t="shared" si="16"/>
        <v>0</v>
      </c>
      <c r="AD48" s="70">
        <f t="shared" si="16"/>
        <v>0</v>
      </c>
      <c r="AE48" s="70">
        <f t="shared" si="16"/>
        <v>0</v>
      </c>
      <c r="AF48" s="70">
        <f t="shared" si="16"/>
        <v>0</v>
      </c>
      <c r="AG48" s="70">
        <f t="shared" si="16"/>
        <v>0</v>
      </c>
      <c r="AH48" s="70">
        <f t="shared" si="16"/>
        <v>0</v>
      </c>
      <c r="AI48" s="70">
        <f t="shared" si="16"/>
        <v>393701</v>
      </c>
      <c r="AJ48" s="70">
        <f t="shared" si="16"/>
        <v>393701</v>
      </c>
      <c r="AK48" s="70">
        <f t="shared" si="16"/>
        <v>0</v>
      </c>
      <c r="AL48" s="70">
        <f t="shared" si="16"/>
        <v>0</v>
      </c>
      <c r="AM48" s="70">
        <f t="shared" si="16"/>
        <v>0</v>
      </c>
      <c r="AN48" s="70">
        <f t="shared" si="16"/>
        <v>0</v>
      </c>
      <c r="AO48" s="70">
        <f t="shared" si="16"/>
        <v>0</v>
      </c>
      <c r="AP48" s="70">
        <f t="shared" si="16"/>
        <v>0</v>
      </c>
      <c r="AQ48" s="70">
        <f t="shared" si="16"/>
        <v>0</v>
      </c>
      <c r="AR48" s="70">
        <f t="shared" si="16"/>
        <v>0</v>
      </c>
      <c r="AS48" s="70">
        <f t="shared" si="16"/>
        <v>0</v>
      </c>
      <c r="AT48" s="70">
        <f t="shared" si="16"/>
        <v>0</v>
      </c>
      <c r="AU48" s="70">
        <f t="shared" si="16"/>
        <v>0</v>
      </c>
      <c r="AV48" s="70">
        <f t="shared" si="16"/>
        <v>0</v>
      </c>
      <c r="AW48" s="70">
        <f t="shared" si="16"/>
        <v>0</v>
      </c>
      <c r="AX48" s="70">
        <f t="shared" si="16"/>
        <v>0</v>
      </c>
      <c r="AY48" s="70">
        <f t="shared" si="16"/>
        <v>0</v>
      </c>
      <c r="AZ48" s="70">
        <f t="shared" si="16"/>
        <v>0</v>
      </c>
      <c r="BA48" s="70">
        <f t="shared" si="16"/>
        <v>0</v>
      </c>
      <c r="BB48" s="70">
        <f t="shared" si="16"/>
        <v>0</v>
      </c>
      <c r="BC48" s="70">
        <f t="shared" si="16"/>
        <v>0</v>
      </c>
      <c r="BD48" s="70">
        <f t="shared" si="16"/>
        <v>0</v>
      </c>
      <c r="BE48" s="70">
        <f t="shared" si="16"/>
        <v>0</v>
      </c>
      <c r="BF48" s="70">
        <f t="shared" si="16"/>
        <v>0</v>
      </c>
      <c r="BG48" s="70">
        <f t="shared" si="16"/>
        <v>0</v>
      </c>
      <c r="BH48" s="70">
        <f t="shared" si="16"/>
        <v>0</v>
      </c>
      <c r="BI48" s="70">
        <f t="shared" si="16"/>
        <v>0</v>
      </c>
      <c r="BJ48" s="70">
        <f t="shared" si="16"/>
        <v>0</v>
      </c>
      <c r="BK48" s="70">
        <f t="shared" si="16"/>
        <v>0</v>
      </c>
      <c r="BL48" s="70">
        <f t="shared" si="16"/>
        <v>0</v>
      </c>
      <c r="BM48" s="70">
        <f t="shared" si="16"/>
        <v>0</v>
      </c>
      <c r="BN48" s="70">
        <f t="shared" si="16"/>
        <v>0</v>
      </c>
      <c r="BO48" s="70">
        <f t="shared" si="16"/>
        <v>0</v>
      </c>
      <c r="BP48" s="70">
        <f t="shared" si="16"/>
        <v>0</v>
      </c>
      <c r="BQ48" s="70">
        <f t="shared" ref="BQ48:CI48" si="17">SUM(BQ46:BQ47)</f>
        <v>0</v>
      </c>
      <c r="BR48" s="70">
        <f t="shared" si="17"/>
        <v>0</v>
      </c>
      <c r="BS48" s="70">
        <f t="shared" si="17"/>
        <v>0</v>
      </c>
      <c r="BT48" s="70">
        <f t="shared" si="17"/>
        <v>0</v>
      </c>
      <c r="BU48" s="70">
        <f t="shared" si="17"/>
        <v>0</v>
      </c>
      <c r="BV48" s="70">
        <f t="shared" si="17"/>
        <v>0</v>
      </c>
      <c r="BW48" s="70">
        <f t="shared" si="17"/>
        <v>0</v>
      </c>
      <c r="BX48" s="70">
        <f t="shared" si="17"/>
        <v>0</v>
      </c>
      <c r="BY48" s="70">
        <f t="shared" si="17"/>
        <v>0</v>
      </c>
      <c r="BZ48" s="70">
        <f t="shared" si="17"/>
        <v>0</v>
      </c>
      <c r="CA48" s="70">
        <f t="shared" si="17"/>
        <v>0</v>
      </c>
      <c r="CB48" s="70">
        <f t="shared" si="17"/>
        <v>0</v>
      </c>
      <c r="CC48" s="70">
        <f t="shared" si="17"/>
        <v>0</v>
      </c>
      <c r="CD48" s="70">
        <f t="shared" si="17"/>
        <v>0</v>
      </c>
      <c r="CE48" s="70">
        <f t="shared" si="17"/>
        <v>0</v>
      </c>
      <c r="CF48" s="70">
        <f t="shared" si="17"/>
        <v>0</v>
      </c>
      <c r="CG48" s="70">
        <f t="shared" si="17"/>
        <v>0</v>
      </c>
      <c r="CH48" s="70">
        <f t="shared" si="17"/>
        <v>0</v>
      </c>
      <c r="CI48" s="70">
        <f t="shared" si="17"/>
        <v>0</v>
      </c>
      <c r="CJ48" s="312">
        <f t="shared" si="5"/>
        <v>0</v>
      </c>
      <c r="CK48" s="312">
        <f t="shared" si="6"/>
        <v>1527135</v>
      </c>
      <c r="CL48" s="312">
        <f t="shared" si="7"/>
        <v>1527135</v>
      </c>
    </row>
    <row r="49" spans="1:90" x14ac:dyDescent="0.2">
      <c r="A49" s="119" t="s">
        <v>83</v>
      </c>
      <c r="B49" s="107" t="s">
        <v>280</v>
      </c>
      <c r="C49" s="112" t="s">
        <v>281</v>
      </c>
      <c r="D49" s="69"/>
      <c r="E49" s="69"/>
      <c r="F49" s="69"/>
      <c r="G49" s="69"/>
      <c r="H49" s="69">
        <v>2500000</v>
      </c>
      <c r="I49" s="69">
        <v>2500000</v>
      </c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>
        <v>15000</v>
      </c>
      <c r="CF49" s="69">
        <v>15000</v>
      </c>
      <c r="CG49" s="69"/>
      <c r="CH49" s="71"/>
      <c r="CI49" s="71"/>
      <c r="CJ49" s="71">
        <f t="shared" si="5"/>
        <v>0</v>
      </c>
      <c r="CK49" s="71">
        <f t="shared" si="6"/>
        <v>2515000</v>
      </c>
      <c r="CL49" s="71">
        <f t="shared" si="7"/>
        <v>2515000</v>
      </c>
    </row>
    <row r="50" spans="1:90" x14ac:dyDescent="0.2">
      <c r="A50" s="119" t="s">
        <v>84</v>
      </c>
      <c r="B50" s="107" t="s">
        <v>282</v>
      </c>
      <c r="C50" s="112" t="s">
        <v>283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71"/>
      <c r="CI50" s="71"/>
      <c r="CJ50" s="71">
        <f t="shared" si="5"/>
        <v>0</v>
      </c>
      <c r="CK50" s="71">
        <f t="shared" si="6"/>
        <v>0</v>
      </c>
      <c r="CL50" s="71">
        <f t="shared" si="7"/>
        <v>0</v>
      </c>
    </row>
    <row r="51" spans="1:90" s="132" customFormat="1" x14ac:dyDescent="0.2">
      <c r="A51" s="107" t="s">
        <v>85</v>
      </c>
      <c r="B51" s="110" t="s">
        <v>284</v>
      </c>
      <c r="C51" s="113" t="s">
        <v>285</v>
      </c>
      <c r="D51" s="70">
        <f>SUM(D49:D50)</f>
        <v>0</v>
      </c>
      <c r="E51" s="70">
        <f t="shared" ref="E51:BP51" si="18">SUM(E49:E50)</f>
        <v>0</v>
      </c>
      <c r="F51" s="70">
        <f t="shared" si="18"/>
        <v>0</v>
      </c>
      <c r="G51" s="70">
        <f t="shared" si="18"/>
        <v>0</v>
      </c>
      <c r="H51" s="70">
        <f t="shared" si="18"/>
        <v>2500000</v>
      </c>
      <c r="I51" s="70">
        <f t="shared" si="18"/>
        <v>2500000</v>
      </c>
      <c r="J51" s="70">
        <f t="shared" si="18"/>
        <v>0</v>
      </c>
      <c r="K51" s="70">
        <f t="shared" si="18"/>
        <v>0</v>
      </c>
      <c r="L51" s="70">
        <f t="shared" si="18"/>
        <v>0</v>
      </c>
      <c r="M51" s="70">
        <f t="shared" si="18"/>
        <v>0</v>
      </c>
      <c r="N51" s="70">
        <f t="shared" si="18"/>
        <v>0</v>
      </c>
      <c r="O51" s="70">
        <f t="shared" si="18"/>
        <v>0</v>
      </c>
      <c r="P51" s="70">
        <f t="shared" si="18"/>
        <v>0</v>
      </c>
      <c r="Q51" s="70">
        <f t="shared" si="18"/>
        <v>0</v>
      </c>
      <c r="R51" s="70">
        <f t="shared" si="18"/>
        <v>0</v>
      </c>
      <c r="S51" s="70">
        <f t="shared" si="18"/>
        <v>0</v>
      </c>
      <c r="T51" s="70">
        <f t="shared" si="18"/>
        <v>0</v>
      </c>
      <c r="U51" s="70">
        <f t="shared" si="18"/>
        <v>0</v>
      </c>
      <c r="V51" s="70">
        <f t="shared" si="18"/>
        <v>0</v>
      </c>
      <c r="W51" s="70">
        <f t="shared" si="18"/>
        <v>0</v>
      </c>
      <c r="X51" s="70">
        <f t="shared" si="18"/>
        <v>0</v>
      </c>
      <c r="Y51" s="70">
        <f t="shared" si="18"/>
        <v>0</v>
      </c>
      <c r="Z51" s="70">
        <f t="shared" si="18"/>
        <v>0</v>
      </c>
      <c r="AA51" s="70">
        <f t="shared" si="18"/>
        <v>0</v>
      </c>
      <c r="AB51" s="70">
        <f t="shared" si="18"/>
        <v>0</v>
      </c>
      <c r="AC51" s="70">
        <f t="shared" si="18"/>
        <v>0</v>
      </c>
      <c r="AD51" s="70">
        <f t="shared" si="18"/>
        <v>0</v>
      </c>
      <c r="AE51" s="70">
        <f t="shared" si="18"/>
        <v>0</v>
      </c>
      <c r="AF51" s="70">
        <f t="shared" si="18"/>
        <v>0</v>
      </c>
      <c r="AG51" s="70">
        <f t="shared" si="18"/>
        <v>0</v>
      </c>
      <c r="AH51" s="70">
        <f t="shared" si="18"/>
        <v>0</v>
      </c>
      <c r="AI51" s="70">
        <f t="shared" si="18"/>
        <v>0</v>
      </c>
      <c r="AJ51" s="70">
        <f t="shared" si="18"/>
        <v>0</v>
      </c>
      <c r="AK51" s="70">
        <f t="shared" si="18"/>
        <v>0</v>
      </c>
      <c r="AL51" s="70">
        <f t="shared" si="18"/>
        <v>0</v>
      </c>
      <c r="AM51" s="70">
        <f t="shared" si="18"/>
        <v>0</v>
      </c>
      <c r="AN51" s="70">
        <f t="shared" si="18"/>
        <v>0</v>
      </c>
      <c r="AO51" s="70">
        <f t="shared" si="18"/>
        <v>0</v>
      </c>
      <c r="AP51" s="70">
        <f t="shared" si="18"/>
        <v>0</v>
      </c>
      <c r="AQ51" s="70">
        <f t="shared" si="18"/>
        <v>0</v>
      </c>
      <c r="AR51" s="70">
        <f t="shared" si="18"/>
        <v>0</v>
      </c>
      <c r="AS51" s="70">
        <f t="shared" si="18"/>
        <v>0</v>
      </c>
      <c r="AT51" s="70">
        <f t="shared" si="18"/>
        <v>0</v>
      </c>
      <c r="AU51" s="70">
        <f t="shared" si="18"/>
        <v>0</v>
      </c>
      <c r="AV51" s="70">
        <f t="shared" si="18"/>
        <v>0</v>
      </c>
      <c r="AW51" s="70">
        <f t="shared" si="18"/>
        <v>0</v>
      </c>
      <c r="AX51" s="70">
        <f t="shared" si="18"/>
        <v>0</v>
      </c>
      <c r="AY51" s="70">
        <f t="shared" si="18"/>
        <v>0</v>
      </c>
      <c r="AZ51" s="70">
        <f t="shared" si="18"/>
        <v>0</v>
      </c>
      <c r="BA51" s="70">
        <f t="shared" si="18"/>
        <v>0</v>
      </c>
      <c r="BB51" s="70">
        <f t="shared" si="18"/>
        <v>0</v>
      </c>
      <c r="BC51" s="70">
        <f t="shared" si="18"/>
        <v>0</v>
      </c>
      <c r="BD51" s="70">
        <f t="shared" si="18"/>
        <v>0</v>
      </c>
      <c r="BE51" s="70">
        <f t="shared" si="18"/>
        <v>0</v>
      </c>
      <c r="BF51" s="70">
        <f t="shared" si="18"/>
        <v>0</v>
      </c>
      <c r="BG51" s="70">
        <f t="shared" si="18"/>
        <v>0</v>
      </c>
      <c r="BH51" s="70">
        <f t="shared" si="18"/>
        <v>0</v>
      </c>
      <c r="BI51" s="70">
        <f t="shared" si="18"/>
        <v>0</v>
      </c>
      <c r="BJ51" s="70">
        <f t="shared" si="18"/>
        <v>0</v>
      </c>
      <c r="BK51" s="70">
        <f t="shared" si="18"/>
        <v>0</v>
      </c>
      <c r="BL51" s="70">
        <f t="shared" si="18"/>
        <v>0</v>
      </c>
      <c r="BM51" s="70">
        <f t="shared" si="18"/>
        <v>0</v>
      </c>
      <c r="BN51" s="70">
        <f t="shared" si="18"/>
        <v>0</v>
      </c>
      <c r="BO51" s="70">
        <f t="shared" si="18"/>
        <v>0</v>
      </c>
      <c r="BP51" s="70">
        <f t="shared" si="18"/>
        <v>0</v>
      </c>
      <c r="BQ51" s="70">
        <f t="shared" ref="BQ51:CI51" si="19">SUM(BQ49:BQ50)</f>
        <v>0</v>
      </c>
      <c r="BR51" s="70">
        <f t="shared" si="19"/>
        <v>0</v>
      </c>
      <c r="BS51" s="70">
        <f t="shared" si="19"/>
        <v>0</v>
      </c>
      <c r="BT51" s="70">
        <f t="shared" si="19"/>
        <v>0</v>
      </c>
      <c r="BU51" s="70">
        <f t="shared" si="19"/>
        <v>0</v>
      </c>
      <c r="BV51" s="70">
        <f t="shared" si="19"/>
        <v>0</v>
      </c>
      <c r="BW51" s="70">
        <f t="shared" si="19"/>
        <v>0</v>
      </c>
      <c r="BX51" s="70">
        <f t="shared" si="19"/>
        <v>0</v>
      </c>
      <c r="BY51" s="70">
        <f t="shared" si="19"/>
        <v>0</v>
      </c>
      <c r="BZ51" s="70">
        <f t="shared" si="19"/>
        <v>0</v>
      </c>
      <c r="CA51" s="70">
        <f t="shared" si="19"/>
        <v>0</v>
      </c>
      <c r="CB51" s="70">
        <f t="shared" si="19"/>
        <v>0</v>
      </c>
      <c r="CC51" s="70">
        <f t="shared" si="19"/>
        <v>0</v>
      </c>
      <c r="CD51" s="70">
        <f t="shared" si="19"/>
        <v>0</v>
      </c>
      <c r="CE51" s="70">
        <f t="shared" si="19"/>
        <v>15000</v>
      </c>
      <c r="CF51" s="70">
        <f t="shared" si="19"/>
        <v>15000</v>
      </c>
      <c r="CG51" s="70">
        <f t="shared" si="19"/>
        <v>0</v>
      </c>
      <c r="CH51" s="70">
        <f t="shared" si="19"/>
        <v>0</v>
      </c>
      <c r="CI51" s="70">
        <f t="shared" si="19"/>
        <v>0</v>
      </c>
      <c r="CJ51" s="312">
        <f t="shared" si="5"/>
        <v>0</v>
      </c>
      <c r="CK51" s="312">
        <f t="shared" si="6"/>
        <v>2515000</v>
      </c>
      <c r="CL51" s="312">
        <f t="shared" si="7"/>
        <v>2515000</v>
      </c>
    </row>
    <row r="52" spans="1:90" x14ac:dyDescent="0.2">
      <c r="A52" s="119" t="s">
        <v>86</v>
      </c>
      <c r="B52" s="107" t="s">
        <v>286</v>
      </c>
      <c r="C52" s="112" t="s">
        <v>287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71"/>
      <c r="CI52" s="71"/>
      <c r="CJ52" s="71">
        <f t="shared" si="5"/>
        <v>0</v>
      </c>
      <c r="CK52" s="71">
        <f t="shared" si="6"/>
        <v>0</v>
      </c>
      <c r="CL52" s="71">
        <f t="shared" si="7"/>
        <v>0</v>
      </c>
    </row>
    <row r="53" spans="1:90" x14ac:dyDescent="0.2">
      <c r="A53" s="119" t="s">
        <v>87</v>
      </c>
      <c r="B53" s="107" t="s">
        <v>288</v>
      </c>
      <c r="C53" s="112" t="s">
        <v>289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71"/>
      <c r="CI53" s="71"/>
      <c r="CJ53" s="71">
        <f t="shared" si="5"/>
        <v>0</v>
      </c>
      <c r="CK53" s="71">
        <f t="shared" si="6"/>
        <v>0</v>
      </c>
      <c r="CL53" s="71">
        <f t="shared" si="7"/>
        <v>0</v>
      </c>
    </row>
    <row r="54" spans="1:90" s="132" customFormat="1" x14ac:dyDescent="0.2">
      <c r="A54" s="107" t="s">
        <v>88</v>
      </c>
      <c r="B54" s="110" t="s">
        <v>290</v>
      </c>
      <c r="C54" s="113" t="s">
        <v>291</v>
      </c>
      <c r="D54" s="70">
        <f>SUM(D52:D53)</f>
        <v>0</v>
      </c>
      <c r="E54" s="70">
        <f t="shared" ref="E54:BP54" si="20">SUM(E52:E53)</f>
        <v>0</v>
      </c>
      <c r="F54" s="70">
        <f t="shared" si="20"/>
        <v>0</v>
      </c>
      <c r="G54" s="70">
        <f t="shared" si="20"/>
        <v>0</v>
      </c>
      <c r="H54" s="70">
        <f t="shared" si="20"/>
        <v>0</v>
      </c>
      <c r="I54" s="70">
        <f t="shared" si="20"/>
        <v>0</v>
      </c>
      <c r="J54" s="70">
        <f t="shared" si="20"/>
        <v>0</v>
      </c>
      <c r="K54" s="70">
        <f t="shared" si="20"/>
        <v>0</v>
      </c>
      <c r="L54" s="70">
        <f t="shared" si="20"/>
        <v>0</v>
      </c>
      <c r="M54" s="70">
        <f t="shared" si="20"/>
        <v>0</v>
      </c>
      <c r="N54" s="70">
        <f t="shared" si="20"/>
        <v>0</v>
      </c>
      <c r="O54" s="70">
        <f t="shared" si="20"/>
        <v>0</v>
      </c>
      <c r="P54" s="70">
        <f t="shared" si="20"/>
        <v>0</v>
      </c>
      <c r="Q54" s="70">
        <f t="shared" si="20"/>
        <v>0</v>
      </c>
      <c r="R54" s="70">
        <f t="shared" si="20"/>
        <v>0</v>
      </c>
      <c r="S54" s="70">
        <f t="shared" si="20"/>
        <v>0</v>
      </c>
      <c r="T54" s="70">
        <f t="shared" si="20"/>
        <v>0</v>
      </c>
      <c r="U54" s="70">
        <f t="shared" si="20"/>
        <v>0</v>
      </c>
      <c r="V54" s="70">
        <f t="shared" si="20"/>
        <v>0</v>
      </c>
      <c r="W54" s="70">
        <f t="shared" si="20"/>
        <v>0</v>
      </c>
      <c r="X54" s="70">
        <f t="shared" si="20"/>
        <v>0</v>
      </c>
      <c r="Y54" s="70">
        <f t="shared" si="20"/>
        <v>0</v>
      </c>
      <c r="Z54" s="70">
        <f t="shared" si="20"/>
        <v>0</v>
      </c>
      <c r="AA54" s="70">
        <f t="shared" si="20"/>
        <v>0</v>
      </c>
      <c r="AB54" s="70">
        <f t="shared" si="20"/>
        <v>0</v>
      </c>
      <c r="AC54" s="70">
        <f t="shared" si="20"/>
        <v>0</v>
      </c>
      <c r="AD54" s="70">
        <f t="shared" si="20"/>
        <v>0</v>
      </c>
      <c r="AE54" s="70">
        <f t="shared" si="20"/>
        <v>0</v>
      </c>
      <c r="AF54" s="70">
        <f t="shared" si="20"/>
        <v>0</v>
      </c>
      <c r="AG54" s="70">
        <f t="shared" si="20"/>
        <v>0</v>
      </c>
      <c r="AH54" s="70">
        <f t="shared" si="20"/>
        <v>0</v>
      </c>
      <c r="AI54" s="70">
        <f t="shared" si="20"/>
        <v>0</v>
      </c>
      <c r="AJ54" s="70">
        <f t="shared" si="20"/>
        <v>0</v>
      </c>
      <c r="AK54" s="70">
        <f t="shared" si="20"/>
        <v>0</v>
      </c>
      <c r="AL54" s="70">
        <f t="shared" si="20"/>
        <v>0</v>
      </c>
      <c r="AM54" s="70">
        <f t="shared" si="20"/>
        <v>0</v>
      </c>
      <c r="AN54" s="70">
        <f t="shared" si="20"/>
        <v>0</v>
      </c>
      <c r="AO54" s="70">
        <f t="shared" si="20"/>
        <v>0</v>
      </c>
      <c r="AP54" s="70">
        <f t="shared" si="20"/>
        <v>0</v>
      </c>
      <c r="AQ54" s="70">
        <f t="shared" si="20"/>
        <v>0</v>
      </c>
      <c r="AR54" s="70">
        <f t="shared" si="20"/>
        <v>0</v>
      </c>
      <c r="AS54" s="70">
        <f t="shared" si="20"/>
        <v>0</v>
      </c>
      <c r="AT54" s="70">
        <f t="shared" si="20"/>
        <v>0</v>
      </c>
      <c r="AU54" s="70">
        <f t="shared" si="20"/>
        <v>0</v>
      </c>
      <c r="AV54" s="70">
        <f t="shared" si="20"/>
        <v>0</v>
      </c>
      <c r="AW54" s="70">
        <f t="shared" si="20"/>
        <v>0</v>
      </c>
      <c r="AX54" s="70">
        <f t="shared" si="20"/>
        <v>0</v>
      </c>
      <c r="AY54" s="70">
        <f t="shared" si="20"/>
        <v>0</v>
      </c>
      <c r="AZ54" s="70">
        <f t="shared" si="20"/>
        <v>0</v>
      </c>
      <c r="BA54" s="70">
        <f t="shared" si="20"/>
        <v>0</v>
      </c>
      <c r="BB54" s="70">
        <f t="shared" si="20"/>
        <v>0</v>
      </c>
      <c r="BC54" s="70">
        <f t="shared" si="20"/>
        <v>0</v>
      </c>
      <c r="BD54" s="70">
        <f t="shared" si="20"/>
        <v>0</v>
      </c>
      <c r="BE54" s="70">
        <f t="shared" si="20"/>
        <v>0</v>
      </c>
      <c r="BF54" s="70">
        <f t="shared" si="20"/>
        <v>0</v>
      </c>
      <c r="BG54" s="70">
        <f t="shared" si="20"/>
        <v>0</v>
      </c>
      <c r="BH54" s="70">
        <f t="shared" si="20"/>
        <v>0</v>
      </c>
      <c r="BI54" s="70">
        <f t="shared" si="20"/>
        <v>0</v>
      </c>
      <c r="BJ54" s="70">
        <f t="shared" si="20"/>
        <v>0</v>
      </c>
      <c r="BK54" s="70">
        <f t="shared" si="20"/>
        <v>0</v>
      </c>
      <c r="BL54" s="70">
        <f t="shared" si="20"/>
        <v>0</v>
      </c>
      <c r="BM54" s="70">
        <f t="shared" si="20"/>
        <v>0</v>
      </c>
      <c r="BN54" s="70">
        <f t="shared" si="20"/>
        <v>0</v>
      </c>
      <c r="BO54" s="70">
        <f t="shared" si="20"/>
        <v>0</v>
      </c>
      <c r="BP54" s="70">
        <f t="shared" si="20"/>
        <v>0</v>
      </c>
      <c r="BQ54" s="70">
        <f t="shared" ref="BQ54:CI54" si="21">SUM(BQ52:BQ53)</f>
        <v>0</v>
      </c>
      <c r="BR54" s="70">
        <f t="shared" si="21"/>
        <v>0</v>
      </c>
      <c r="BS54" s="70">
        <f t="shared" si="21"/>
        <v>0</v>
      </c>
      <c r="BT54" s="70">
        <f t="shared" si="21"/>
        <v>0</v>
      </c>
      <c r="BU54" s="70">
        <f t="shared" si="21"/>
        <v>0</v>
      </c>
      <c r="BV54" s="70">
        <f t="shared" si="21"/>
        <v>0</v>
      </c>
      <c r="BW54" s="70">
        <f t="shared" si="21"/>
        <v>0</v>
      </c>
      <c r="BX54" s="70">
        <f t="shared" si="21"/>
        <v>0</v>
      </c>
      <c r="BY54" s="70">
        <f t="shared" si="21"/>
        <v>0</v>
      </c>
      <c r="BZ54" s="70">
        <f t="shared" si="21"/>
        <v>0</v>
      </c>
      <c r="CA54" s="70">
        <f t="shared" si="21"/>
        <v>0</v>
      </c>
      <c r="CB54" s="70">
        <f t="shared" si="21"/>
        <v>0</v>
      </c>
      <c r="CC54" s="70">
        <f t="shared" si="21"/>
        <v>0</v>
      </c>
      <c r="CD54" s="70">
        <f t="shared" si="21"/>
        <v>0</v>
      </c>
      <c r="CE54" s="70">
        <f t="shared" si="21"/>
        <v>0</v>
      </c>
      <c r="CF54" s="70">
        <f t="shared" si="21"/>
        <v>0</v>
      </c>
      <c r="CG54" s="70">
        <f t="shared" si="21"/>
        <v>0</v>
      </c>
      <c r="CH54" s="70">
        <f t="shared" si="21"/>
        <v>0</v>
      </c>
      <c r="CI54" s="70">
        <f t="shared" si="21"/>
        <v>0</v>
      </c>
      <c r="CJ54" s="312">
        <f t="shared" si="5"/>
        <v>0</v>
      </c>
      <c r="CK54" s="312">
        <f t="shared" si="6"/>
        <v>0</v>
      </c>
      <c r="CL54" s="312">
        <f t="shared" si="7"/>
        <v>0</v>
      </c>
    </row>
    <row r="55" spans="1:90" s="122" customFormat="1" x14ac:dyDescent="0.2">
      <c r="A55" s="119" t="s">
        <v>105</v>
      </c>
      <c r="B55" s="107" t="s">
        <v>292</v>
      </c>
      <c r="C55" s="112" t="s">
        <v>293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71"/>
      <c r="CI55" s="71"/>
      <c r="CJ55" s="71">
        <f t="shared" si="5"/>
        <v>0</v>
      </c>
      <c r="CK55" s="71">
        <f t="shared" si="6"/>
        <v>0</v>
      </c>
      <c r="CL55" s="71">
        <f t="shared" si="7"/>
        <v>0</v>
      </c>
    </row>
    <row r="56" spans="1:90" s="122" customFormat="1" x14ac:dyDescent="0.2">
      <c r="A56" s="119" t="s">
        <v>106</v>
      </c>
      <c r="B56" s="107" t="s">
        <v>294</v>
      </c>
      <c r="C56" s="112" t="s">
        <v>295</v>
      </c>
      <c r="D56" s="69"/>
      <c r="E56" s="69"/>
      <c r="F56" s="69"/>
      <c r="G56" s="69">
        <v>82282656</v>
      </c>
      <c r="H56" s="69">
        <v>80823656</v>
      </c>
      <c r="I56" s="69">
        <v>80823656</v>
      </c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>
        <v>58800</v>
      </c>
      <c r="AX56" s="69">
        <v>58800</v>
      </c>
      <c r="AY56" s="69">
        <v>58800</v>
      </c>
      <c r="AZ56" s="69"/>
      <c r="BA56" s="69"/>
      <c r="BB56" s="69"/>
      <c r="BC56" s="69"/>
      <c r="BD56" s="69"/>
      <c r="BE56" s="69"/>
      <c r="BF56" s="69">
        <v>30680000</v>
      </c>
      <c r="BG56" s="69">
        <v>30680000</v>
      </c>
      <c r="BH56" s="69">
        <v>30680000</v>
      </c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>
        <v>62700</v>
      </c>
      <c r="CE56" s="69">
        <v>62700</v>
      </c>
      <c r="CF56" s="69">
        <v>62700</v>
      </c>
      <c r="CG56" s="69">
        <v>6256872</v>
      </c>
      <c r="CH56" s="71">
        <v>6256872</v>
      </c>
      <c r="CI56" s="71">
        <v>6256872</v>
      </c>
      <c r="CJ56" s="71">
        <f t="shared" si="5"/>
        <v>119341028</v>
      </c>
      <c r="CK56" s="71">
        <f t="shared" si="6"/>
        <v>117882028</v>
      </c>
      <c r="CL56" s="71">
        <f t="shared" si="7"/>
        <v>117882028</v>
      </c>
    </row>
    <row r="57" spans="1:90" s="122" customFormat="1" x14ac:dyDescent="0.2">
      <c r="A57" s="119" t="s">
        <v>89</v>
      </c>
      <c r="B57" s="107" t="s">
        <v>837</v>
      </c>
      <c r="C57" s="112" t="s">
        <v>838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71">
        <v>8787457</v>
      </c>
      <c r="CI57" s="71">
        <v>8787457</v>
      </c>
      <c r="CJ57" s="71">
        <f t="shared" si="5"/>
        <v>0</v>
      </c>
      <c r="CK57" s="71">
        <f t="shared" si="6"/>
        <v>8787457</v>
      </c>
      <c r="CL57" s="71">
        <f t="shared" si="7"/>
        <v>8787457</v>
      </c>
    </row>
    <row r="58" spans="1:90" s="132" customFormat="1" x14ac:dyDescent="0.2">
      <c r="A58" s="119" t="s">
        <v>90</v>
      </c>
      <c r="B58" s="110" t="s">
        <v>296</v>
      </c>
      <c r="C58" s="113" t="s">
        <v>297</v>
      </c>
      <c r="D58" s="406">
        <f t="shared" ref="D58:BO58" si="22">SUM(D55:D57)</f>
        <v>0</v>
      </c>
      <c r="E58" s="406">
        <f t="shared" si="22"/>
        <v>0</v>
      </c>
      <c r="F58" s="406">
        <f t="shared" si="22"/>
        <v>0</v>
      </c>
      <c r="G58" s="406">
        <f t="shared" si="22"/>
        <v>82282656</v>
      </c>
      <c r="H58" s="406">
        <f t="shared" si="22"/>
        <v>80823656</v>
      </c>
      <c r="I58" s="406">
        <f t="shared" si="22"/>
        <v>80823656</v>
      </c>
      <c r="J58" s="406">
        <f t="shared" si="22"/>
        <v>0</v>
      </c>
      <c r="K58" s="406">
        <f t="shared" si="22"/>
        <v>0</v>
      </c>
      <c r="L58" s="406">
        <f t="shared" si="22"/>
        <v>0</v>
      </c>
      <c r="M58" s="406">
        <f t="shared" si="22"/>
        <v>0</v>
      </c>
      <c r="N58" s="406">
        <f t="shared" si="22"/>
        <v>0</v>
      </c>
      <c r="O58" s="406">
        <f t="shared" si="22"/>
        <v>0</v>
      </c>
      <c r="P58" s="406">
        <f t="shared" si="22"/>
        <v>0</v>
      </c>
      <c r="Q58" s="406">
        <f t="shared" si="22"/>
        <v>0</v>
      </c>
      <c r="R58" s="406">
        <f t="shared" si="22"/>
        <v>0</v>
      </c>
      <c r="S58" s="406">
        <f t="shared" si="22"/>
        <v>0</v>
      </c>
      <c r="T58" s="406">
        <f t="shared" si="22"/>
        <v>0</v>
      </c>
      <c r="U58" s="406">
        <f t="shared" si="22"/>
        <v>0</v>
      </c>
      <c r="V58" s="406">
        <f t="shared" si="22"/>
        <v>0</v>
      </c>
      <c r="W58" s="406">
        <f t="shared" si="22"/>
        <v>0</v>
      </c>
      <c r="X58" s="406">
        <f t="shared" si="22"/>
        <v>0</v>
      </c>
      <c r="Y58" s="406">
        <f t="shared" si="22"/>
        <v>0</v>
      </c>
      <c r="Z58" s="406">
        <f t="shared" si="22"/>
        <v>0</v>
      </c>
      <c r="AA58" s="406">
        <f t="shared" si="22"/>
        <v>0</v>
      </c>
      <c r="AB58" s="406">
        <f t="shared" si="22"/>
        <v>0</v>
      </c>
      <c r="AC58" s="406">
        <f t="shared" si="22"/>
        <v>0</v>
      </c>
      <c r="AD58" s="406">
        <f t="shared" si="22"/>
        <v>0</v>
      </c>
      <c r="AE58" s="406">
        <f t="shared" si="22"/>
        <v>0</v>
      </c>
      <c r="AF58" s="406">
        <f t="shared" si="22"/>
        <v>0</v>
      </c>
      <c r="AG58" s="406">
        <f t="shared" si="22"/>
        <v>0</v>
      </c>
      <c r="AH58" s="406">
        <f t="shared" si="22"/>
        <v>0</v>
      </c>
      <c r="AI58" s="406">
        <f t="shared" si="22"/>
        <v>0</v>
      </c>
      <c r="AJ58" s="406">
        <f t="shared" si="22"/>
        <v>0</v>
      </c>
      <c r="AK58" s="406">
        <f t="shared" si="22"/>
        <v>0</v>
      </c>
      <c r="AL58" s="406">
        <f t="shared" si="22"/>
        <v>0</v>
      </c>
      <c r="AM58" s="406">
        <f t="shared" si="22"/>
        <v>0</v>
      </c>
      <c r="AN58" s="406">
        <f t="shared" si="22"/>
        <v>0</v>
      </c>
      <c r="AO58" s="406">
        <f t="shared" si="22"/>
        <v>0</v>
      </c>
      <c r="AP58" s="406">
        <f t="shared" si="22"/>
        <v>0</v>
      </c>
      <c r="AQ58" s="406">
        <f t="shared" si="22"/>
        <v>0</v>
      </c>
      <c r="AR58" s="406">
        <f t="shared" si="22"/>
        <v>0</v>
      </c>
      <c r="AS58" s="406">
        <f t="shared" si="22"/>
        <v>0</v>
      </c>
      <c r="AT58" s="406">
        <f t="shared" si="22"/>
        <v>0</v>
      </c>
      <c r="AU58" s="406">
        <f t="shared" si="22"/>
        <v>0</v>
      </c>
      <c r="AV58" s="406">
        <f t="shared" si="22"/>
        <v>0</v>
      </c>
      <c r="AW58" s="406">
        <f t="shared" si="22"/>
        <v>58800</v>
      </c>
      <c r="AX58" s="406">
        <f t="shared" si="22"/>
        <v>58800</v>
      </c>
      <c r="AY58" s="406">
        <f t="shared" si="22"/>
        <v>58800</v>
      </c>
      <c r="AZ58" s="406">
        <f t="shared" si="22"/>
        <v>0</v>
      </c>
      <c r="BA58" s="406">
        <f t="shared" si="22"/>
        <v>0</v>
      </c>
      <c r="BB58" s="406">
        <f t="shared" si="22"/>
        <v>0</v>
      </c>
      <c r="BC58" s="406">
        <f t="shared" si="22"/>
        <v>0</v>
      </c>
      <c r="BD58" s="406">
        <f t="shared" si="22"/>
        <v>0</v>
      </c>
      <c r="BE58" s="406">
        <f t="shared" si="22"/>
        <v>0</v>
      </c>
      <c r="BF58" s="406">
        <f t="shared" si="22"/>
        <v>30680000</v>
      </c>
      <c r="BG58" s="406">
        <f t="shared" si="22"/>
        <v>30680000</v>
      </c>
      <c r="BH58" s="406">
        <f t="shared" si="22"/>
        <v>30680000</v>
      </c>
      <c r="BI58" s="406">
        <f t="shared" si="22"/>
        <v>0</v>
      </c>
      <c r="BJ58" s="406">
        <f t="shared" si="22"/>
        <v>0</v>
      </c>
      <c r="BK58" s="406">
        <f t="shared" si="22"/>
        <v>0</v>
      </c>
      <c r="BL58" s="406">
        <f t="shared" si="22"/>
        <v>0</v>
      </c>
      <c r="BM58" s="406">
        <f t="shared" si="22"/>
        <v>0</v>
      </c>
      <c r="BN58" s="406">
        <f t="shared" si="22"/>
        <v>0</v>
      </c>
      <c r="BO58" s="406">
        <f t="shared" si="22"/>
        <v>0</v>
      </c>
      <c r="BP58" s="406">
        <f t="shared" ref="BP58:CI58" si="23">SUM(BP55:BP57)</f>
        <v>0</v>
      </c>
      <c r="BQ58" s="406">
        <f t="shared" si="23"/>
        <v>0</v>
      </c>
      <c r="BR58" s="406">
        <f t="shared" si="23"/>
        <v>0</v>
      </c>
      <c r="BS58" s="406">
        <f t="shared" si="23"/>
        <v>0</v>
      </c>
      <c r="BT58" s="406">
        <f t="shared" si="23"/>
        <v>0</v>
      </c>
      <c r="BU58" s="406">
        <f t="shared" si="23"/>
        <v>0</v>
      </c>
      <c r="BV58" s="406">
        <f t="shared" si="23"/>
        <v>0</v>
      </c>
      <c r="BW58" s="406">
        <f t="shared" si="23"/>
        <v>0</v>
      </c>
      <c r="BX58" s="406">
        <f t="shared" si="23"/>
        <v>0</v>
      </c>
      <c r="BY58" s="406">
        <f t="shared" si="23"/>
        <v>0</v>
      </c>
      <c r="BZ58" s="406">
        <f t="shared" si="23"/>
        <v>0</v>
      </c>
      <c r="CA58" s="406">
        <f t="shared" si="23"/>
        <v>0</v>
      </c>
      <c r="CB58" s="406">
        <f t="shared" si="23"/>
        <v>0</v>
      </c>
      <c r="CC58" s="406">
        <f t="shared" si="23"/>
        <v>0</v>
      </c>
      <c r="CD58" s="406">
        <f t="shared" si="23"/>
        <v>62700</v>
      </c>
      <c r="CE58" s="406">
        <f t="shared" si="23"/>
        <v>62700</v>
      </c>
      <c r="CF58" s="406">
        <f t="shared" si="23"/>
        <v>62700</v>
      </c>
      <c r="CG58" s="406">
        <f t="shared" si="23"/>
        <v>6256872</v>
      </c>
      <c r="CH58" s="406">
        <f t="shared" si="23"/>
        <v>15044329</v>
      </c>
      <c r="CI58" s="406">
        <f t="shared" si="23"/>
        <v>15044329</v>
      </c>
      <c r="CJ58" s="312">
        <f t="shared" si="5"/>
        <v>119341028</v>
      </c>
      <c r="CK58" s="312">
        <f t="shared" si="6"/>
        <v>126669485</v>
      </c>
      <c r="CL58" s="312">
        <f t="shared" si="7"/>
        <v>126669485</v>
      </c>
    </row>
    <row r="59" spans="1:90" s="132" customFormat="1" ht="24.75" customHeight="1" x14ac:dyDescent="0.2">
      <c r="A59" s="80"/>
      <c r="B59" s="1112" t="s">
        <v>298</v>
      </c>
      <c r="C59" s="1113"/>
      <c r="D59" s="70">
        <f>D23+D28+D34+D45+D48+D51+D54+D58</f>
        <v>89150000</v>
      </c>
      <c r="E59" s="70">
        <f t="shared" ref="E59:BP59" si="24">E23+E28+E34+E45+E48+E51+E54+E58</f>
        <v>81814470</v>
      </c>
      <c r="F59" s="70">
        <f t="shared" si="24"/>
        <v>77438918</v>
      </c>
      <c r="G59" s="70">
        <f t="shared" si="24"/>
        <v>124046756</v>
      </c>
      <c r="H59" s="70">
        <f t="shared" si="24"/>
        <v>142017386</v>
      </c>
      <c r="I59" s="70">
        <f t="shared" si="24"/>
        <v>140282043</v>
      </c>
      <c r="J59" s="70">
        <f t="shared" si="24"/>
        <v>1415228</v>
      </c>
      <c r="K59" s="70">
        <f t="shared" si="24"/>
        <v>1405228</v>
      </c>
      <c r="L59" s="70">
        <f t="shared" si="24"/>
        <v>1381228</v>
      </c>
      <c r="M59" s="70">
        <f t="shared" si="24"/>
        <v>1000000</v>
      </c>
      <c r="N59" s="70">
        <f t="shared" si="24"/>
        <v>126436276</v>
      </c>
      <c r="O59" s="70">
        <f t="shared" si="24"/>
        <v>99097242</v>
      </c>
      <c r="P59" s="70">
        <f t="shared" si="24"/>
        <v>0</v>
      </c>
      <c r="Q59" s="70">
        <f t="shared" si="24"/>
        <v>0</v>
      </c>
      <c r="R59" s="70">
        <f t="shared" si="24"/>
        <v>0</v>
      </c>
      <c r="S59" s="70">
        <f t="shared" si="24"/>
        <v>11131479</v>
      </c>
      <c r="T59" s="70">
        <f t="shared" si="24"/>
        <v>8947668</v>
      </c>
      <c r="U59" s="70">
        <f t="shared" si="24"/>
        <v>8947638</v>
      </c>
      <c r="V59" s="70">
        <f t="shared" si="24"/>
        <v>2887440</v>
      </c>
      <c r="W59" s="70">
        <f t="shared" si="24"/>
        <v>2887440</v>
      </c>
      <c r="X59" s="70">
        <f t="shared" si="24"/>
        <v>2887440</v>
      </c>
      <c r="Y59" s="70">
        <f t="shared" si="24"/>
        <v>20000</v>
      </c>
      <c r="Z59" s="70">
        <f t="shared" si="24"/>
        <v>63500</v>
      </c>
      <c r="AA59" s="70">
        <f t="shared" si="24"/>
        <v>22200</v>
      </c>
      <c r="AB59" s="70">
        <f t="shared" si="24"/>
        <v>1318549</v>
      </c>
      <c r="AC59" s="70">
        <f t="shared" si="24"/>
        <v>1318549</v>
      </c>
      <c r="AD59" s="70">
        <f t="shared" si="24"/>
        <v>1318549</v>
      </c>
      <c r="AE59" s="70">
        <f t="shared" si="24"/>
        <v>0</v>
      </c>
      <c r="AF59" s="70">
        <f t="shared" si="24"/>
        <v>34549231</v>
      </c>
      <c r="AG59" s="70">
        <f t="shared" si="24"/>
        <v>34549231</v>
      </c>
      <c r="AH59" s="70">
        <f t="shared" si="24"/>
        <v>1038000</v>
      </c>
      <c r="AI59" s="70">
        <f t="shared" si="24"/>
        <v>2325201</v>
      </c>
      <c r="AJ59" s="70">
        <f t="shared" si="24"/>
        <v>1385984</v>
      </c>
      <c r="AK59" s="70">
        <f t="shared" si="24"/>
        <v>0</v>
      </c>
      <c r="AL59" s="70">
        <f t="shared" si="24"/>
        <v>12680200</v>
      </c>
      <c r="AM59" s="70">
        <f t="shared" si="24"/>
        <v>12680200</v>
      </c>
      <c r="AN59" s="70">
        <f t="shared" si="24"/>
        <v>0</v>
      </c>
      <c r="AO59" s="70">
        <f t="shared" si="24"/>
        <v>0</v>
      </c>
      <c r="AP59" s="70">
        <f t="shared" si="24"/>
        <v>0</v>
      </c>
      <c r="AQ59" s="70">
        <f t="shared" si="24"/>
        <v>0</v>
      </c>
      <c r="AR59" s="70">
        <f t="shared" si="24"/>
        <v>0</v>
      </c>
      <c r="AS59" s="70">
        <f t="shared" si="24"/>
        <v>0</v>
      </c>
      <c r="AT59" s="70">
        <f t="shared" si="24"/>
        <v>6202800</v>
      </c>
      <c r="AU59" s="70">
        <f t="shared" si="24"/>
        <v>6898800</v>
      </c>
      <c r="AV59" s="70">
        <f t="shared" si="24"/>
        <v>6898800</v>
      </c>
      <c r="AW59" s="70">
        <f t="shared" si="24"/>
        <v>175200</v>
      </c>
      <c r="AX59" s="70">
        <f t="shared" si="24"/>
        <v>175200</v>
      </c>
      <c r="AY59" s="70">
        <f t="shared" si="24"/>
        <v>175200</v>
      </c>
      <c r="AZ59" s="70">
        <f t="shared" si="24"/>
        <v>0</v>
      </c>
      <c r="BA59" s="70">
        <f t="shared" si="24"/>
        <v>0</v>
      </c>
      <c r="BB59" s="70">
        <f t="shared" si="24"/>
        <v>0</v>
      </c>
      <c r="BC59" s="70">
        <f t="shared" si="24"/>
        <v>0</v>
      </c>
      <c r="BD59" s="70">
        <f t="shared" si="24"/>
        <v>0</v>
      </c>
      <c r="BE59" s="70">
        <f t="shared" si="24"/>
        <v>0</v>
      </c>
      <c r="BF59" s="70">
        <f t="shared" si="24"/>
        <v>30680000</v>
      </c>
      <c r="BG59" s="70">
        <f t="shared" si="24"/>
        <v>30680000</v>
      </c>
      <c r="BH59" s="70">
        <f t="shared" si="24"/>
        <v>30680000</v>
      </c>
      <c r="BI59" s="70">
        <f t="shared" si="24"/>
        <v>4577044</v>
      </c>
      <c r="BJ59" s="70">
        <f t="shared" si="24"/>
        <v>4355964</v>
      </c>
      <c r="BK59" s="70">
        <f t="shared" si="24"/>
        <v>4295534</v>
      </c>
      <c r="BL59" s="70">
        <f t="shared" si="24"/>
        <v>0</v>
      </c>
      <c r="BM59" s="70">
        <f t="shared" si="24"/>
        <v>0</v>
      </c>
      <c r="BN59" s="70">
        <f t="shared" si="24"/>
        <v>0</v>
      </c>
      <c r="BO59" s="70">
        <f t="shared" si="24"/>
        <v>42585920</v>
      </c>
      <c r="BP59" s="70">
        <f t="shared" si="24"/>
        <v>46931670</v>
      </c>
      <c r="BQ59" s="70">
        <f t="shared" ref="BQ59:CI59" si="25">BQ23+BQ28+BQ34+BQ45+BQ48+BQ51+BQ54+BQ58</f>
        <v>46931670</v>
      </c>
      <c r="BR59" s="70">
        <f t="shared" si="25"/>
        <v>22549824</v>
      </c>
      <c r="BS59" s="70">
        <f t="shared" si="25"/>
        <v>28760563</v>
      </c>
      <c r="BT59" s="70">
        <f t="shared" si="25"/>
        <v>28760563</v>
      </c>
      <c r="BU59" s="70">
        <f t="shared" si="25"/>
        <v>4148311</v>
      </c>
      <c r="BV59" s="70">
        <f t="shared" si="25"/>
        <v>4629803.53</v>
      </c>
      <c r="BW59" s="70">
        <f t="shared" si="25"/>
        <v>5075008</v>
      </c>
      <c r="BX59" s="70">
        <f t="shared" si="25"/>
        <v>25645755</v>
      </c>
      <c r="BY59" s="70">
        <f t="shared" si="25"/>
        <v>32524532</v>
      </c>
      <c r="BZ59" s="70">
        <f t="shared" si="25"/>
        <v>32374653</v>
      </c>
      <c r="CA59" s="70">
        <f t="shared" si="25"/>
        <v>14192059</v>
      </c>
      <c r="CB59" s="70">
        <f t="shared" si="25"/>
        <v>17717805</v>
      </c>
      <c r="CC59" s="70">
        <f t="shared" si="25"/>
        <v>17422480</v>
      </c>
      <c r="CD59" s="70">
        <f t="shared" si="25"/>
        <v>62700</v>
      </c>
      <c r="CE59" s="70">
        <f t="shared" si="25"/>
        <v>78700</v>
      </c>
      <c r="CF59" s="70">
        <f t="shared" si="25"/>
        <v>78429</v>
      </c>
      <c r="CG59" s="70">
        <f t="shared" si="25"/>
        <v>6256872</v>
      </c>
      <c r="CH59" s="70">
        <f t="shared" si="25"/>
        <v>15609225</v>
      </c>
      <c r="CI59" s="70">
        <f t="shared" si="25"/>
        <v>15609225</v>
      </c>
      <c r="CJ59" s="312">
        <f t="shared" si="5"/>
        <v>389083937</v>
      </c>
      <c r="CK59" s="312">
        <f t="shared" si="6"/>
        <v>602807411.52999997</v>
      </c>
      <c r="CL59" s="312">
        <f t="shared" si="7"/>
        <v>568292235</v>
      </c>
    </row>
    <row r="60" spans="1:90" x14ac:dyDescent="0.2">
      <c r="B60" s="115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32"/>
      <c r="AG60" s="132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</row>
    <row r="61" spans="1:90" ht="13.5" customHeight="1" x14ac:dyDescent="0.2">
      <c r="A61" s="104" t="s">
        <v>299</v>
      </c>
      <c r="B61" s="104"/>
      <c r="C61" s="104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32"/>
      <c r="AG61" s="132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</row>
    <row r="62" spans="1:90" s="133" customFormat="1" ht="14.25" customHeight="1" x14ac:dyDescent="0.2">
      <c r="A62" s="117"/>
      <c r="B62" s="1116"/>
      <c r="C62" s="1116"/>
      <c r="D62" s="1097" t="s">
        <v>486</v>
      </c>
      <c r="E62" s="1098"/>
      <c r="F62" s="1099"/>
      <c r="G62" s="1100" t="s">
        <v>134</v>
      </c>
      <c r="H62" s="1101"/>
      <c r="I62" s="1102"/>
      <c r="J62" s="1097" t="s">
        <v>135</v>
      </c>
      <c r="K62" s="1098"/>
      <c r="L62" s="1099"/>
      <c r="M62" s="1097" t="s">
        <v>136</v>
      </c>
      <c r="N62" s="1098"/>
      <c r="O62" s="1099"/>
      <c r="P62" s="1097" t="s">
        <v>137</v>
      </c>
      <c r="Q62" s="1098"/>
      <c r="R62" s="1099"/>
      <c r="S62" s="1097" t="s">
        <v>652</v>
      </c>
      <c r="T62" s="1098"/>
      <c r="U62" s="1099"/>
      <c r="V62" s="1097" t="s">
        <v>138</v>
      </c>
      <c r="W62" s="1098"/>
      <c r="X62" s="1099"/>
      <c r="Y62" s="1097" t="s">
        <v>584</v>
      </c>
      <c r="Z62" s="1098"/>
      <c r="AA62" s="1099"/>
      <c r="AB62" s="1097" t="s">
        <v>139</v>
      </c>
      <c r="AC62" s="1098"/>
      <c r="AD62" s="1099"/>
      <c r="AE62" s="1097" t="s">
        <v>781</v>
      </c>
      <c r="AF62" s="1098"/>
      <c r="AG62" s="1099"/>
      <c r="AH62" s="1097" t="s">
        <v>140</v>
      </c>
      <c r="AI62" s="1098"/>
      <c r="AJ62" s="1099"/>
      <c r="AK62" s="1097" t="s">
        <v>141</v>
      </c>
      <c r="AL62" s="1098"/>
      <c r="AM62" s="1099"/>
      <c r="AN62" s="1097" t="s">
        <v>142</v>
      </c>
      <c r="AO62" s="1098"/>
      <c r="AP62" s="1099"/>
      <c r="AQ62" s="1097" t="s">
        <v>143</v>
      </c>
      <c r="AR62" s="1098"/>
      <c r="AS62" s="1099"/>
      <c r="AT62" s="1097" t="s">
        <v>144</v>
      </c>
      <c r="AU62" s="1098"/>
      <c r="AV62" s="1099"/>
      <c r="AW62" s="1097" t="s">
        <v>145</v>
      </c>
      <c r="AX62" s="1098"/>
      <c r="AY62" s="1099"/>
      <c r="AZ62" s="1097" t="s">
        <v>146</v>
      </c>
      <c r="BA62" s="1098"/>
      <c r="BB62" s="1099"/>
      <c r="BC62" s="1097" t="s">
        <v>147</v>
      </c>
      <c r="BD62" s="1098"/>
      <c r="BE62" s="1099"/>
      <c r="BF62" s="1097" t="s">
        <v>778</v>
      </c>
      <c r="BG62" s="1098"/>
      <c r="BH62" s="1099"/>
      <c r="BI62" s="1097" t="s">
        <v>628</v>
      </c>
      <c r="BJ62" s="1098"/>
      <c r="BK62" s="1099"/>
      <c r="BL62" s="1097" t="s">
        <v>148</v>
      </c>
      <c r="BM62" s="1098"/>
      <c r="BN62" s="1099"/>
      <c r="BO62" s="1097" t="s">
        <v>149</v>
      </c>
      <c r="BP62" s="1098"/>
      <c r="BQ62" s="1099"/>
      <c r="BR62" s="1097" t="s">
        <v>133</v>
      </c>
      <c r="BS62" s="1098"/>
      <c r="BT62" s="1099"/>
      <c r="BU62" s="1097" t="s">
        <v>150</v>
      </c>
      <c r="BV62" s="1098"/>
      <c r="BW62" s="1099"/>
      <c r="BX62" s="1097" t="s">
        <v>462</v>
      </c>
      <c r="BY62" s="1098"/>
      <c r="BZ62" s="1099"/>
      <c r="CA62" s="1097" t="s">
        <v>464</v>
      </c>
      <c r="CB62" s="1098"/>
      <c r="CC62" s="1099"/>
      <c r="CD62" s="1097" t="s">
        <v>151</v>
      </c>
      <c r="CE62" s="1098"/>
      <c r="CF62" s="1099"/>
      <c r="CG62" s="1097" t="s">
        <v>152</v>
      </c>
      <c r="CH62" s="1098"/>
      <c r="CI62" s="1099"/>
      <c r="CJ62" s="404"/>
      <c r="CK62" s="518"/>
      <c r="CL62" s="405"/>
    </row>
    <row r="63" spans="1:90" s="131" customFormat="1" ht="14.25" customHeight="1" x14ac:dyDescent="0.2">
      <c r="A63" s="105"/>
      <c r="B63" s="1110" t="s">
        <v>154</v>
      </c>
      <c r="C63" s="1111"/>
      <c r="D63" s="1094" t="s">
        <v>487</v>
      </c>
      <c r="E63" s="1095"/>
      <c r="F63" s="1096"/>
      <c r="G63" s="1091" t="s">
        <v>157</v>
      </c>
      <c r="H63" s="1092"/>
      <c r="I63" s="1093"/>
      <c r="J63" s="1091" t="s">
        <v>158</v>
      </c>
      <c r="K63" s="1092"/>
      <c r="L63" s="1093"/>
      <c r="M63" s="1091" t="s">
        <v>159</v>
      </c>
      <c r="N63" s="1092"/>
      <c r="O63" s="1093"/>
      <c r="P63" s="1094" t="s">
        <v>160</v>
      </c>
      <c r="Q63" s="1095"/>
      <c r="R63" s="1096"/>
      <c r="S63" s="1091" t="s">
        <v>161</v>
      </c>
      <c r="T63" s="1092"/>
      <c r="U63" s="1093"/>
      <c r="V63" s="1091" t="s">
        <v>162</v>
      </c>
      <c r="W63" s="1092"/>
      <c r="X63" s="1093"/>
      <c r="Y63" s="1091" t="s">
        <v>585</v>
      </c>
      <c r="Z63" s="1092"/>
      <c r="AA63" s="1093"/>
      <c r="AB63" s="1091" t="s">
        <v>163</v>
      </c>
      <c r="AC63" s="1092"/>
      <c r="AD63" s="1093"/>
      <c r="AE63" s="1091" t="s">
        <v>782</v>
      </c>
      <c r="AF63" s="1092"/>
      <c r="AG63" s="1093"/>
      <c r="AH63" s="1091" t="s">
        <v>164</v>
      </c>
      <c r="AI63" s="1092"/>
      <c r="AJ63" s="1093"/>
      <c r="AK63" s="1091" t="s">
        <v>165</v>
      </c>
      <c r="AL63" s="1092"/>
      <c r="AM63" s="1093"/>
      <c r="AN63" s="1091" t="s">
        <v>165</v>
      </c>
      <c r="AO63" s="1092"/>
      <c r="AP63" s="1093"/>
      <c r="AQ63" s="1091" t="s">
        <v>166</v>
      </c>
      <c r="AR63" s="1092"/>
      <c r="AS63" s="1093"/>
      <c r="AT63" s="1091" t="s">
        <v>167</v>
      </c>
      <c r="AU63" s="1092"/>
      <c r="AV63" s="1093"/>
      <c r="AW63" s="1091" t="s">
        <v>168</v>
      </c>
      <c r="AX63" s="1092"/>
      <c r="AY63" s="1093"/>
      <c r="AZ63" s="1091" t="s">
        <v>169</v>
      </c>
      <c r="BA63" s="1092"/>
      <c r="BB63" s="1093"/>
      <c r="BC63" s="1094" t="s">
        <v>170</v>
      </c>
      <c r="BD63" s="1095"/>
      <c r="BE63" s="1096"/>
      <c r="BF63" s="1091" t="s">
        <v>779</v>
      </c>
      <c r="BG63" s="1092"/>
      <c r="BH63" s="1093"/>
      <c r="BI63" s="1091" t="s">
        <v>171</v>
      </c>
      <c r="BJ63" s="1092"/>
      <c r="BK63" s="1093"/>
      <c r="BL63" s="1091" t="s">
        <v>172</v>
      </c>
      <c r="BM63" s="1092"/>
      <c r="BN63" s="1093"/>
      <c r="BO63" s="1091" t="s">
        <v>173</v>
      </c>
      <c r="BP63" s="1092"/>
      <c r="BQ63" s="1093"/>
      <c r="BR63" s="1094" t="s">
        <v>601</v>
      </c>
      <c r="BS63" s="1095"/>
      <c r="BT63" s="1096"/>
      <c r="BU63" s="1091" t="s">
        <v>174</v>
      </c>
      <c r="BV63" s="1092"/>
      <c r="BW63" s="1093"/>
      <c r="BX63" s="1091" t="s">
        <v>463</v>
      </c>
      <c r="BY63" s="1092"/>
      <c r="BZ63" s="1093"/>
      <c r="CA63" s="1091" t="s">
        <v>465</v>
      </c>
      <c r="CB63" s="1092"/>
      <c r="CC63" s="1093"/>
      <c r="CD63" s="1091" t="s">
        <v>175</v>
      </c>
      <c r="CE63" s="1092"/>
      <c r="CF63" s="1093"/>
      <c r="CG63" s="1094" t="s">
        <v>176</v>
      </c>
      <c r="CH63" s="1095"/>
      <c r="CI63" s="1096"/>
      <c r="CJ63" s="400"/>
      <c r="CK63" s="519"/>
      <c r="CL63" s="401"/>
    </row>
    <row r="64" spans="1:90" s="131" customFormat="1" ht="14.25" customHeight="1" x14ac:dyDescent="0.2">
      <c r="A64" s="105"/>
      <c r="B64" s="1085"/>
      <c r="C64" s="1087"/>
      <c r="D64" s="1088" t="s">
        <v>488</v>
      </c>
      <c r="E64" s="1089"/>
      <c r="F64" s="1090"/>
      <c r="G64" s="1085" t="s">
        <v>180</v>
      </c>
      <c r="H64" s="1086"/>
      <c r="I64" s="1087"/>
      <c r="J64" s="1085" t="s">
        <v>181</v>
      </c>
      <c r="K64" s="1086"/>
      <c r="L64" s="1087"/>
      <c r="M64" s="1085" t="s">
        <v>182</v>
      </c>
      <c r="N64" s="1086"/>
      <c r="O64" s="1087"/>
      <c r="P64" s="1088" t="s">
        <v>180</v>
      </c>
      <c r="Q64" s="1089"/>
      <c r="R64" s="1090"/>
      <c r="S64" s="1085" t="s">
        <v>183</v>
      </c>
      <c r="T64" s="1086"/>
      <c r="U64" s="1087"/>
      <c r="V64" s="1085" t="s">
        <v>184</v>
      </c>
      <c r="W64" s="1086"/>
      <c r="X64" s="1087"/>
      <c r="Y64" s="1085" t="s">
        <v>185</v>
      </c>
      <c r="Z64" s="1086"/>
      <c r="AA64" s="1087"/>
      <c r="AB64" s="1085"/>
      <c r="AC64" s="1086"/>
      <c r="AD64" s="1087"/>
      <c r="AE64" s="1085" t="s">
        <v>783</v>
      </c>
      <c r="AF64" s="1086"/>
      <c r="AG64" s="1087"/>
      <c r="AH64" s="1085" t="s">
        <v>185</v>
      </c>
      <c r="AI64" s="1086"/>
      <c r="AJ64" s="1087"/>
      <c r="AK64" s="1085" t="s">
        <v>186</v>
      </c>
      <c r="AL64" s="1086"/>
      <c r="AM64" s="1087"/>
      <c r="AN64" s="1085" t="s">
        <v>187</v>
      </c>
      <c r="AO64" s="1086"/>
      <c r="AP64" s="1087"/>
      <c r="AQ64" s="1085" t="s">
        <v>187</v>
      </c>
      <c r="AR64" s="1086"/>
      <c r="AS64" s="1087"/>
      <c r="AT64" s="1085" t="s">
        <v>188</v>
      </c>
      <c r="AU64" s="1086"/>
      <c r="AV64" s="1087"/>
      <c r="AW64" s="1085" t="s">
        <v>189</v>
      </c>
      <c r="AX64" s="1086"/>
      <c r="AY64" s="1087"/>
      <c r="AZ64" s="1085" t="s">
        <v>190</v>
      </c>
      <c r="BA64" s="1086"/>
      <c r="BB64" s="1087"/>
      <c r="BC64" s="1088" t="s">
        <v>191</v>
      </c>
      <c r="BD64" s="1089"/>
      <c r="BE64" s="1090"/>
      <c r="BF64" s="1085" t="s">
        <v>651</v>
      </c>
      <c r="BG64" s="1086"/>
      <c r="BH64" s="1087"/>
      <c r="BI64" s="1085"/>
      <c r="BJ64" s="1086"/>
      <c r="BK64" s="1087"/>
      <c r="BL64" s="1085" t="s">
        <v>192</v>
      </c>
      <c r="BM64" s="1086"/>
      <c r="BN64" s="1087"/>
      <c r="BO64" s="1085" t="s">
        <v>193</v>
      </c>
      <c r="BP64" s="1086"/>
      <c r="BQ64" s="1087"/>
      <c r="BR64" s="1088" t="s">
        <v>207</v>
      </c>
      <c r="BS64" s="1089"/>
      <c r="BT64" s="1090"/>
      <c r="BU64" s="1085" t="s">
        <v>191</v>
      </c>
      <c r="BV64" s="1086"/>
      <c r="BW64" s="1087"/>
      <c r="BX64" s="1085" t="s">
        <v>207</v>
      </c>
      <c r="BY64" s="1086"/>
      <c r="BZ64" s="1087"/>
      <c r="CA64" s="1085" t="s">
        <v>466</v>
      </c>
      <c r="CB64" s="1086"/>
      <c r="CC64" s="1087"/>
      <c r="CD64" s="1085" t="s">
        <v>194</v>
      </c>
      <c r="CE64" s="1086"/>
      <c r="CF64" s="1087"/>
      <c r="CG64" s="1088" t="s">
        <v>491</v>
      </c>
      <c r="CH64" s="1089"/>
      <c r="CI64" s="1090"/>
      <c r="CJ64" s="402"/>
      <c r="CK64" s="520"/>
      <c r="CL64" s="403"/>
    </row>
    <row r="65" spans="1:90" ht="15" customHeight="1" x14ac:dyDescent="0.2">
      <c r="A65" s="1117" t="s">
        <v>195</v>
      </c>
      <c r="B65" s="1117" t="s">
        <v>196</v>
      </c>
      <c r="C65" s="118"/>
      <c r="D65" s="1082"/>
      <c r="E65" s="1083"/>
      <c r="F65" s="1084"/>
      <c r="G65" s="1082"/>
      <c r="H65" s="1083"/>
      <c r="I65" s="1084"/>
      <c r="J65" s="1082"/>
      <c r="K65" s="1083"/>
      <c r="L65" s="1084"/>
      <c r="M65" s="1082">
        <v>680002</v>
      </c>
      <c r="N65" s="1083"/>
      <c r="O65" s="1084"/>
      <c r="P65" s="1082"/>
      <c r="Q65" s="1083"/>
      <c r="R65" s="1084"/>
      <c r="S65" s="1082"/>
      <c r="T65" s="1083"/>
      <c r="U65" s="1084"/>
      <c r="V65" s="1082"/>
      <c r="W65" s="1083"/>
      <c r="X65" s="1084"/>
      <c r="Y65" s="1082"/>
      <c r="Z65" s="1083"/>
      <c r="AA65" s="1084"/>
      <c r="AB65" s="1082"/>
      <c r="AC65" s="1083"/>
      <c r="AD65" s="1084"/>
      <c r="AE65" s="1082"/>
      <c r="AF65" s="1083"/>
      <c r="AG65" s="1084"/>
      <c r="AH65" s="1082"/>
      <c r="AI65" s="1083"/>
      <c r="AJ65" s="1084"/>
      <c r="AK65" s="1082"/>
      <c r="AL65" s="1083"/>
      <c r="AM65" s="1084"/>
      <c r="AN65" s="1082"/>
      <c r="AO65" s="1083"/>
      <c r="AP65" s="1084"/>
      <c r="AQ65" s="1082"/>
      <c r="AR65" s="1083"/>
      <c r="AS65" s="1084"/>
      <c r="AT65" s="1082"/>
      <c r="AU65" s="1083"/>
      <c r="AV65" s="1084"/>
      <c r="AW65" s="1082"/>
      <c r="AX65" s="1083"/>
      <c r="AY65" s="1084"/>
      <c r="AZ65" s="1082">
        <v>931102</v>
      </c>
      <c r="BA65" s="1083"/>
      <c r="BB65" s="1084"/>
      <c r="BC65" s="1082"/>
      <c r="BD65" s="1083"/>
      <c r="BE65" s="1084"/>
      <c r="BF65" s="1079"/>
      <c r="BG65" s="1080"/>
      <c r="BH65" s="1081"/>
      <c r="BI65" s="1082">
        <v>910501</v>
      </c>
      <c r="BJ65" s="1083"/>
      <c r="BK65" s="1084"/>
      <c r="BL65" s="1082"/>
      <c r="BM65" s="1083"/>
      <c r="BN65" s="1084"/>
      <c r="BO65" s="1082"/>
      <c r="BP65" s="1083"/>
      <c r="BQ65" s="1084"/>
      <c r="BR65" s="1103"/>
      <c r="BS65" s="1104"/>
      <c r="BT65" s="1105"/>
      <c r="BU65" s="1082"/>
      <c r="BV65" s="1083"/>
      <c r="BW65" s="1084"/>
      <c r="BX65" s="1082"/>
      <c r="BY65" s="1083"/>
      <c r="BZ65" s="1084"/>
      <c r="CA65" s="1082"/>
      <c r="CB65" s="1083"/>
      <c r="CC65" s="1084"/>
      <c r="CD65" s="1082"/>
      <c r="CE65" s="1083"/>
      <c r="CF65" s="1084"/>
      <c r="CG65" s="1082"/>
      <c r="CH65" s="1083"/>
      <c r="CI65" s="1084"/>
      <c r="CJ65" s="1106" t="s">
        <v>197</v>
      </c>
      <c r="CK65" s="1107"/>
      <c r="CL65" s="1108"/>
    </row>
    <row r="66" spans="1:90" s="122" customFormat="1" ht="15.75" customHeight="1" x14ac:dyDescent="0.2">
      <c r="A66" s="1118"/>
      <c r="B66" s="1118"/>
      <c r="C66" s="108" t="s">
        <v>1</v>
      </c>
      <c r="D66" s="1073" t="s">
        <v>489</v>
      </c>
      <c r="E66" s="1074"/>
      <c r="F66" s="1075"/>
      <c r="G66" s="1073" t="s">
        <v>157</v>
      </c>
      <c r="H66" s="1074"/>
      <c r="I66" s="1075"/>
      <c r="J66" s="1073" t="s">
        <v>158</v>
      </c>
      <c r="K66" s="1074"/>
      <c r="L66" s="1075"/>
      <c r="M66" s="1073" t="s">
        <v>200</v>
      </c>
      <c r="N66" s="1074"/>
      <c r="O66" s="1075"/>
      <c r="P66" s="1073" t="s">
        <v>201</v>
      </c>
      <c r="Q66" s="1074"/>
      <c r="R66" s="1075"/>
      <c r="S66" s="1073" t="s">
        <v>777</v>
      </c>
      <c r="T66" s="1074"/>
      <c r="U66" s="1075"/>
      <c r="V66" s="1073" t="s">
        <v>162</v>
      </c>
      <c r="W66" s="1074"/>
      <c r="X66" s="1075"/>
      <c r="Y66" s="1073" t="s">
        <v>585</v>
      </c>
      <c r="Z66" s="1074"/>
      <c r="AA66" s="1075"/>
      <c r="AB66" s="1073" t="s">
        <v>163</v>
      </c>
      <c r="AC66" s="1074"/>
      <c r="AD66" s="1075"/>
      <c r="AE66" s="1076" t="s">
        <v>836</v>
      </c>
      <c r="AF66" s="1077"/>
      <c r="AG66" s="1078"/>
      <c r="AH66" s="1073" t="s">
        <v>202</v>
      </c>
      <c r="AI66" s="1074"/>
      <c r="AJ66" s="1075"/>
      <c r="AK66" s="1073" t="s">
        <v>165</v>
      </c>
      <c r="AL66" s="1074"/>
      <c r="AM66" s="1075"/>
      <c r="AN66" s="1073" t="s">
        <v>165</v>
      </c>
      <c r="AO66" s="1074"/>
      <c r="AP66" s="1075"/>
      <c r="AQ66" s="1073" t="s">
        <v>166</v>
      </c>
      <c r="AR66" s="1074"/>
      <c r="AS66" s="1075"/>
      <c r="AT66" s="1073" t="s">
        <v>203</v>
      </c>
      <c r="AU66" s="1074"/>
      <c r="AV66" s="1075"/>
      <c r="AW66" s="1073" t="s">
        <v>168</v>
      </c>
      <c r="AX66" s="1074"/>
      <c r="AY66" s="1075"/>
      <c r="AZ66" s="1073" t="s">
        <v>169</v>
      </c>
      <c r="BA66" s="1074"/>
      <c r="BB66" s="1075"/>
      <c r="BC66" s="1073" t="s">
        <v>204</v>
      </c>
      <c r="BD66" s="1074"/>
      <c r="BE66" s="1075"/>
      <c r="BF66" s="1073" t="s">
        <v>205</v>
      </c>
      <c r="BG66" s="1074"/>
      <c r="BH66" s="1075"/>
      <c r="BI66" s="1073" t="s">
        <v>205</v>
      </c>
      <c r="BJ66" s="1074"/>
      <c r="BK66" s="1075"/>
      <c r="BL66" s="1073" t="s">
        <v>172</v>
      </c>
      <c r="BM66" s="1074"/>
      <c r="BN66" s="1075"/>
      <c r="BO66" s="1073" t="s">
        <v>173</v>
      </c>
      <c r="BP66" s="1074"/>
      <c r="BQ66" s="1075"/>
      <c r="BR66" s="1073" t="s">
        <v>602</v>
      </c>
      <c r="BS66" s="1074"/>
      <c r="BT66" s="1075"/>
      <c r="BU66" s="1073" t="s">
        <v>174</v>
      </c>
      <c r="BV66" s="1074"/>
      <c r="BW66" s="1075"/>
      <c r="BX66" s="1073" t="s">
        <v>463</v>
      </c>
      <c r="BY66" s="1074"/>
      <c r="BZ66" s="1075"/>
      <c r="CA66" s="1073" t="s">
        <v>465</v>
      </c>
      <c r="CB66" s="1074"/>
      <c r="CC66" s="1075"/>
      <c r="CD66" s="1073" t="s">
        <v>175</v>
      </c>
      <c r="CE66" s="1074"/>
      <c r="CF66" s="1075"/>
      <c r="CG66" s="1076" t="s">
        <v>176</v>
      </c>
      <c r="CH66" s="1077"/>
      <c r="CI66" s="1078"/>
      <c r="CJ66" s="1076" t="s">
        <v>66</v>
      </c>
      <c r="CK66" s="1077"/>
      <c r="CL66" s="1078"/>
    </row>
    <row r="67" spans="1:90" s="122" customFormat="1" x14ac:dyDescent="0.2">
      <c r="A67" s="1118"/>
      <c r="B67" s="1118"/>
      <c r="C67" s="1123"/>
      <c r="D67" s="1070"/>
      <c r="E67" s="1071"/>
      <c r="F67" s="1072"/>
      <c r="G67" s="1070" t="s">
        <v>180</v>
      </c>
      <c r="H67" s="1071"/>
      <c r="I67" s="1072"/>
      <c r="J67" s="1070"/>
      <c r="K67" s="1071"/>
      <c r="L67" s="1072"/>
      <c r="M67" s="1070" t="s">
        <v>208</v>
      </c>
      <c r="N67" s="1071"/>
      <c r="O67" s="1072"/>
      <c r="P67" s="1070" t="s">
        <v>209</v>
      </c>
      <c r="Q67" s="1071"/>
      <c r="R67" s="1072"/>
      <c r="S67" s="1070" t="s">
        <v>210</v>
      </c>
      <c r="T67" s="1071"/>
      <c r="U67" s="1072"/>
      <c r="V67" s="1070" t="s">
        <v>184</v>
      </c>
      <c r="W67" s="1071"/>
      <c r="X67" s="1072"/>
      <c r="Y67" s="1070" t="s">
        <v>185</v>
      </c>
      <c r="Z67" s="1071"/>
      <c r="AA67" s="1072"/>
      <c r="AB67" s="1070"/>
      <c r="AC67" s="1071"/>
      <c r="AD67" s="1072"/>
      <c r="AE67" s="1070" t="s">
        <v>841</v>
      </c>
      <c r="AF67" s="1071"/>
      <c r="AG67" s="1072"/>
      <c r="AH67" s="1070" t="s">
        <v>185</v>
      </c>
      <c r="AI67" s="1071"/>
      <c r="AJ67" s="1072"/>
      <c r="AK67" s="1070" t="s">
        <v>186</v>
      </c>
      <c r="AL67" s="1071"/>
      <c r="AM67" s="1072"/>
      <c r="AN67" s="1070" t="s">
        <v>187</v>
      </c>
      <c r="AO67" s="1071"/>
      <c r="AP67" s="1072"/>
      <c r="AQ67" s="1070" t="s">
        <v>187</v>
      </c>
      <c r="AR67" s="1071"/>
      <c r="AS67" s="1072"/>
      <c r="AT67" s="1070" t="s">
        <v>211</v>
      </c>
      <c r="AU67" s="1071"/>
      <c r="AV67" s="1072"/>
      <c r="AW67" s="1070" t="s">
        <v>189</v>
      </c>
      <c r="AX67" s="1071"/>
      <c r="AY67" s="1072"/>
      <c r="AZ67" s="1070" t="s">
        <v>190</v>
      </c>
      <c r="BA67" s="1071"/>
      <c r="BB67" s="1072"/>
      <c r="BC67" s="1070" t="s">
        <v>212</v>
      </c>
      <c r="BD67" s="1071"/>
      <c r="BE67" s="1072"/>
      <c r="BF67" s="1070" t="s">
        <v>780</v>
      </c>
      <c r="BG67" s="1071"/>
      <c r="BH67" s="1072"/>
      <c r="BI67" s="1070"/>
      <c r="BJ67" s="1071"/>
      <c r="BK67" s="1072"/>
      <c r="BL67" s="1070" t="s">
        <v>192</v>
      </c>
      <c r="BM67" s="1071"/>
      <c r="BN67" s="1072"/>
      <c r="BO67" s="1070" t="s">
        <v>193</v>
      </c>
      <c r="BP67" s="1071"/>
      <c r="BQ67" s="1072"/>
      <c r="BR67" s="1070" t="s">
        <v>212</v>
      </c>
      <c r="BS67" s="1071"/>
      <c r="BT67" s="1072"/>
      <c r="BU67" s="1070" t="s">
        <v>191</v>
      </c>
      <c r="BV67" s="1071"/>
      <c r="BW67" s="1072"/>
      <c r="BX67" s="1070" t="s">
        <v>207</v>
      </c>
      <c r="BY67" s="1071"/>
      <c r="BZ67" s="1072"/>
      <c r="CA67" s="1070" t="s">
        <v>466</v>
      </c>
      <c r="CB67" s="1071"/>
      <c r="CC67" s="1072"/>
      <c r="CD67" s="1070" t="s">
        <v>194</v>
      </c>
      <c r="CE67" s="1071"/>
      <c r="CF67" s="1072"/>
      <c r="CG67" s="1070" t="s">
        <v>491</v>
      </c>
      <c r="CH67" s="1071"/>
      <c r="CI67" s="1072"/>
      <c r="CJ67" s="1070" t="s">
        <v>213</v>
      </c>
      <c r="CK67" s="1071"/>
      <c r="CL67" s="1072"/>
    </row>
    <row r="68" spans="1:90" s="122" customFormat="1" ht="25.5" customHeight="1" x14ac:dyDescent="0.2">
      <c r="A68" s="1119"/>
      <c r="B68" s="1119"/>
      <c r="C68" s="1124"/>
      <c r="D68" s="378" t="s">
        <v>673</v>
      </c>
      <c r="E68" s="378" t="s">
        <v>674</v>
      </c>
      <c r="F68" s="378" t="s">
        <v>845</v>
      </c>
      <c r="G68" s="378" t="s">
        <v>673</v>
      </c>
      <c r="H68" s="378" t="s">
        <v>674</v>
      </c>
      <c r="I68" s="378" t="s">
        <v>845</v>
      </c>
      <c r="J68" s="378" t="s">
        <v>673</v>
      </c>
      <c r="K68" s="378" t="s">
        <v>674</v>
      </c>
      <c r="L68" s="378" t="s">
        <v>845</v>
      </c>
      <c r="M68" s="378" t="s">
        <v>673</v>
      </c>
      <c r="N68" s="378" t="s">
        <v>674</v>
      </c>
      <c r="O68" s="378" t="s">
        <v>845</v>
      </c>
      <c r="P68" s="378" t="s">
        <v>673</v>
      </c>
      <c r="Q68" s="378" t="s">
        <v>674</v>
      </c>
      <c r="R68" s="378" t="s">
        <v>845</v>
      </c>
      <c r="S68" s="378" t="s">
        <v>673</v>
      </c>
      <c r="T68" s="378" t="s">
        <v>674</v>
      </c>
      <c r="U68" s="378" t="s">
        <v>845</v>
      </c>
      <c r="V68" s="378" t="s">
        <v>673</v>
      </c>
      <c r="W68" s="378" t="s">
        <v>674</v>
      </c>
      <c r="X68" s="378" t="s">
        <v>845</v>
      </c>
      <c r="Y68" s="378" t="s">
        <v>673</v>
      </c>
      <c r="Z68" s="378" t="s">
        <v>674</v>
      </c>
      <c r="AA68" s="378" t="s">
        <v>845</v>
      </c>
      <c r="AB68" s="378" t="s">
        <v>673</v>
      </c>
      <c r="AC68" s="378" t="s">
        <v>674</v>
      </c>
      <c r="AD68" s="378" t="s">
        <v>845</v>
      </c>
      <c r="AE68" s="378" t="s">
        <v>673</v>
      </c>
      <c r="AF68" s="507" t="s">
        <v>674</v>
      </c>
      <c r="AG68" s="378" t="s">
        <v>845</v>
      </c>
      <c r="AH68" s="378" t="s">
        <v>673</v>
      </c>
      <c r="AI68" s="378" t="s">
        <v>674</v>
      </c>
      <c r="AJ68" s="378" t="s">
        <v>845</v>
      </c>
      <c r="AK68" s="378" t="s">
        <v>673</v>
      </c>
      <c r="AL68" s="378" t="s">
        <v>674</v>
      </c>
      <c r="AM68" s="378" t="s">
        <v>845</v>
      </c>
      <c r="AN68" s="378" t="s">
        <v>673</v>
      </c>
      <c r="AO68" s="378" t="s">
        <v>674</v>
      </c>
      <c r="AP68" s="378" t="s">
        <v>845</v>
      </c>
      <c r="AQ68" s="378" t="s">
        <v>673</v>
      </c>
      <c r="AR68" s="378" t="s">
        <v>674</v>
      </c>
      <c r="AS68" s="378" t="s">
        <v>845</v>
      </c>
      <c r="AT68" s="378" t="s">
        <v>673</v>
      </c>
      <c r="AU68" s="378" t="s">
        <v>674</v>
      </c>
      <c r="AV68" s="378" t="s">
        <v>845</v>
      </c>
      <c r="AW68" s="378" t="s">
        <v>673</v>
      </c>
      <c r="AX68" s="378" t="s">
        <v>674</v>
      </c>
      <c r="AY68" s="378" t="s">
        <v>845</v>
      </c>
      <c r="AZ68" s="378" t="s">
        <v>673</v>
      </c>
      <c r="BA68" s="378" t="s">
        <v>674</v>
      </c>
      <c r="BB68" s="378" t="s">
        <v>845</v>
      </c>
      <c r="BC68" s="378" t="s">
        <v>673</v>
      </c>
      <c r="BD68" s="378" t="s">
        <v>674</v>
      </c>
      <c r="BE68" s="378" t="s">
        <v>845</v>
      </c>
      <c r="BF68" s="378" t="s">
        <v>673</v>
      </c>
      <c r="BG68" s="378" t="s">
        <v>674</v>
      </c>
      <c r="BH68" s="378" t="s">
        <v>845</v>
      </c>
      <c r="BI68" s="378" t="s">
        <v>673</v>
      </c>
      <c r="BJ68" s="378" t="s">
        <v>674</v>
      </c>
      <c r="BK68" s="378" t="s">
        <v>845</v>
      </c>
      <c r="BL68" s="378" t="s">
        <v>673</v>
      </c>
      <c r="BM68" s="378" t="s">
        <v>674</v>
      </c>
      <c r="BN68" s="378" t="s">
        <v>845</v>
      </c>
      <c r="BO68" s="378" t="s">
        <v>673</v>
      </c>
      <c r="BP68" s="378" t="s">
        <v>674</v>
      </c>
      <c r="BQ68" s="378" t="s">
        <v>845</v>
      </c>
      <c r="BR68" s="378" t="s">
        <v>673</v>
      </c>
      <c r="BS68" s="378" t="s">
        <v>674</v>
      </c>
      <c r="BT68" s="378" t="s">
        <v>845</v>
      </c>
      <c r="BU68" s="378" t="s">
        <v>673</v>
      </c>
      <c r="BV68" s="378" t="s">
        <v>674</v>
      </c>
      <c r="BW68" s="378" t="s">
        <v>845</v>
      </c>
      <c r="BX68" s="378" t="s">
        <v>673</v>
      </c>
      <c r="BY68" s="378" t="s">
        <v>674</v>
      </c>
      <c r="BZ68" s="378" t="s">
        <v>845</v>
      </c>
      <c r="CA68" s="378" t="s">
        <v>673</v>
      </c>
      <c r="CB68" s="378" t="s">
        <v>674</v>
      </c>
      <c r="CC68" s="378" t="s">
        <v>845</v>
      </c>
      <c r="CD68" s="378" t="s">
        <v>673</v>
      </c>
      <c r="CE68" s="378" t="s">
        <v>674</v>
      </c>
      <c r="CF68" s="378" t="s">
        <v>845</v>
      </c>
      <c r="CG68" s="378" t="s">
        <v>673</v>
      </c>
      <c r="CH68" s="378" t="s">
        <v>674</v>
      </c>
      <c r="CI68" s="378" t="s">
        <v>845</v>
      </c>
      <c r="CJ68" s="378" t="s">
        <v>673</v>
      </c>
      <c r="CK68" s="378" t="s">
        <v>674</v>
      </c>
      <c r="CL68" s="378" t="s">
        <v>845</v>
      </c>
    </row>
    <row r="69" spans="1:90" ht="14.25" customHeight="1" x14ac:dyDescent="0.2">
      <c r="A69" s="119" t="s">
        <v>0</v>
      </c>
      <c r="B69" s="119" t="s">
        <v>300</v>
      </c>
      <c r="C69" s="120" t="s">
        <v>301</v>
      </c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>
        <v>8294795</v>
      </c>
      <c r="T69" s="72">
        <v>6107770</v>
      </c>
      <c r="U69" s="72">
        <v>6026754</v>
      </c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69"/>
      <c r="AG69" s="69"/>
      <c r="AH69" s="72">
        <f>'aládolgozó számítások'!D29+'aládolgozó számítások'!E29+'aládolgozó számítások'!G29</f>
        <v>8111600</v>
      </c>
      <c r="AI69" s="72">
        <f>'aládolgozó számítások'!H41+200000</f>
        <v>10124412.5</v>
      </c>
      <c r="AJ69" s="72">
        <v>9930994</v>
      </c>
      <c r="AK69" s="72"/>
      <c r="AL69" s="72">
        <f>'aládolgozó számítások'!G77+1200000</f>
        <v>9101375</v>
      </c>
      <c r="AM69" s="72">
        <v>8810250</v>
      </c>
      <c r="AN69" s="72"/>
      <c r="AO69" s="72"/>
      <c r="AP69" s="72"/>
      <c r="AQ69" s="72"/>
      <c r="AR69" s="72"/>
      <c r="AS69" s="72"/>
      <c r="AT69" s="463">
        <f>324950+401716*11+37300+40300*11</f>
        <v>5224426</v>
      </c>
      <c r="AU69" s="72">
        <f>324950+401716*11+37300+40300*11+200000</f>
        <v>5424426</v>
      </c>
      <c r="AV69" s="72">
        <v>5280526</v>
      </c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>
        <f>'aládolgozó számítások'!G53</f>
        <v>2334150</v>
      </c>
      <c r="BJ69" s="72">
        <f>'aládolgozó számítások'!G65</f>
        <v>2571450</v>
      </c>
      <c r="BK69" s="72">
        <v>2413500</v>
      </c>
      <c r="BL69" s="72"/>
      <c r="BM69" s="72"/>
      <c r="BN69" s="72"/>
      <c r="BO69" s="72"/>
      <c r="BP69" s="72"/>
      <c r="BQ69" s="72"/>
      <c r="BR69" s="72"/>
      <c r="BS69" s="72"/>
      <c r="BT69" s="72"/>
      <c r="BU69" s="72">
        <v>3053460</v>
      </c>
      <c r="BV69" s="189">
        <f>195000+(210600*9.6)+651654+80049*1.6</f>
        <v>2996492.4</v>
      </c>
      <c r="BW69" s="189">
        <v>3277191</v>
      </c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4"/>
      <c r="CI69" s="407"/>
      <c r="CJ69" s="407">
        <f>D69+G69+J69+M69+P69+S69+AE69+BF69+V69+Y69+AB69+AH69+AK69+AN69+AQ69+AT69+AW69+AZ69+BC69+BI69+BL69+BO69+BR69+BU69+BX69+CA69+CD69+CG69</f>
        <v>27018431</v>
      </c>
      <c r="CK69" s="72">
        <f>E69+H69+K69+N69+Q69+T69+AF69+BG69+W69+Z69+AC69+AI69+AL69+AO69+AR69+AU69+AX69+BA69+BD69+BJ69+BM69+BP69+BS69+BV69+BY69+CB69+CE69+CH69</f>
        <v>36325925.899999999</v>
      </c>
      <c r="CL69" s="72">
        <f>F69+I69+L69+O69+R69+U69+AG69+BH69+X69+AA69+AD69+AJ69+AM69+AP69+AS69+AV69+AY69+BB69+BE69+BK69+BN69+BQ69+BT69+BW69+BZ69+CC69+CF69+CI69</f>
        <v>35739215</v>
      </c>
    </row>
    <row r="70" spans="1:90" ht="14.25" customHeight="1" x14ac:dyDescent="0.2">
      <c r="A70" s="119" t="s">
        <v>6</v>
      </c>
      <c r="B70" s="119" t="s">
        <v>648</v>
      </c>
      <c r="C70" s="120" t="s">
        <v>649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>
        <v>160000</v>
      </c>
      <c r="U70" s="72">
        <v>160000</v>
      </c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69"/>
      <c r="AG70" s="69"/>
      <c r="AH70" s="72">
        <f>'aládolgozó számítások'!D30+'aládolgozó számítások'!E30+'aládolgozó számítások'!G30</f>
        <v>0</v>
      </c>
      <c r="AI70" s="72">
        <f>'aládolgozó számítások'!H42+240000</f>
        <v>390376</v>
      </c>
      <c r="AJ70" s="72">
        <v>290376</v>
      </c>
      <c r="AK70" s="72"/>
      <c r="AL70" s="72">
        <v>255000</v>
      </c>
      <c r="AM70" s="72">
        <v>155000</v>
      </c>
      <c r="AN70" s="72"/>
      <c r="AO70" s="72"/>
      <c r="AP70" s="72"/>
      <c r="AQ70" s="72"/>
      <c r="AR70" s="72"/>
      <c r="AS70" s="72"/>
      <c r="AT70" s="72"/>
      <c r="AU70" s="72">
        <v>90001</v>
      </c>
      <c r="AV70" s="72">
        <v>90001</v>
      </c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>
        <f>'aládolgozó számítások'!G54</f>
        <v>0</v>
      </c>
      <c r="BJ70" s="72">
        <v>70001</v>
      </c>
      <c r="BK70" s="72">
        <v>70001</v>
      </c>
      <c r="BL70" s="72"/>
      <c r="BM70" s="72"/>
      <c r="BN70" s="72"/>
      <c r="BO70" s="72">
        <f>'aládolgozó számítások'!F30</f>
        <v>0</v>
      </c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4"/>
      <c r="CI70" s="407"/>
      <c r="CJ70" s="407">
        <f t="shared" ref="CJ70:CJ101" si="26">D70+G70+J70+M70+P70+S70+AE70+BF70+V70+Y70+AB70+AH70+AK70+AN70+AQ70+AT70+AW70+AZ70+BC70+BI70+BL70+BO70+BR70+BU70+BX70+CA70+CD70+CG70</f>
        <v>0</v>
      </c>
      <c r="CK70" s="72">
        <f t="shared" ref="CK70:CK101" si="27">E70+H70+K70+N70+Q70+T70+AF70+BG70+W70+Z70+AC70+AI70+AL70+AO70+AR70+AU70+AX70+BA70+BD70+BJ70+BM70+BP70+BS70+BV70+BY70+CB70+CE70+CH70</f>
        <v>965378</v>
      </c>
      <c r="CL70" s="72">
        <f t="shared" ref="CL70:CL133" si="28">F70+I70+L70+O70+R70+U70+AG70+BH70+X70+AA70+AD70+AJ70+AM70+AP70+AS70+AV70+AY70+BB70+BE70+BK70+BN70+BQ70+BT70+BW70+BZ70+CC70+CF70+CI70</f>
        <v>765378</v>
      </c>
    </row>
    <row r="71" spans="1:90" ht="14.25" customHeight="1" x14ac:dyDescent="0.2">
      <c r="A71" s="119" t="s">
        <v>14</v>
      </c>
      <c r="B71" s="119" t="s">
        <v>302</v>
      </c>
      <c r="C71" s="120" t="s">
        <v>303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69"/>
      <c r="AG71" s="69"/>
      <c r="AH71" s="72">
        <f>'aládolgozó számítások'!D31+'aládolgozó számítások'!E31+'aládolgozó számítások'!G31</f>
        <v>0</v>
      </c>
      <c r="AI71" s="72">
        <f>'aládolgozó számítások'!H43</f>
        <v>0</v>
      </c>
      <c r="AJ71" s="72"/>
      <c r="AK71" s="72"/>
      <c r="AL71" s="72">
        <f>'aládolgozó számítások'!G79</f>
        <v>0</v>
      </c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>
        <f>'aládolgozó számítások'!G55</f>
        <v>0</v>
      </c>
      <c r="BJ71" s="72">
        <f>'aládolgozó számítások'!G67</f>
        <v>0</v>
      </c>
      <c r="BK71" s="72"/>
      <c r="BL71" s="72"/>
      <c r="BM71" s="72"/>
      <c r="BN71" s="72"/>
      <c r="BO71" s="72">
        <f>'aládolgozó számítások'!F31</f>
        <v>0</v>
      </c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4"/>
      <c r="CI71" s="407"/>
      <c r="CJ71" s="407">
        <f t="shared" si="26"/>
        <v>0</v>
      </c>
      <c r="CK71" s="72">
        <f t="shared" si="27"/>
        <v>0</v>
      </c>
      <c r="CL71" s="72">
        <f t="shared" si="28"/>
        <v>0</v>
      </c>
    </row>
    <row r="72" spans="1:90" ht="14.25" customHeight="1" x14ac:dyDescent="0.2">
      <c r="A72" s="119" t="s">
        <v>17</v>
      </c>
      <c r="B72" s="119" t="s">
        <v>304</v>
      </c>
      <c r="C72" s="120" t="s">
        <v>305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69"/>
      <c r="AG72" s="69"/>
      <c r="AH72" s="72">
        <f>'aládolgozó számítások'!D32+'aládolgozó számítások'!E32+'aládolgozó számítások'!G32</f>
        <v>0</v>
      </c>
      <c r="AI72" s="72">
        <f>'aládolgozó számítások'!H44</f>
        <v>0</v>
      </c>
      <c r="AJ72" s="72"/>
      <c r="AK72" s="72"/>
      <c r="AL72" s="72">
        <f>'aládolgozó számítások'!G80</f>
        <v>0</v>
      </c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>
        <f>'aládolgozó számítások'!G56</f>
        <v>0</v>
      </c>
      <c r="BJ72" s="72">
        <f>'aládolgozó számítások'!G68</f>
        <v>0</v>
      </c>
      <c r="BK72" s="72"/>
      <c r="BL72" s="72"/>
      <c r="BM72" s="72"/>
      <c r="BN72" s="72"/>
      <c r="BO72" s="72">
        <f>'aládolgozó számítások'!F32</f>
        <v>0</v>
      </c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4"/>
      <c r="CI72" s="407"/>
      <c r="CJ72" s="407">
        <f t="shared" si="26"/>
        <v>0</v>
      </c>
      <c r="CK72" s="72">
        <f t="shared" si="27"/>
        <v>0</v>
      </c>
      <c r="CL72" s="72">
        <f t="shared" si="28"/>
        <v>0</v>
      </c>
    </row>
    <row r="73" spans="1:90" ht="14.25" customHeight="1" x14ac:dyDescent="0.2">
      <c r="A73" s="119" t="s">
        <v>33</v>
      </c>
      <c r="B73" s="119" t="s">
        <v>306</v>
      </c>
      <c r="C73" s="120" t="s">
        <v>607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69"/>
      <c r="AG73" s="69"/>
      <c r="AH73" s="72">
        <f>'aládolgozó számítások'!D33+'aládolgozó számítások'!E33+'aládolgozó számítások'!G33</f>
        <v>0</v>
      </c>
      <c r="AI73" s="72">
        <f>'aládolgozó számítások'!H45</f>
        <v>0</v>
      </c>
      <c r="AJ73" s="72"/>
      <c r="AK73" s="72"/>
      <c r="AL73" s="72">
        <f>'aládolgozó számítások'!G81</f>
        <v>0</v>
      </c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>
        <f>'aládolgozó számítások'!G57</f>
        <v>0</v>
      </c>
      <c r="BJ73" s="72">
        <f>'aládolgozó számítások'!G69</f>
        <v>0</v>
      </c>
      <c r="BK73" s="72"/>
      <c r="BL73" s="72"/>
      <c r="BM73" s="72"/>
      <c r="BN73" s="72"/>
      <c r="BO73" s="72">
        <f>'aládolgozó számítások'!F33</f>
        <v>0</v>
      </c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4"/>
      <c r="CI73" s="407"/>
      <c r="CJ73" s="407">
        <f t="shared" si="26"/>
        <v>0</v>
      </c>
      <c r="CK73" s="72">
        <f t="shared" si="27"/>
        <v>0</v>
      </c>
      <c r="CL73" s="72">
        <f t="shared" si="28"/>
        <v>0</v>
      </c>
    </row>
    <row r="74" spans="1:90" ht="14.25" customHeight="1" x14ac:dyDescent="0.2">
      <c r="A74" s="119" t="s">
        <v>35</v>
      </c>
      <c r="B74" s="119" t="s">
        <v>307</v>
      </c>
      <c r="C74" s="120" t="s">
        <v>308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69"/>
      <c r="AG74" s="69"/>
      <c r="AH74" s="72">
        <f>'aládolgozó számítások'!D34+'aládolgozó számítások'!E34+'aládolgozó számítások'!G34</f>
        <v>0</v>
      </c>
      <c r="AI74" s="72">
        <f>'aládolgozó számítások'!H46</f>
        <v>0</v>
      </c>
      <c r="AJ74" s="72"/>
      <c r="AK74" s="72"/>
      <c r="AL74" s="72">
        <f>'aládolgozó számítások'!G82</f>
        <v>0</v>
      </c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>
        <f>'aládolgozó számítások'!G58</f>
        <v>0</v>
      </c>
      <c r="BJ74" s="72">
        <f>'aládolgozó számítások'!G70</f>
        <v>0</v>
      </c>
      <c r="BK74" s="72"/>
      <c r="BL74" s="72"/>
      <c r="BM74" s="72"/>
      <c r="BN74" s="72"/>
      <c r="BO74" s="72">
        <f>'aládolgozó számítások'!F34</f>
        <v>0</v>
      </c>
      <c r="BP74" s="72"/>
      <c r="BQ74" s="72"/>
      <c r="BR74" s="72"/>
      <c r="BS74" s="72"/>
      <c r="BT74" s="72"/>
      <c r="BU74" s="72">
        <v>50000</v>
      </c>
      <c r="BV74" s="72">
        <v>50000</v>
      </c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4"/>
      <c r="CI74" s="407"/>
      <c r="CJ74" s="407">
        <f t="shared" si="26"/>
        <v>50000</v>
      </c>
      <c r="CK74" s="72">
        <f t="shared" si="27"/>
        <v>50000</v>
      </c>
      <c r="CL74" s="72">
        <f t="shared" si="28"/>
        <v>0</v>
      </c>
    </row>
    <row r="75" spans="1:90" ht="14.25" customHeight="1" x14ac:dyDescent="0.2">
      <c r="A75" s="119" t="s">
        <v>30</v>
      </c>
      <c r="B75" s="119" t="s">
        <v>309</v>
      </c>
      <c r="C75" s="120" t="s">
        <v>310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69"/>
      <c r="AG75" s="69"/>
      <c r="AH75" s="72">
        <f>'aládolgozó számítások'!D35+'aládolgozó számítások'!E35+'aládolgozó számítások'!G35</f>
        <v>0</v>
      </c>
      <c r="AI75" s="72">
        <f>'aládolgozó számítások'!H47</f>
        <v>0</v>
      </c>
      <c r="AJ75" s="72"/>
      <c r="AK75" s="72"/>
      <c r="AL75" s="72">
        <f>'aládolgozó számítások'!G83</f>
        <v>0</v>
      </c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>
        <f>'aládolgozó számítások'!G59</f>
        <v>0</v>
      </c>
      <c r="BJ75" s="72">
        <f>'aládolgozó számítások'!G71</f>
        <v>0</v>
      </c>
      <c r="BK75" s="72"/>
      <c r="BL75" s="72"/>
      <c r="BM75" s="72"/>
      <c r="BN75" s="72"/>
      <c r="BO75" s="72">
        <f>'aládolgozó számítások'!F35</f>
        <v>0</v>
      </c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4"/>
      <c r="CI75" s="407"/>
      <c r="CJ75" s="407">
        <f t="shared" si="26"/>
        <v>0</v>
      </c>
      <c r="CK75" s="72">
        <f t="shared" si="27"/>
        <v>0</v>
      </c>
      <c r="CL75" s="72">
        <f t="shared" si="28"/>
        <v>0</v>
      </c>
    </row>
    <row r="76" spans="1:90" ht="14.25" customHeight="1" x14ac:dyDescent="0.2">
      <c r="A76" s="119" t="s">
        <v>18</v>
      </c>
      <c r="B76" s="119" t="s">
        <v>311</v>
      </c>
      <c r="C76" s="120" t="s">
        <v>643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100000</v>
      </c>
      <c r="T76" s="72">
        <v>200000</v>
      </c>
      <c r="U76" s="72">
        <v>173828</v>
      </c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69"/>
      <c r="AG76" s="69"/>
      <c r="AH76" s="72">
        <f>'aládolgozó számítások'!D36+'aládolgozó számítások'!E36+'aládolgozó számítások'!G36</f>
        <v>0</v>
      </c>
      <c r="AI76" s="72">
        <v>50000</v>
      </c>
      <c r="AJ76" s="72">
        <v>35900</v>
      </c>
      <c r="AK76" s="72"/>
      <c r="AL76" s="72">
        <f>'aládolgozó számítások'!G84+20*13000-560000</f>
        <v>700000</v>
      </c>
      <c r="AM76" s="72">
        <v>500000</v>
      </c>
      <c r="AN76" s="72"/>
      <c r="AO76" s="72"/>
      <c r="AP76" s="72"/>
      <c r="AQ76" s="72"/>
      <c r="AR76" s="72"/>
      <c r="AS76" s="72"/>
      <c r="AT76" s="72">
        <v>100000</v>
      </c>
      <c r="AU76" s="72">
        <v>650000</v>
      </c>
      <c r="AV76" s="72">
        <v>598800</v>
      </c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>
        <f>'aládolgozó számítások'!G60</f>
        <v>0</v>
      </c>
      <c r="BJ76" s="72">
        <f>'aládolgozó számítások'!G72</f>
        <v>0</v>
      </c>
      <c r="BK76" s="72"/>
      <c r="BL76" s="72"/>
      <c r="BM76" s="72"/>
      <c r="BN76" s="72"/>
      <c r="BO76" s="72">
        <f>'aládolgozó számítások'!F36</f>
        <v>0</v>
      </c>
      <c r="BP76" s="72"/>
      <c r="BQ76" s="72"/>
      <c r="BR76" s="72"/>
      <c r="BS76" s="72"/>
      <c r="BT76" s="72"/>
      <c r="BU76" s="72">
        <v>95000</v>
      </c>
      <c r="BV76" s="72">
        <v>60000</v>
      </c>
      <c r="BW76" s="72">
        <v>51561</v>
      </c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4"/>
      <c r="CI76" s="407"/>
      <c r="CJ76" s="407">
        <f t="shared" si="26"/>
        <v>295000</v>
      </c>
      <c r="CK76" s="72">
        <f t="shared" si="27"/>
        <v>1660000</v>
      </c>
      <c r="CL76" s="72">
        <f t="shared" si="28"/>
        <v>1360089</v>
      </c>
    </row>
    <row r="77" spans="1:90" ht="14.25" customHeight="1" x14ac:dyDescent="0.2">
      <c r="A77" s="119" t="s">
        <v>19</v>
      </c>
      <c r="B77" s="110" t="s">
        <v>458</v>
      </c>
      <c r="C77" s="111" t="s">
        <v>459</v>
      </c>
      <c r="D77" s="70">
        <f>SUM(D69:D76)</f>
        <v>0</v>
      </c>
      <c r="E77" s="70">
        <f t="shared" ref="E77:BP77" si="29">SUM(E69:E76)</f>
        <v>0</v>
      </c>
      <c r="F77" s="70">
        <f t="shared" si="29"/>
        <v>0</v>
      </c>
      <c r="G77" s="70">
        <f t="shared" si="29"/>
        <v>0</v>
      </c>
      <c r="H77" s="70">
        <f t="shared" si="29"/>
        <v>0</v>
      </c>
      <c r="I77" s="70">
        <f t="shared" si="29"/>
        <v>0</v>
      </c>
      <c r="J77" s="70">
        <f t="shared" si="29"/>
        <v>0</v>
      </c>
      <c r="K77" s="70">
        <f t="shared" si="29"/>
        <v>0</v>
      </c>
      <c r="L77" s="70">
        <f t="shared" si="29"/>
        <v>0</v>
      </c>
      <c r="M77" s="70">
        <f t="shared" si="29"/>
        <v>0</v>
      </c>
      <c r="N77" s="70">
        <f t="shared" si="29"/>
        <v>0</v>
      </c>
      <c r="O77" s="70">
        <f t="shared" si="29"/>
        <v>0</v>
      </c>
      <c r="P77" s="70">
        <f t="shared" si="29"/>
        <v>0</v>
      </c>
      <c r="Q77" s="70">
        <f t="shared" si="29"/>
        <v>0</v>
      </c>
      <c r="R77" s="70">
        <f t="shared" si="29"/>
        <v>0</v>
      </c>
      <c r="S77" s="70">
        <f t="shared" si="29"/>
        <v>8394795</v>
      </c>
      <c r="T77" s="70">
        <f t="shared" si="29"/>
        <v>6467770</v>
      </c>
      <c r="U77" s="70">
        <f t="shared" si="29"/>
        <v>6360582</v>
      </c>
      <c r="V77" s="70">
        <f t="shared" si="29"/>
        <v>0</v>
      </c>
      <c r="W77" s="70">
        <f t="shared" si="29"/>
        <v>0</v>
      </c>
      <c r="X77" s="70">
        <f t="shared" si="29"/>
        <v>0</v>
      </c>
      <c r="Y77" s="70">
        <f t="shared" si="29"/>
        <v>0</v>
      </c>
      <c r="Z77" s="70">
        <f t="shared" si="29"/>
        <v>0</v>
      </c>
      <c r="AA77" s="70">
        <f t="shared" si="29"/>
        <v>0</v>
      </c>
      <c r="AB77" s="70">
        <f t="shared" si="29"/>
        <v>0</v>
      </c>
      <c r="AC77" s="70">
        <f t="shared" si="29"/>
        <v>0</v>
      </c>
      <c r="AD77" s="70">
        <f t="shared" si="29"/>
        <v>0</v>
      </c>
      <c r="AE77" s="70">
        <f t="shared" si="29"/>
        <v>0</v>
      </c>
      <c r="AF77" s="70">
        <f t="shared" si="29"/>
        <v>0</v>
      </c>
      <c r="AG77" s="70">
        <f t="shared" si="29"/>
        <v>0</v>
      </c>
      <c r="AH77" s="70">
        <f t="shared" si="29"/>
        <v>8111600</v>
      </c>
      <c r="AI77" s="70">
        <f t="shared" si="29"/>
        <v>10564788.5</v>
      </c>
      <c r="AJ77" s="70">
        <f t="shared" si="29"/>
        <v>10257270</v>
      </c>
      <c r="AK77" s="70">
        <f t="shared" si="29"/>
        <v>0</v>
      </c>
      <c r="AL77" s="70">
        <f t="shared" si="29"/>
        <v>10056375</v>
      </c>
      <c r="AM77" s="70">
        <f t="shared" si="29"/>
        <v>9465250</v>
      </c>
      <c r="AN77" s="70">
        <f t="shared" si="29"/>
        <v>0</v>
      </c>
      <c r="AO77" s="70">
        <f t="shared" si="29"/>
        <v>0</v>
      </c>
      <c r="AP77" s="70">
        <f t="shared" si="29"/>
        <v>0</v>
      </c>
      <c r="AQ77" s="70">
        <f t="shared" si="29"/>
        <v>0</v>
      </c>
      <c r="AR77" s="70">
        <f t="shared" si="29"/>
        <v>0</v>
      </c>
      <c r="AS77" s="70">
        <f t="shared" si="29"/>
        <v>0</v>
      </c>
      <c r="AT77" s="70">
        <f t="shared" si="29"/>
        <v>5324426</v>
      </c>
      <c r="AU77" s="70">
        <f t="shared" si="29"/>
        <v>6164427</v>
      </c>
      <c r="AV77" s="70">
        <f t="shared" si="29"/>
        <v>5969327</v>
      </c>
      <c r="AW77" s="70">
        <f t="shared" si="29"/>
        <v>0</v>
      </c>
      <c r="AX77" s="70">
        <f t="shared" si="29"/>
        <v>0</v>
      </c>
      <c r="AY77" s="70">
        <f t="shared" si="29"/>
        <v>0</v>
      </c>
      <c r="AZ77" s="70">
        <f t="shared" si="29"/>
        <v>0</v>
      </c>
      <c r="BA77" s="70">
        <f t="shared" si="29"/>
        <v>0</v>
      </c>
      <c r="BB77" s="70">
        <f t="shared" si="29"/>
        <v>0</v>
      </c>
      <c r="BC77" s="70">
        <f t="shared" si="29"/>
        <v>0</v>
      </c>
      <c r="BD77" s="70">
        <f t="shared" si="29"/>
        <v>0</v>
      </c>
      <c r="BE77" s="70">
        <f t="shared" si="29"/>
        <v>0</v>
      </c>
      <c r="BF77" s="70">
        <f t="shared" si="29"/>
        <v>0</v>
      </c>
      <c r="BG77" s="70">
        <f t="shared" si="29"/>
        <v>0</v>
      </c>
      <c r="BH77" s="70">
        <f t="shared" si="29"/>
        <v>0</v>
      </c>
      <c r="BI77" s="70">
        <f t="shared" si="29"/>
        <v>2334150</v>
      </c>
      <c r="BJ77" s="70">
        <f t="shared" si="29"/>
        <v>2641451</v>
      </c>
      <c r="BK77" s="70">
        <f t="shared" si="29"/>
        <v>2483501</v>
      </c>
      <c r="BL77" s="70">
        <f t="shared" si="29"/>
        <v>0</v>
      </c>
      <c r="BM77" s="70">
        <f t="shared" si="29"/>
        <v>0</v>
      </c>
      <c r="BN77" s="70">
        <f t="shared" si="29"/>
        <v>0</v>
      </c>
      <c r="BO77" s="70">
        <f t="shared" si="29"/>
        <v>0</v>
      </c>
      <c r="BP77" s="70">
        <f t="shared" si="29"/>
        <v>0</v>
      </c>
      <c r="BQ77" s="70">
        <f t="shared" ref="BQ77:CI77" si="30">SUM(BQ69:BQ76)</f>
        <v>0</v>
      </c>
      <c r="BR77" s="70">
        <f t="shared" si="30"/>
        <v>0</v>
      </c>
      <c r="BS77" s="70">
        <f t="shared" si="30"/>
        <v>0</v>
      </c>
      <c r="BT77" s="70">
        <f t="shared" si="30"/>
        <v>0</v>
      </c>
      <c r="BU77" s="70">
        <f t="shared" si="30"/>
        <v>3198460</v>
      </c>
      <c r="BV77" s="70">
        <f t="shared" si="30"/>
        <v>3106492.4</v>
      </c>
      <c r="BW77" s="70">
        <f t="shared" si="30"/>
        <v>3328752</v>
      </c>
      <c r="BX77" s="70">
        <f t="shared" si="30"/>
        <v>0</v>
      </c>
      <c r="BY77" s="70">
        <f t="shared" si="30"/>
        <v>0</v>
      </c>
      <c r="BZ77" s="70">
        <f t="shared" si="30"/>
        <v>0</v>
      </c>
      <c r="CA77" s="70">
        <f t="shared" si="30"/>
        <v>0</v>
      </c>
      <c r="CB77" s="70">
        <f t="shared" si="30"/>
        <v>0</v>
      </c>
      <c r="CC77" s="70">
        <f t="shared" si="30"/>
        <v>0</v>
      </c>
      <c r="CD77" s="70">
        <f t="shared" si="30"/>
        <v>0</v>
      </c>
      <c r="CE77" s="70">
        <f t="shared" si="30"/>
        <v>0</v>
      </c>
      <c r="CF77" s="70">
        <f t="shared" si="30"/>
        <v>0</v>
      </c>
      <c r="CG77" s="70">
        <f t="shared" si="30"/>
        <v>0</v>
      </c>
      <c r="CH77" s="70">
        <f t="shared" si="30"/>
        <v>0</v>
      </c>
      <c r="CI77" s="70">
        <f t="shared" si="30"/>
        <v>0</v>
      </c>
      <c r="CJ77" s="408">
        <f t="shared" si="26"/>
        <v>27363431</v>
      </c>
      <c r="CK77" s="406">
        <f t="shared" si="27"/>
        <v>39001303.899999999</v>
      </c>
      <c r="CL77" s="406">
        <f t="shared" si="28"/>
        <v>37864682</v>
      </c>
    </row>
    <row r="78" spans="1:90" ht="14.25" customHeight="1" x14ac:dyDescent="0.2">
      <c r="A78" s="119" t="s">
        <v>20</v>
      </c>
      <c r="B78" s="119" t="s">
        <v>312</v>
      </c>
      <c r="C78" s="120" t="s">
        <v>313</v>
      </c>
      <c r="D78" s="72"/>
      <c r="E78" s="72"/>
      <c r="F78" s="72"/>
      <c r="G78" s="72">
        <f>630660*12+152943</f>
        <v>7720863</v>
      </c>
      <c r="H78" s="72">
        <f>630660*12+152943</f>
        <v>7720863</v>
      </c>
      <c r="I78" s="72">
        <v>5978507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69"/>
      <c r="AG78" s="69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4"/>
      <c r="CI78" s="407"/>
      <c r="CJ78" s="407">
        <f t="shared" si="26"/>
        <v>7720863</v>
      </c>
      <c r="CK78" s="72">
        <f t="shared" si="27"/>
        <v>7720863</v>
      </c>
      <c r="CL78" s="72">
        <f t="shared" si="28"/>
        <v>5978507</v>
      </c>
    </row>
    <row r="79" spans="1:90" ht="14.25" customHeight="1" x14ac:dyDescent="0.2">
      <c r="A79" s="119" t="s">
        <v>21</v>
      </c>
      <c r="B79" s="119" t="s">
        <v>314</v>
      </c>
      <c r="C79" s="120" t="s">
        <v>315</v>
      </c>
      <c r="D79" s="72"/>
      <c r="E79" s="72"/>
      <c r="F79" s="72"/>
      <c r="G79" s="72">
        <f>22000*8</f>
        <v>176000</v>
      </c>
      <c r="H79" s="72">
        <f>22000*8</f>
        <v>176000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69"/>
      <c r="AG79" s="69"/>
      <c r="AH79" s="72"/>
      <c r="AI79" s="72"/>
      <c r="AJ79" s="72"/>
      <c r="AK79" s="72"/>
      <c r="AL79" s="72"/>
      <c r="AM79" s="72">
        <v>104000</v>
      </c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>
        <f>20000*12</f>
        <v>240000</v>
      </c>
      <c r="BD79" s="72">
        <v>240000</v>
      </c>
      <c r="BE79" s="72">
        <v>240000</v>
      </c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4"/>
      <c r="CI79" s="407"/>
      <c r="CJ79" s="407">
        <f t="shared" si="26"/>
        <v>416000</v>
      </c>
      <c r="CK79" s="72">
        <f t="shared" si="27"/>
        <v>416000</v>
      </c>
      <c r="CL79" s="72">
        <f t="shared" si="28"/>
        <v>344000</v>
      </c>
    </row>
    <row r="80" spans="1:90" ht="14.25" customHeight="1" x14ac:dyDescent="0.2">
      <c r="A80" s="119" t="s">
        <v>31</v>
      </c>
      <c r="B80" s="119" t="s">
        <v>316</v>
      </c>
      <c r="C80" s="120" t="s">
        <v>317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69"/>
      <c r="AG80" s="69"/>
      <c r="AH80" s="72"/>
      <c r="AI80" s="72">
        <v>228000</v>
      </c>
      <c r="AJ80" s="72">
        <v>216663</v>
      </c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>
        <v>300000</v>
      </c>
      <c r="BJ80" s="72">
        <v>200000</v>
      </c>
      <c r="BK80" s="72">
        <v>110000</v>
      </c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4"/>
      <c r="CI80" s="407"/>
      <c r="CJ80" s="407">
        <f t="shared" si="26"/>
        <v>300000</v>
      </c>
      <c r="CK80" s="72">
        <f t="shared" si="27"/>
        <v>428000</v>
      </c>
      <c r="CL80" s="72">
        <f t="shared" si="28"/>
        <v>326663</v>
      </c>
    </row>
    <row r="81" spans="1:90" ht="14.25" customHeight="1" x14ac:dyDescent="0.2">
      <c r="A81" s="119" t="s">
        <v>22</v>
      </c>
      <c r="B81" s="110" t="s">
        <v>460</v>
      </c>
      <c r="C81" s="111" t="s">
        <v>461</v>
      </c>
      <c r="D81" s="70">
        <f>SUM(D78:D80)</f>
        <v>0</v>
      </c>
      <c r="E81" s="70">
        <f t="shared" ref="E81:BP81" si="31">SUM(E78:E80)</f>
        <v>0</v>
      </c>
      <c r="F81" s="70">
        <f t="shared" si="31"/>
        <v>0</v>
      </c>
      <c r="G81" s="70">
        <f t="shared" si="31"/>
        <v>7896863</v>
      </c>
      <c r="H81" s="70">
        <f t="shared" si="31"/>
        <v>7896863</v>
      </c>
      <c r="I81" s="70">
        <f t="shared" si="31"/>
        <v>5978507</v>
      </c>
      <c r="J81" s="70">
        <f t="shared" si="31"/>
        <v>0</v>
      </c>
      <c r="K81" s="70">
        <f t="shared" si="31"/>
        <v>0</v>
      </c>
      <c r="L81" s="70">
        <f t="shared" si="31"/>
        <v>0</v>
      </c>
      <c r="M81" s="70">
        <f t="shared" si="31"/>
        <v>0</v>
      </c>
      <c r="N81" s="70">
        <f t="shared" si="31"/>
        <v>0</v>
      </c>
      <c r="O81" s="70">
        <f t="shared" si="31"/>
        <v>0</v>
      </c>
      <c r="P81" s="70">
        <f t="shared" si="31"/>
        <v>0</v>
      </c>
      <c r="Q81" s="70">
        <f t="shared" si="31"/>
        <v>0</v>
      </c>
      <c r="R81" s="70">
        <f t="shared" si="31"/>
        <v>0</v>
      </c>
      <c r="S81" s="70">
        <f t="shared" si="31"/>
        <v>0</v>
      </c>
      <c r="T81" s="70">
        <f t="shared" si="31"/>
        <v>0</v>
      </c>
      <c r="U81" s="70">
        <f t="shared" si="31"/>
        <v>0</v>
      </c>
      <c r="V81" s="70">
        <f t="shared" si="31"/>
        <v>0</v>
      </c>
      <c r="W81" s="70">
        <f t="shared" si="31"/>
        <v>0</v>
      </c>
      <c r="X81" s="70">
        <f t="shared" si="31"/>
        <v>0</v>
      </c>
      <c r="Y81" s="70">
        <f t="shared" si="31"/>
        <v>0</v>
      </c>
      <c r="Z81" s="70">
        <f t="shared" si="31"/>
        <v>0</v>
      </c>
      <c r="AA81" s="70">
        <f t="shared" si="31"/>
        <v>0</v>
      </c>
      <c r="AB81" s="70">
        <f t="shared" si="31"/>
        <v>0</v>
      </c>
      <c r="AC81" s="70">
        <f t="shared" si="31"/>
        <v>0</v>
      </c>
      <c r="AD81" s="70">
        <f t="shared" si="31"/>
        <v>0</v>
      </c>
      <c r="AE81" s="70">
        <f t="shared" si="31"/>
        <v>0</v>
      </c>
      <c r="AF81" s="70">
        <f t="shared" si="31"/>
        <v>0</v>
      </c>
      <c r="AG81" s="70">
        <f t="shared" si="31"/>
        <v>0</v>
      </c>
      <c r="AH81" s="70">
        <f t="shared" si="31"/>
        <v>0</v>
      </c>
      <c r="AI81" s="70">
        <f t="shared" si="31"/>
        <v>228000</v>
      </c>
      <c r="AJ81" s="70">
        <f t="shared" si="31"/>
        <v>216663</v>
      </c>
      <c r="AK81" s="70">
        <f t="shared" si="31"/>
        <v>0</v>
      </c>
      <c r="AL81" s="70">
        <f t="shared" si="31"/>
        <v>0</v>
      </c>
      <c r="AM81" s="70">
        <f t="shared" si="31"/>
        <v>104000</v>
      </c>
      <c r="AN81" s="70">
        <f t="shared" si="31"/>
        <v>0</v>
      </c>
      <c r="AO81" s="70">
        <f t="shared" si="31"/>
        <v>0</v>
      </c>
      <c r="AP81" s="70">
        <f t="shared" si="31"/>
        <v>0</v>
      </c>
      <c r="AQ81" s="70">
        <f t="shared" si="31"/>
        <v>0</v>
      </c>
      <c r="AR81" s="70">
        <f t="shared" si="31"/>
        <v>0</v>
      </c>
      <c r="AS81" s="70">
        <f t="shared" si="31"/>
        <v>0</v>
      </c>
      <c r="AT81" s="70">
        <f t="shared" si="31"/>
        <v>0</v>
      </c>
      <c r="AU81" s="70">
        <f t="shared" si="31"/>
        <v>0</v>
      </c>
      <c r="AV81" s="70">
        <f t="shared" si="31"/>
        <v>0</v>
      </c>
      <c r="AW81" s="70">
        <f t="shared" si="31"/>
        <v>0</v>
      </c>
      <c r="AX81" s="70">
        <f t="shared" si="31"/>
        <v>0</v>
      </c>
      <c r="AY81" s="70">
        <f t="shared" si="31"/>
        <v>0</v>
      </c>
      <c r="AZ81" s="70">
        <f t="shared" si="31"/>
        <v>0</v>
      </c>
      <c r="BA81" s="70">
        <f t="shared" si="31"/>
        <v>0</v>
      </c>
      <c r="BB81" s="70">
        <f t="shared" si="31"/>
        <v>0</v>
      </c>
      <c r="BC81" s="70">
        <f t="shared" si="31"/>
        <v>240000</v>
      </c>
      <c r="BD81" s="70">
        <f t="shared" si="31"/>
        <v>240000</v>
      </c>
      <c r="BE81" s="70">
        <f t="shared" si="31"/>
        <v>240000</v>
      </c>
      <c r="BF81" s="70">
        <f t="shared" si="31"/>
        <v>0</v>
      </c>
      <c r="BG81" s="70">
        <f t="shared" si="31"/>
        <v>0</v>
      </c>
      <c r="BH81" s="70">
        <f t="shared" si="31"/>
        <v>0</v>
      </c>
      <c r="BI81" s="70">
        <f t="shared" si="31"/>
        <v>300000</v>
      </c>
      <c r="BJ81" s="70">
        <f t="shared" si="31"/>
        <v>200000</v>
      </c>
      <c r="BK81" s="70">
        <f t="shared" si="31"/>
        <v>110000</v>
      </c>
      <c r="BL81" s="70">
        <f t="shared" si="31"/>
        <v>0</v>
      </c>
      <c r="BM81" s="70">
        <f t="shared" si="31"/>
        <v>0</v>
      </c>
      <c r="BN81" s="70">
        <f t="shared" si="31"/>
        <v>0</v>
      </c>
      <c r="BO81" s="70">
        <f t="shared" si="31"/>
        <v>0</v>
      </c>
      <c r="BP81" s="70">
        <f t="shared" si="31"/>
        <v>0</v>
      </c>
      <c r="BQ81" s="70">
        <f t="shared" ref="BQ81:CI81" si="32">SUM(BQ78:BQ80)</f>
        <v>0</v>
      </c>
      <c r="BR81" s="70">
        <f t="shared" si="32"/>
        <v>0</v>
      </c>
      <c r="BS81" s="70">
        <f t="shared" si="32"/>
        <v>0</v>
      </c>
      <c r="BT81" s="70">
        <f t="shared" si="32"/>
        <v>0</v>
      </c>
      <c r="BU81" s="70">
        <f t="shared" si="32"/>
        <v>0</v>
      </c>
      <c r="BV81" s="70">
        <f t="shared" si="32"/>
        <v>0</v>
      </c>
      <c r="BW81" s="70">
        <f t="shared" si="32"/>
        <v>0</v>
      </c>
      <c r="BX81" s="70">
        <f t="shared" si="32"/>
        <v>0</v>
      </c>
      <c r="BY81" s="70">
        <f t="shared" si="32"/>
        <v>0</v>
      </c>
      <c r="BZ81" s="70">
        <f t="shared" si="32"/>
        <v>0</v>
      </c>
      <c r="CA81" s="70">
        <f t="shared" si="32"/>
        <v>0</v>
      </c>
      <c r="CB81" s="70">
        <f t="shared" si="32"/>
        <v>0</v>
      </c>
      <c r="CC81" s="70">
        <f t="shared" si="32"/>
        <v>0</v>
      </c>
      <c r="CD81" s="70">
        <f t="shared" si="32"/>
        <v>0</v>
      </c>
      <c r="CE81" s="70">
        <f t="shared" si="32"/>
        <v>0</v>
      </c>
      <c r="CF81" s="70">
        <f t="shared" si="32"/>
        <v>0</v>
      </c>
      <c r="CG81" s="70">
        <f t="shared" si="32"/>
        <v>0</v>
      </c>
      <c r="CH81" s="70">
        <f t="shared" si="32"/>
        <v>0</v>
      </c>
      <c r="CI81" s="70">
        <f t="shared" si="32"/>
        <v>0</v>
      </c>
      <c r="CJ81" s="408">
        <f t="shared" si="26"/>
        <v>8436863</v>
      </c>
      <c r="CK81" s="406">
        <f t="shared" si="27"/>
        <v>8564863</v>
      </c>
      <c r="CL81" s="406">
        <f t="shared" si="28"/>
        <v>6649170</v>
      </c>
    </row>
    <row r="82" spans="1:90" s="132" customFormat="1" ht="14.25" customHeight="1" x14ac:dyDescent="0.2">
      <c r="A82" s="119" t="s">
        <v>24</v>
      </c>
      <c r="B82" s="110" t="s">
        <v>318</v>
      </c>
      <c r="C82" s="111" t="s">
        <v>319</v>
      </c>
      <c r="D82" s="70">
        <f>D77+D81</f>
        <v>0</v>
      </c>
      <c r="E82" s="70">
        <f t="shared" ref="E82:BP82" si="33">E77+E81</f>
        <v>0</v>
      </c>
      <c r="F82" s="70">
        <f t="shared" si="33"/>
        <v>0</v>
      </c>
      <c r="G82" s="70">
        <f t="shared" si="33"/>
        <v>7896863</v>
      </c>
      <c r="H82" s="70">
        <f t="shared" si="33"/>
        <v>7896863</v>
      </c>
      <c r="I82" s="70">
        <f t="shared" si="33"/>
        <v>5978507</v>
      </c>
      <c r="J82" s="70">
        <f t="shared" si="33"/>
        <v>0</v>
      </c>
      <c r="K82" s="70">
        <f t="shared" si="33"/>
        <v>0</v>
      </c>
      <c r="L82" s="70">
        <f t="shared" si="33"/>
        <v>0</v>
      </c>
      <c r="M82" s="70">
        <f t="shared" si="33"/>
        <v>0</v>
      </c>
      <c r="N82" s="70">
        <f t="shared" si="33"/>
        <v>0</v>
      </c>
      <c r="O82" s="70">
        <f t="shared" si="33"/>
        <v>0</v>
      </c>
      <c r="P82" s="70">
        <f t="shared" si="33"/>
        <v>0</v>
      </c>
      <c r="Q82" s="70">
        <f t="shared" si="33"/>
        <v>0</v>
      </c>
      <c r="R82" s="70">
        <f t="shared" si="33"/>
        <v>0</v>
      </c>
      <c r="S82" s="70">
        <f t="shared" si="33"/>
        <v>8394795</v>
      </c>
      <c r="T82" s="70">
        <f t="shared" si="33"/>
        <v>6467770</v>
      </c>
      <c r="U82" s="70">
        <f t="shared" si="33"/>
        <v>6360582</v>
      </c>
      <c r="V82" s="70">
        <f t="shared" si="33"/>
        <v>0</v>
      </c>
      <c r="W82" s="70">
        <f t="shared" si="33"/>
        <v>0</v>
      </c>
      <c r="X82" s="70">
        <f t="shared" si="33"/>
        <v>0</v>
      </c>
      <c r="Y82" s="70">
        <f t="shared" si="33"/>
        <v>0</v>
      </c>
      <c r="Z82" s="70">
        <f t="shared" si="33"/>
        <v>0</v>
      </c>
      <c r="AA82" s="70">
        <f t="shared" si="33"/>
        <v>0</v>
      </c>
      <c r="AB82" s="70">
        <f t="shared" si="33"/>
        <v>0</v>
      </c>
      <c r="AC82" s="70">
        <f t="shared" si="33"/>
        <v>0</v>
      </c>
      <c r="AD82" s="70">
        <f t="shared" si="33"/>
        <v>0</v>
      </c>
      <c r="AE82" s="70">
        <f t="shared" si="33"/>
        <v>0</v>
      </c>
      <c r="AF82" s="70">
        <f t="shared" si="33"/>
        <v>0</v>
      </c>
      <c r="AG82" s="70">
        <f t="shared" si="33"/>
        <v>0</v>
      </c>
      <c r="AH82" s="70">
        <f t="shared" si="33"/>
        <v>8111600</v>
      </c>
      <c r="AI82" s="70">
        <f t="shared" si="33"/>
        <v>10792788.5</v>
      </c>
      <c r="AJ82" s="70">
        <f t="shared" si="33"/>
        <v>10473933</v>
      </c>
      <c r="AK82" s="70">
        <f t="shared" si="33"/>
        <v>0</v>
      </c>
      <c r="AL82" s="70">
        <f t="shared" si="33"/>
        <v>10056375</v>
      </c>
      <c r="AM82" s="70">
        <f t="shared" si="33"/>
        <v>9569250</v>
      </c>
      <c r="AN82" s="70">
        <f t="shared" si="33"/>
        <v>0</v>
      </c>
      <c r="AO82" s="70">
        <f t="shared" si="33"/>
        <v>0</v>
      </c>
      <c r="AP82" s="70">
        <f t="shared" si="33"/>
        <v>0</v>
      </c>
      <c r="AQ82" s="70">
        <f t="shared" si="33"/>
        <v>0</v>
      </c>
      <c r="AR82" s="70">
        <f t="shared" si="33"/>
        <v>0</v>
      </c>
      <c r="AS82" s="70">
        <f t="shared" si="33"/>
        <v>0</v>
      </c>
      <c r="AT82" s="70">
        <f t="shared" si="33"/>
        <v>5324426</v>
      </c>
      <c r="AU82" s="70">
        <f t="shared" si="33"/>
        <v>6164427</v>
      </c>
      <c r="AV82" s="70">
        <f t="shared" si="33"/>
        <v>5969327</v>
      </c>
      <c r="AW82" s="70">
        <f t="shared" si="33"/>
        <v>0</v>
      </c>
      <c r="AX82" s="70">
        <f t="shared" si="33"/>
        <v>0</v>
      </c>
      <c r="AY82" s="70">
        <f t="shared" si="33"/>
        <v>0</v>
      </c>
      <c r="AZ82" s="70">
        <f t="shared" si="33"/>
        <v>0</v>
      </c>
      <c r="BA82" s="70">
        <f t="shared" si="33"/>
        <v>0</v>
      </c>
      <c r="BB82" s="70">
        <f t="shared" si="33"/>
        <v>0</v>
      </c>
      <c r="BC82" s="70">
        <f t="shared" si="33"/>
        <v>240000</v>
      </c>
      <c r="BD82" s="70">
        <f t="shared" si="33"/>
        <v>240000</v>
      </c>
      <c r="BE82" s="70">
        <f t="shared" si="33"/>
        <v>240000</v>
      </c>
      <c r="BF82" s="70">
        <f t="shared" si="33"/>
        <v>0</v>
      </c>
      <c r="BG82" s="70">
        <f t="shared" si="33"/>
        <v>0</v>
      </c>
      <c r="BH82" s="70">
        <f t="shared" si="33"/>
        <v>0</v>
      </c>
      <c r="BI82" s="70">
        <f t="shared" si="33"/>
        <v>2634150</v>
      </c>
      <c r="BJ82" s="70">
        <f t="shared" si="33"/>
        <v>2841451</v>
      </c>
      <c r="BK82" s="70">
        <f t="shared" si="33"/>
        <v>2593501</v>
      </c>
      <c r="BL82" s="70">
        <f t="shared" si="33"/>
        <v>0</v>
      </c>
      <c r="BM82" s="70">
        <f t="shared" si="33"/>
        <v>0</v>
      </c>
      <c r="BN82" s="70">
        <f t="shared" si="33"/>
        <v>0</v>
      </c>
      <c r="BO82" s="70">
        <f t="shared" si="33"/>
        <v>0</v>
      </c>
      <c r="BP82" s="70">
        <f t="shared" si="33"/>
        <v>0</v>
      </c>
      <c r="BQ82" s="70">
        <f t="shared" ref="BQ82:CI82" si="34">BQ77+BQ81</f>
        <v>0</v>
      </c>
      <c r="BR82" s="70">
        <f t="shared" si="34"/>
        <v>0</v>
      </c>
      <c r="BS82" s="70">
        <f t="shared" si="34"/>
        <v>0</v>
      </c>
      <c r="BT82" s="70">
        <f t="shared" si="34"/>
        <v>0</v>
      </c>
      <c r="BU82" s="70">
        <f t="shared" si="34"/>
        <v>3198460</v>
      </c>
      <c r="BV82" s="70">
        <f t="shared" si="34"/>
        <v>3106492.4</v>
      </c>
      <c r="BW82" s="70">
        <f t="shared" si="34"/>
        <v>3328752</v>
      </c>
      <c r="BX82" s="70">
        <f t="shared" si="34"/>
        <v>0</v>
      </c>
      <c r="BY82" s="70">
        <f t="shared" si="34"/>
        <v>0</v>
      </c>
      <c r="BZ82" s="70">
        <f t="shared" si="34"/>
        <v>0</v>
      </c>
      <c r="CA82" s="70">
        <f t="shared" si="34"/>
        <v>0</v>
      </c>
      <c r="CB82" s="70">
        <f t="shared" si="34"/>
        <v>0</v>
      </c>
      <c r="CC82" s="70">
        <f t="shared" si="34"/>
        <v>0</v>
      </c>
      <c r="CD82" s="70">
        <f t="shared" si="34"/>
        <v>0</v>
      </c>
      <c r="CE82" s="70">
        <f t="shared" si="34"/>
        <v>0</v>
      </c>
      <c r="CF82" s="70">
        <f t="shared" si="34"/>
        <v>0</v>
      </c>
      <c r="CG82" s="70">
        <f t="shared" si="34"/>
        <v>0</v>
      </c>
      <c r="CH82" s="70">
        <f t="shared" si="34"/>
        <v>0</v>
      </c>
      <c r="CI82" s="70">
        <f t="shared" si="34"/>
        <v>0</v>
      </c>
      <c r="CJ82" s="408">
        <f t="shared" si="26"/>
        <v>35800294</v>
      </c>
      <c r="CK82" s="406">
        <f t="shared" si="27"/>
        <v>47566166.899999999</v>
      </c>
      <c r="CL82" s="406">
        <f t="shared" si="28"/>
        <v>44513852</v>
      </c>
    </row>
    <row r="83" spans="1:90" s="122" customFormat="1" ht="14.25" customHeight="1" x14ac:dyDescent="0.2">
      <c r="A83" s="119" t="s">
        <v>39</v>
      </c>
      <c r="B83" s="107" t="s">
        <v>320</v>
      </c>
      <c r="C83" s="121" t="s">
        <v>748</v>
      </c>
      <c r="D83" s="69"/>
      <c r="E83" s="69"/>
      <c r="F83" s="69"/>
      <c r="G83" s="69">
        <f>((G78-149009)+(G79*0.9))*0.175</f>
        <v>1352794.45</v>
      </c>
      <c r="H83" s="69">
        <f>630660*4.3*0.175+630660*5*0.155+50000-3240</f>
        <v>1010093.1499999999</v>
      </c>
      <c r="I83" s="69">
        <v>973424</v>
      </c>
      <c r="J83" s="69"/>
      <c r="K83" s="69"/>
      <c r="L83" s="69"/>
      <c r="M83" s="69"/>
      <c r="N83" s="69"/>
      <c r="O83" s="69"/>
      <c r="P83" s="69"/>
      <c r="Q83" s="69"/>
      <c r="R83" s="69"/>
      <c r="S83" s="69">
        <v>734545</v>
      </c>
      <c r="T83" s="69">
        <f>646510-110000</f>
        <v>536510</v>
      </c>
      <c r="U83" s="69">
        <v>528209</v>
      </c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>
        <f>AH69*0.195</f>
        <v>1581762</v>
      </c>
      <c r="AI83" s="69">
        <f>'aládolgozó számítások'!I41*0.175+'aládolgozó számítások'!J41*0.155+AI70*0.155+AI76*0.165-30000</f>
        <v>1697132.9675</v>
      </c>
      <c r="AJ83" s="69">
        <v>1688870</v>
      </c>
      <c r="AK83" s="69"/>
      <c r="AL83" s="69">
        <f>'aládolgozó számítások'!H77*0.175+'aládolgozó számítások'!I77*0.155+(AL76-1000000)*0.9*0.155+1000000*0.175+70000</f>
        <v>1453865.625</v>
      </c>
      <c r="AM83" s="69">
        <v>1443930</v>
      </c>
      <c r="AN83" s="69"/>
      <c r="AO83" s="69"/>
      <c r="AP83" s="69"/>
      <c r="AQ83" s="69"/>
      <c r="AR83" s="69"/>
      <c r="AS83" s="69"/>
      <c r="AT83" s="69">
        <f>AT77*0.175</f>
        <v>931774.54999999993</v>
      </c>
      <c r="AU83" s="69">
        <f>(324950+401716*6)*0.175+401716*5*0.155+AU76*0.175+80000</f>
        <v>983747.95</v>
      </c>
      <c r="AV83" s="69">
        <v>982726</v>
      </c>
      <c r="AW83" s="69"/>
      <c r="AX83" s="69"/>
      <c r="AY83" s="69"/>
      <c r="AZ83" s="69"/>
      <c r="BA83" s="69"/>
      <c r="BB83" s="69"/>
      <c r="BC83" s="69">
        <f>BC82*0.9*0.175</f>
        <v>37800</v>
      </c>
      <c r="BD83" s="69">
        <f>BD82*0.9*0.175</f>
        <v>37800</v>
      </c>
      <c r="BE83" s="69">
        <v>36000</v>
      </c>
      <c r="BF83" s="69"/>
      <c r="BG83" s="69"/>
      <c r="BH83" s="69"/>
      <c r="BI83" s="69">
        <f>BI69*0.175</f>
        <v>408476.25</v>
      </c>
      <c r="BJ83" s="69">
        <f>'aládolgozó számítások'!H65*0.175+'aládolgozó számítások'!I65*0.155</f>
        <v>420453.75</v>
      </c>
      <c r="BK83" s="69">
        <v>396446</v>
      </c>
      <c r="BL83" s="69"/>
      <c r="BM83" s="69"/>
      <c r="BN83" s="69"/>
      <c r="BO83" s="69">
        <f>BO69*0.195</f>
        <v>0</v>
      </c>
      <c r="BP83" s="69"/>
      <c r="BQ83" s="69"/>
      <c r="BR83" s="69"/>
      <c r="BS83" s="69"/>
      <c r="BT83" s="69"/>
      <c r="BU83" s="69">
        <f>(BU69+BU76)*0.175</f>
        <v>550980.5</v>
      </c>
      <c r="BV83" s="69">
        <f>(195000+210600*6+460608)*0.175+(210600*4.6+191046+80049*1.6)*0.155+20000</f>
        <v>555483.48199999996</v>
      </c>
      <c r="BW83" s="69">
        <v>554801</v>
      </c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71"/>
      <c r="CI83" s="515"/>
      <c r="CJ83" s="407">
        <f t="shared" si="26"/>
        <v>5598132.75</v>
      </c>
      <c r="CK83" s="72">
        <f t="shared" si="27"/>
        <v>6695086.9244999997</v>
      </c>
      <c r="CL83" s="72">
        <f t="shared" si="28"/>
        <v>6604406</v>
      </c>
    </row>
    <row r="84" spans="1:90" s="122" customFormat="1" ht="14.25" customHeight="1" x14ac:dyDescent="0.2">
      <c r="A84" s="119" t="s">
        <v>40</v>
      </c>
      <c r="B84" s="107" t="s">
        <v>320</v>
      </c>
      <c r="C84" s="121" t="s">
        <v>788</v>
      </c>
      <c r="D84" s="69"/>
      <c r="E84" s="69"/>
      <c r="F84" s="69"/>
      <c r="G84" s="69">
        <f>152943*0.175</f>
        <v>26765.024999999998</v>
      </c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>
        <f>AH73*1.18*0.14</f>
        <v>0</v>
      </c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>
        <f>AT73*1.18*0.14</f>
        <v>0</v>
      </c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>
        <f>BI73*1.18*0.14</f>
        <v>0</v>
      </c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>
        <f>BU73*1.18*0.14</f>
        <v>0</v>
      </c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71"/>
      <c r="CI84" s="515"/>
      <c r="CJ84" s="407">
        <f t="shared" si="26"/>
        <v>26765.024999999998</v>
      </c>
      <c r="CK84" s="72">
        <f t="shared" si="27"/>
        <v>0</v>
      </c>
      <c r="CL84" s="72">
        <f t="shared" si="28"/>
        <v>0</v>
      </c>
    </row>
    <row r="85" spans="1:90" s="122" customFormat="1" ht="14.25" customHeight="1" x14ac:dyDescent="0.2">
      <c r="A85" s="119" t="s">
        <v>41</v>
      </c>
      <c r="B85" s="107" t="s">
        <v>320</v>
      </c>
      <c r="C85" s="121" t="s">
        <v>613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>
        <v>26000</v>
      </c>
      <c r="AJ85" s="69">
        <v>24000</v>
      </c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>
        <v>50000</v>
      </c>
      <c r="BJ85" s="69">
        <v>16000</v>
      </c>
      <c r="BK85" s="69">
        <v>14000</v>
      </c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71"/>
      <c r="CI85" s="515"/>
      <c r="CJ85" s="407">
        <f t="shared" si="26"/>
        <v>50000</v>
      </c>
      <c r="CK85" s="72">
        <f t="shared" si="27"/>
        <v>42000</v>
      </c>
      <c r="CL85" s="72">
        <f t="shared" si="28"/>
        <v>38000</v>
      </c>
    </row>
    <row r="86" spans="1:90" s="122" customFormat="1" ht="14.25" customHeight="1" x14ac:dyDescent="0.2">
      <c r="A86" s="119" t="s">
        <v>42</v>
      </c>
      <c r="B86" s="107" t="s">
        <v>320</v>
      </c>
      <c r="C86" s="121" t="s">
        <v>714</v>
      </c>
      <c r="D86" s="69"/>
      <c r="E86" s="69"/>
      <c r="F86" s="69"/>
      <c r="G86" s="69"/>
      <c r="H86" s="69">
        <v>317873</v>
      </c>
      <c r="I86" s="69">
        <v>317873</v>
      </c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>
        <v>20000</v>
      </c>
      <c r="U86" s="69">
        <v>12652</v>
      </c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71"/>
      <c r="CI86" s="515"/>
      <c r="CJ86" s="407">
        <f t="shared" si="26"/>
        <v>0</v>
      </c>
      <c r="CK86" s="72">
        <f t="shared" si="27"/>
        <v>337873</v>
      </c>
      <c r="CL86" s="72">
        <f t="shared" si="28"/>
        <v>330525</v>
      </c>
    </row>
    <row r="87" spans="1:90" s="122" customFormat="1" ht="14.25" customHeight="1" x14ac:dyDescent="0.2">
      <c r="A87" s="119" t="s">
        <v>43</v>
      </c>
      <c r="B87" s="107" t="s">
        <v>320</v>
      </c>
      <c r="C87" s="121" t="s">
        <v>495</v>
      </c>
      <c r="D87" s="69"/>
      <c r="E87" s="69"/>
      <c r="F87" s="69"/>
      <c r="G87" s="69">
        <f>152943*0.15</f>
        <v>22941.45</v>
      </c>
      <c r="H87" s="69">
        <f>173913*0.15</f>
        <v>26086.95</v>
      </c>
      <c r="I87" s="69">
        <v>26087</v>
      </c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>
        <f>AH73*1.18*0.15</f>
        <v>0</v>
      </c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>
        <f>AT73*1.18*0.15</f>
        <v>0</v>
      </c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>
        <f>BI73*1.18*0.15</f>
        <v>0</v>
      </c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>
        <f>BU73*1.18*0.15</f>
        <v>0</v>
      </c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71"/>
      <c r="CI87" s="515"/>
      <c r="CJ87" s="407">
        <f t="shared" si="26"/>
        <v>22941.45</v>
      </c>
      <c r="CK87" s="72">
        <f t="shared" si="27"/>
        <v>26086.95</v>
      </c>
      <c r="CL87" s="72">
        <f t="shared" si="28"/>
        <v>26087</v>
      </c>
    </row>
    <row r="88" spans="1:90" s="132" customFormat="1" ht="14.25" customHeight="1" x14ac:dyDescent="0.2">
      <c r="A88" s="119" t="s">
        <v>44</v>
      </c>
      <c r="B88" s="110" t="s">
        <v>320</v>
      </c>
      <c r="C88" s="111" t="s">
        <v>321</v>
      </c>
      <c r="D88" s="70">
        <f>SUM(D83:D87)</f>
        <v>0</v>
      </c>
      <c r="E88" s="70">
        <f t="shared" ref="E88:BP88" si="35">SUM(E83:E87)</f>
        <v>0</v>
      </c>
      <c r="F88" s="70">
        <f t="shared" si="35"/>
        <v>0</v>
      </c>
      <c r="G88" s="70">
        <f t="shared" si="35"/>
        <v>1402500.9249999998</v>
      </c>
      <c r="H88" s="70">
        <f t="shared" si="35"/>
        <v>1354053.0999999999</v>
      </c>
      <c r="I88" s="70">
        <f t="shared" si="35"/>
        <v>1317384</v>
      </c>
      <c r="J88" s="70">
        <f t="shared" si="35"/>
        <v>0</v>
      </c>
      <c r="K88" s="70">
        <f t="shared" si="35"/>
        <v>0</v>
      </c>
      <c r="L88" s="70">
        <f t="shared" si="35"/>
        <v>0</v>
      </c>
      <c r="M88" s="70">
        <f t="shared" si="35"/>
        <v>0</v>
      </c>
      <c r="N88" s="70">
        <f t="shared" si="35"/>
        <v>0</v>
      </c>
      <c r="O88" s="70">
        <f t="shared" si="35"/>
        <v>0</v>
      </c>
      <c r="P88" s="70">
        <f t="shared" si="35"/>
        <v>0</v>
      </c>
      <c r="Q88" s="70">
        <f t="shared" si="35"/>
        <v>0</v>
      </c>
      <c r="R88" s="70">
        <f t="shared" si="35"/>
        <v>0</v>
      </c>
      <c r="S88" s="70">
        <f t="shared" si="35"/>
        <v>734545</v>
      </c>
      <c r="T88" s="70">
        <f t="shared" si="35"/>
        <v>556510</v>
      </c>
      <c r="U88" s="70">
        <f t="shared" si="35"/>
        <v>540861</v>
      </c>
      <c r="V88" s="70">
        <f t="shared" si="35"/>
        <v>0</v>
      </c>
      <c r="W88" s="70">
        <f t="shared" si="35"/>
        <v>0</v>
      </c>
      <c r="X88" s="70">
        <f t="shared" si="35"/>
        <v>0</v>
      </c>
      <c r="Y88" s="70">
        <f t="shared" si="35"/>
        <v>0</v>
      </c>
      <c r="Z88" s="70">
        <f t="shared" si="35"/>
        <v>0</v>
      </c>
      <c r="AA88" s="70">
        <f t="shared" si="35"/>
        <v>0</v>
      </c>
      <c r="AB88" s="70">
        <f t="shared" si="35"/>
        <v>0</v>
      </c>
      <c r="AC88" s="70">
        <f t="shared" si="35"/>
        <v>0</v>
      </c>
      <c r="AD88" s="70">
        <f t="shared" si="35"/>
        <v>0</v>
      </c>
      <c r="AE88" s="70">
        <f t="shared" si="35"/>
        <v>0</v>
      </c>
      <c r="AF88" s="70">
        <f t="shared" si="35"/>
        <v>0</v>
      </c>
      <c r="AG88" s="70">
        <f t="shared" si="35"/>
        <v>0</v>
      </c>
      <c r="AH88" s="70">
        <f t="shared" si="35"/>
        <v>1581762</v>
      </c>
      <c r="AI88" s="70">
        <f t="shared" si="35"/>
        <v>1723132.9675</v>
      </c>
      <c r="AJ88" s="70">
        <f t="shared" si="35"/>
        <v>1712870</v>
      </c>
      <c r="AK88" s="70">
        <f t="shared" si="35"/>
        <v>0</v>
      </c>
      <c r="AL88" s="70">
        <f t="shared" si="35"/>
        <v>1453865.625</v>
      </c>
      <c r="AM88" s="70">
        <f t="shared" si="35"/>
        <v>1443930</v>
      </c>
      <c r="AN88" s="70">
        <f t="shared" si="35"/>
        <v>0</v>
      </c>
      <c r="AO88" s="70">
        <f t="shared" si="35"/>
        <v>0</v>
      </c>
      <c r="AP88" s="70">
        <f t="shared" si="35"/>
        <v>0</v>
      </c>
      <c r="AQ88" s="70">
        <f t="shared" si="35"/>
        <v>0</v>
      </c>
      <c r="AR88" s="70">
        <f t="shared" si="35"/>
        <v>0</v>
      </c>
      <c r="AS88" s="70">
        <f t="shared" si="35"/>
        <v>0</v>
      </c>
      <c r="AT88" s="70">
        <f t="shared" si="35"/>
        <v>931774.54999999993</v>
      </c>
      <c r="AU88" s="70">
        <f t="shared" si="35"/>
        <v>983747.95</v>
      </c>
      <c r="AV88" s="70">
        <f t="shared" si="35"/>
        <v>982726</v>
      </c>
      <c r="AW88" s="70">
        <f t="shared" si="35"/>
        <v>0</v>
      </c>
      <c r="AX88" s="70">
        <f t="shared" si="35"/>
        <v>0</v>
      </c>
      <c r="AY88" s="70">
        <f t="shared" si="35"/>
        <v>0</v>
      </c>
      <c r="AZ88" s="70">
        <f t="shared" si="35"/>
        <v>0</v>
      </c>
      <c r="BA88" s="70">
        <f t="shared" si="35"/>
        <v>0</v>
      </c>
      <c r="BB88" s="70">
        <f t="shared" si="35"/>
        <v>0</v>
      </c>
      <c r="BC88" s="70">
        <f t="shared" si="35"/>
        <v>37800</v>
      </c>
      <c r="BD88" s="70">
        <f t="shared" si="35"/>
        <v>37800</v>
      </c>
      <c r="BE88" s="70">
        <f t="shared" si="35"/>
        <v>36000</v>
      </c>
      <c r="BF88" s="70">
        <f t="shared" si="35"/>
        <v>0</v>
      </c>
      <c r="BG88" s="70">
        <f t="shared" si="35"/>
        <v>0</v>
      </c>
      <c r="BH88" s="70">
        <f t="shared" si="35"/>
        <v>0</v>
      </c>
      <c r="BI88" s="70">
        <f t="shared" si="35"/>
        <v>458476.25</v>
      </c>
      <c r="BJ88" s="70">
        <f t="shared" si="35"/>
        <v>436453.75</v>
      </c>
      <c r="BK88" s="70">
        <f t="shared" si="35"/>
        <v>410446</v>
      </c>
      <c r="BL88" s="70">
        <f t="shared" si="35"/>
        <v>0</v>
      </c>
      <c r="BM88" s="70">
        <f t="shared" si="35"/>
        <v>0</v>
      </c>
      <c r="BN88" s="70">
        <f t="shared" si="35"/>
        <v>0</v>
      </c>
      <c r="BO88" s="70">
        <f t="shared" si="35"/>
        <v>0</v>
      </c>
      <c r="BP88" s="70">
        <f t="shared" si="35"/>
        <v>0</v>
      </c>
      <c r="BQ88" s="70">
        <f t="shared" ref="BQ88:CI88" si="36">SUM(BQ83:BQ87)</f>
        <v>0</v>
      </c>
      <c r="BR88" s="70">
        <f t="shared" si="36"/>
        <v>0</v>
      </c>
      <c r="BS88" s="70">
        <f t="shared" si="36"/>
        <v>0</v>
      </c>
      <c r="BT88" s="70">
        <f t="shared" si="36"/>
        <v>0</v>
      </c>
      <c r="BU88" s="70">
        <f t="shared" si="36"/>
        <v>550980.5</v>
      </c>
      <c r="BV88" s="70">
        <f t="shared" si="36"/>
        <v>555483.48199999996</v>
      </c>
      <c r="BW88" s="70">
        <f t="shared" si="36"/>
        <v>554801</v>
      </c>
      <c r="BX88" s="70">
        <f t="shared" si="36"/>
        <v>0</v>
      </c>
      <c r="BY88" s="70">
        <f t="shared" si="36"/>
        <v>0</v>
      </c>
      <c r="BZ88" s="70">
        <f t="shared" si="36"/>
        <v>0</v>
      </c>
      <c r="CA88" s="70">
        <f t="shared" si="36"/>
        <v>0</v>
      </c>
      <c r="CB88" s="70">
        <f t="shared" si="36"/>
        <v>0</v>
      </c>
      <c r="CC88" s="70">
        <f t="shared" si="36"/>
        <v>0</v>
      </c>
      <c r="CD88" s="70">
        <f t="shared" si="36"/>
        <v>0</v>
      </c>
      <c r="CE88" s="70">
        <f t="shared" si="36"/>
        <v>0</v>
      </c>
      <c r="CF88" s="70">
        <f t="shared" si="36"/>
        <v>0</v>
      </c>
      <c r="CG88" s="70">
        <f t="shared" si="36"/>
        <v>0</v>
      </c>
      <c r="CH88" s="70">
        <f t="shared" si="36"/>
        <v>0</v>
      </c>
      <c r="CI88" s="70">
        <f t="shared" si="36"/>
        <v>0</v>
      </c>
      <c r="CJ88" s="408">
        <f t="shared" si="26"/>
        <v>5697839.2249999996</v>
      </c>
      <c r="CK88" s="406">
        <f t="shared" si="27"/>
        <v>7101046.8744999999</v>
      </c>
      <c r="CL88" s="406">
        <f t="shared" si="28"/>
        <v>6999018</v>
      </c>
    </row>
    <row r="89" spans="1:90" ht="14.25" customHeight="1" x14ac:dyDescent="0.2">
      <c r="A89" s="119" t="s">
        <v>45</v>
      </c>
      <c r="B89" s="119" t="s">
        <v>322</v>
      </c>
      <c r="C89" s="120" t="s">
        <v>323</v>
      </c>
      <c r="D89" s="72"/>
      <c r="E89" s="72"/>
      <c r="F89" s="72"/>
      <c r="G89" s="72">
        <v>15000</v>
      </c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69"/>
      <c r="AG89" s="69"/>
      <c r="AH89" s="72"/>
      <c r="AI89" s="72">
        <v>15000</v>
      </c>
      <c r="AJ89" s="72">
        <v>13829</v>
      </c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>
        <v>10000</v>
      </c>
      <c r="BB89" s="72">
        <v>8228</v>
      </c>
      <c r="BC89" s="72"/>
      <c r="BD89" s="72"/>
      <c r="BE89" s="72"/>
      <c r="BF89" s="72"/>
      <c r="BG89" s="72"/>
      <c r="BH89" s="72"/>
      <c r="BI89" s="72">
        <v>20000</v>
      </c>
      <c r="BJ89" s="72">
        <v>10000</v>
      </c>
      <c r="BK89" s="72">
        <v>5334</v>
      </c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4"/>
      <c r="CI89" s="407"/>
      <c r="CJ89" s="407">
        <f t="shared" si="26"/>
        <v>35000</v>
      </c>
      <c r="CK89" s="72">
        <f t="shared" si="27"/>
        <v>35000</v>
      </c>
      <c r="CL89" s="72">
        <f t="shared" si="28"/>
        <v>27391</v>
      </c>
    </row>
    <row r="90" spans="1:90" ht="14.25" customHeight="1" x14ac:dyDescent="0.2">
      <c r="A90" s="119" t="s">
        <v>46</v>
      </c>
      <c r="B90" s="119" t="s">
        <v>324</v>
      </c>
      <c r="C90" s="120" t="s">
        <v>325</v>
      </c>
      <c r="D90" s="72"/>
      <c r="E90" s="72"/>
      <c r="F90" s="72"/>
      <c r="G90" s="72">
        <v>50000</v>
      </c>
      <c r="H90" s="72">
        <v>50000</v>
      </c>
      <c r="I90" s="72">
        <v>41297</v>
      </c>
      <c r="J90" s="72">
        <v>50000</v>
      </c>
      <c r="K90" s="72">
        <v>50000</v>
      </c>
      <c r="L90" s="72"/>
      <c r="M90" s="72"/>
      <c r="N90" s="72"/>
      <c r="O90" s="72"/>
      <c r="P90" s="72"/>
      <c r="Q90" s="72"/>
      <c r="R90" s="72"/>
      <c r="S90" s="72">
        <v>1419448</v>
      </c>
      <c r="T90" s="72">
        <v>1419449</v>
      </c>
      <c r="U90" s="72">
        <v>1419449</v>
      </c>
      <c r="V90" s="72"/>
      <c r="W90" s="72">
        <v>200000</v>
      </c>
      <c r="X90" s="72">
        <v>152186</v>
      </c>
      <c r="Y90" s="72"/>
      <c r="Z90" s="72"/>
      <c r="AA90" s="72"/>
      <c r="AB90" s="72"/>
      <c r="AC90" s="72"/>
      <c r="AD90" s="72"/>
      <c r="AE90" s="72"/>
      <c r="AF90" s="69">
        <v>30000</v>
      </c>
      <c r="AG90" s="69">
        <v>29100</v>
      </c>
      <c r="AH90" s="72">
        <v>3500000</v>
      </c>
      <c r="AI90" s="72">
        <v>4259999</v>
      </c>
      <c r="AJ90" s="72">
        <f>4175865+30915</f>
        <v>4206780</v>
      </c>
      <c r="AK90" s="72"/>
      <c r="AL90" s="72">
        <v>300000</v>
      </c>
      <c r="AM90" s="72">
        <v>221311</v>
      </c>
      <c r="AN90" s="72"/>
      <c r="AO90" s="72"/>
      <c r="AP90" s="72"/>
      <c r="AQ90" s="72"/>
      <c r="AR90" s="72"/>
      <c r="AS90" s="72"/>
      <c r="AT90" s="72">
        <v>200000</v>
      </c>
      <c r="AU90" s="72">
        <v>380000</v>
      </c>
      <c r="AV90" s="72">
        <v>212226</v>
      </c>
      <c r="AW90" s="72"/>
      <c r="AX90" s="72"/>
      <c r="AY90" s="72"/>
      <c r="AZ90" s="72">
        <v>50000</v>
      </c>
      <c r="BA90" s="72">
        <v>50000</v>
      </c>
      <c r="BB90" s="72">
        <v>33205</v>
      </c>
      <c r="BC90" s="72"/>
      <c r="BD90" s="72"/>
      <c r="BE90" s="72"/>
      <c r="BF90" s="72"/>
      <c r="BG90" s="72">
        <v>10000</v>
      </c>
      <c r="BH90" s="72">
        <v>9700</v>
      </c>
      <c r="BI90" s="72">
        <v>2200000</v>
      </c>
      <c r="BJ90" s="72">
        <v>1700000</v>
      </c>
      <c r="BK90" s="72">
        <v>1519759</v>
      </c>
      <c r="BL90" s="72"/>
      <c r="BM90" s="72"/>
      <c r="BN90" s="72"/>
      <c r="BO90" s="72"/>
      <c r="BP90" s="72">
        <v>50000</v>
      </c>
      <c r="BQ90" s="72">
        <v>25094</v>
      </c>
      <c r="BR90" s="72"/>
      <c r="BS90" s="72">
        <v>250000</v>
      </c>
      <c r="BT90" s="72">
        <v>228421</v>
      </c>
      <c r="BU90" s="72">
        <v>95000</v>
      </c>
      <c r="BV90" s="72">
        <v>635000</v>
      </c>
      <c r="BW90" s="72">
        <v>634661</v>
      </c>
      <c r="BX90" s="72"/>
      <c r="BY90" s="72">
        <v>180000</v>
      </c>
      <c r="BZ90" s="72">
        <v>148519</v>
      </c>
      <c r="CA90" s="72"/>
      <c r="CB90" s="72">
        <v>500000</v>
      </c>
      <c r="CC90" s="72">
        <v>468661</v>
      </c>
      <c r="CD90" s="72">
        <v>56700</v>
      </c>
      <c r="CE90" s="72">
        <v>56700</v>
      </c>
      <c r="CF90" s="72">
        <v>56693</v>
      </c>
      <c r="CG90" s="72"/>
      <c r="CH90" s="74"/>
      <c r="CI90" s="407"/>
      <c r="CJ90" s="407">
        <f t="shared" si="26"/>
        <v>7621148</v>
      </c>
      <c r="CK90" s="72">
        <f t="shared" si="27"/>
        <v>10121148</v>
      </c>
      <c r="CL90" s="72">
        <f t="shared" si="28"/>
        <v>9407062</v>
      </c>
    </row>
    <row r="91" spans="1:90" ht="14.25" customHeight="1" x14ac:dyDescent="0.2">
      <c r="A91" s="119" t="s">
        <v>47</v>
      </c>
      <c r="B91" s="119" t="s">
        <v>326</v>
      </c>
      <c r="C91" s="120" t="s">
        <v>327</v>
      </c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69"/>
      <c r="AG91" s="69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4"/>
      <c r="CI91" s="407"/>
      <c r="CJ91" s="407">
        <f t="shared" si="26"/>
        <v>0</v>
      </c>
      <c r="CK91" s="72">
        <f t="shared" si="27"/>
        <v>0</v>
      </c>
      <c r="CL91" s="72">
        <f t="shared" si="28"/>
        <v>0</v>
      </c>
    </row>
    <row r="92" spans="1:90" s="132" customFormat="1" ht="14.25" customHeight="1" x14ac:dyDescent="0.2">
      <c r="A92" s="119" t="s">
        <v>50</v>
      </c>
      <c r="B92" s="110" t="s">
        <v>328</v>
      </c>
      <c r="C92" s="111" t="s">
        <v>329</v>
      </c>
      <c r="D92" s="70">
        <f>SUM(D89:D91)</f>
        <v>0</v>
      </c>
      <c r="E92" s="70">
        <f t="shared" ref="E92:BP92" si="37">SUM(E89:E91)</f>
        <v>0</v>
      </c>
      <c r="F92" s="70">
        <f t="shared" si="37"/>
        <v>0</v>
      </c>
      <c r="G92" s="70">
        <f t="shared" si="37"/>
        <v>65000</v>
      </c>
      <c r="H92" s="70">
        <f t="shared" si="37"/>
        <v>50000</v>
      </c>
      <c r="I92" s="70">
        <f t="shared" si="37"/>
        <v>41297</v>
      </c>
      <c r="J92" s="70">
        <f t="shared" si="37"/>
        <v>50000</v>
      </c>
      <c r="K92" s="70">
        <f t="shared" si="37"/>
        <v>50000</v>
      </c>
      <c r="L92" s="70">
        <f t="shared" si="37"/>
        <v>0</v>
      </c>
      <c r="M92" s="70">
        <f t="shared" si="37"/>
        <v>0</v>
      </c>
      <c r="N92" s="70">
        <f t="shared" si="37"/>
        <v>0</v>
      </c>
      <c r="O92" s="70">
        <f t="shared" si="37"/>
        <v>0</v>
      </c>
      <c r="P92" s="70">
        <f t="shared" si="37"/>
        <v>0</v>
      </c>
      <c r="Q92" s="70">
        <f t="shared" si="37"/>
        <v>0</v>
      </c>
      <c r="R92" s="70">
        <f t="shared" si="37"/>
        <v>0</v>
      </c>
      <c r="S92" s="70">
        <f t="shared" si="37"/>
        <v>1419448</v>
      </c>
      <c r="T92" s="70">
        <f t="shared" si="37"/>
        <v>1419449</v>
      </c>
      <c r="U92" s="70">
        <f t="shared" si="37"/>
        <v>1419449</v>
      </c>
      <c r="V92" s="70">
        <f t="shared" si="37"/>
        <v>0</v>
      </c>
      <c r="W92" s="70">
        <f t="shared" si="37"/>
        <v>200000</v>
      </c>
      <c r="X92" s="70">
        <f t="shared" si="37"/>
        <v>152186</v>
      </c>
      <c r="Y92" s="70">
        <f t="shared" si="37"/>
        <v>0</v>
      </c>
      <c r="Z92" s="70">
        <f t="shared" si="37"/>
        <v>0</v>
      </c>
      <c r="AA92" s="70">
        <f t="shared" si="37"/>
        <v>0</v>
      </c>
      <c r="AB92" s="70">
        <f t="shared" si="37"/>
        <v>0</v>
      </c>
      <c r="AC92" s="70">
        <f t="shared" si="37"/>
        <v>0</v>
      </c>
      <c r="AD92" s="70">
        <f t="shared" si="37"/>
        <v>0</v>
      </c>
      <c r="AE92" s="70">
        <f t="shared" si="37"/>
        <v>0</v>
      </c>
      <c r="AF92" s="70">
        <f t="shared" si="37"/>
        <v>30000</v>
      </c>
      <c r="AG92" s="70">
        <f t="shared" si="37"/>
        <v>29100</v>
      </c>
      <c r="AH92" s="70">
        <f t="shared" si="37"/>
        <v>3500000</v>
      </c>
      <c r="AI92" s="70">
        <f t="shared" si="37"/>
        <v>4274999</v>
      </c>
      <c r="AJ92" s="70">
        <f t="shared" si="37"/>
        <v>4220609</v>
      </c>
      <c r="AK92" s="70">
        <f t="shared" si="37"/>
        <v>0</v>
      </c>
      <c r="AL92" s="70">
        <f t="shared" si="37"/>
        <v>300000</v>
      </c>
      <c r="AM92" s="70">
        <f t="shared" si="37"/>
        <v>221311</v>
      </c>
      <c r="AN92" s="70">
        <f t="shared" si="37"/>
        <v>0</v>
      </c>
      <c r="AO92" s="70">
        <f t="shared" si="37"/>
        <v>0</v>
      </c>
      <c r="AP92" s="70">
        <f t="shared" si="37"/>
        <v>0</v>
      </c>
      <c r="AQ92" s="70">
        <f t="shared" si="37"/>
        <v>0</v>
      </c>
      <c r="AR92" s="70">
        <f t="shared" si="37"/>
        <v>0</v>
      </c>
      <c r="AS92" s="70">
        <f t="shared" si="37"/>
        <v>0</v>
      </c>
      <c r="AT92" s="70">
        <f t="shared" si="37"/>
        <v>200000</v>
      </c>
      <c r="AU92" s="70">
        <f t="shared" si="37"/>
        <v>380000</v>
      </c>
      <c r="AV92" s="70">
        <f t="shared" si="37"/>
        <v>212226</v>
      </c>
      <c r="AW92" s="70">
        <f t="shared" si="37"/>
        <v>0</v>
      </c>
      <c r="AX92" s="70">
        <f t="shared" si="37"/>
        <v>0</v>
      </c>
      <c r="AY92" s="70">
        <f t="shared" si="37"/>
        <v>0</v>
      </c>
      <c r="AZ92" s="70">
        <f t="shared" si="37"/>
        <v>50000</v>
      </c>
      <c r="BA92" s="70">
        <f t="shared" si="37"/>
        <v>60000</v>
      </c>
      <c r="BB92" s="70">
        <f t="shared" si="37"/>
        <v>41433</v>
      </c>
      <c r="BC92" s="70">
        <f t="shared" si="37"/>
        <v>0</v>
      </c>
      <c r="BD92" s="70">
        <f t="shared" si="37"/>
        <v>0</v>
      </c>
      <c r="BE92" s="70">
        <f t="shared" si="37"/>
        <v>0</v>
      </c>
      <c r="BF92" s="70">
        <f t="shared" si="37"/>
        <v>0</v>
      </c>
      <c r="BG92" s="70">
        <f t="shared" si="37"/>
        <v>10000</v>
      </c>
      <c r="BH92" s="70">
        <f t="shared" si="37"/>
        <v>9700</v>
      </c>
      <c r="BI92" s="70">
        <f t="shared" si="37"/>
        <v>2220000</v>
      </c>
      <c r="BJ92" s="70">
        <f t="shared" si="37"/>
        <v>1710000</v>
      </c>
      <c r="BK92" s="70">
        <f t="shared" si="37"/>
        <v>1525093</v>
      </c>
      <c r="BL92" s="70">
        <f t="shared" si="37"/>
        <v>0</v>
      </c>
      <c r="BM92" s="70">
        <f t="shared" si="37"/>
        <v>0</v>
      </c>
      <c r="BN92" s="70">
        <f t="shared" si="37"/>
        <v>0</v>
      </c>
      <c r="BO92" s="70">
        <f t="shared" si="37"/>
        <v>0</v>
      </c>
      <c r="BP92" s="70">
        <f t="shared" si="37"/>
        <v>50000</v>
      </c>
      <c r="BQ92" s="70">
        <f t="shared" ref="BQ92:CI92" si="38">SUM(BQ89:BQ91)</f>
        <v>25094</v>
      </c>
      <c r="BR92" s="70">
        <f t="shared" si="38"/>
        <v>0</v>
      </c>
      <c r="BS92" s="70">
        <f t="shared" si="38"/>
        <v>250000</v>
      </c>
      <c r="BT92" s="70">
        <f t="shared" si="38"/>
        <v>228421</v>
      </c>
      <c r="BU92" s="70">
        <f t="shared" si="38"/>
        <v>95000</v>
      </c>
      <c r="BV92" s="70">
        <f t="shared" si="38"/>
        <v>635000</v>
      </c>
      <c r="BW92" s="70">
        <f t="shared" si="38"/>
        <v>634661</v>
      </c>
      <c r="BX92" s="70">
        <f t="shared" si="38"/>
        <v>0</v>
      </c>
      <c r="BY92" s="70">
        <f t="shared" si="38"/>
        <v>180000</v>
      </c>
      <c r="BZ92" s="70">
        <f t="shared" si="38"/>
        <v>148519</v>
      </c>
      <c r="CA92" s="70">
        <f t="shared" si="38"/>
        <v>0</v>
      </c>
      <c r="CB92" s="70">
        <f t="shared" si="38"/>
        <v>500000</v>
      </c>
      <c r="CC92" s="70">
        <f t="shared" si="38"/>
        <v>468661</v>
      </c>
      <c r="CD92" s="70">
        <f t="shared" si="38"/>
        <v>56700</v>
      </c>
      <c r="CE92" s="70">
        <f t="shared" si="38"/>
        <v>56700</v>
      </c>
      <c r="CF92" s="70">
        <f t="shared" si="38"/>
        <v>56693</v>
      </c>
      <c r="CG92" s="70">
        <f t="shared" si="38"/>
        <v>0</v>
      </c>
      <c r="CH92" s="70">
        <f t="shared" si="38"/>
        <v>0</v>
      </c>
      <c r="CI92" s="70">
        <f t="shared" si="38"/>
        <v>0</v>
      </c>
      <c r="CJ92" s="408">
        <f t="shared" si="26"/>
        <v>7656148</v>
      </c>
      <c r="CK92" s="406">
        <f t="shared" si="27"/>
        <v>10156148</v>
      </c>
      <c r="CL92" s="406">
        <f t="shared" si="28"/>
        <v>9434453</v>
      </c>
    </row>
    <row r="93" spans="1:90" ht="14.25" customHeight="1" x14ac:dyDescent="0.2">
      <c r="A93" s="119" t="s">
        <v>52</v>
      </c>
      <c r="B93" s="119" t="s">
        <v>330</v>
      </c>
      <c r="C93" s="120" t="s">
        <v>331</v>
      </c>
      <c r="D93" s="72"/>
      <c r="E93" s="72"/>
      <c r="F93" s="72"/>
      <c r="G93" s="72">
        <v>60000</v>
      </c>
      <c r="H93" s="72">
        <v>20000</v>
      </c>
      <c r="I93" s="72">
        <v>14640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69"/>
      <c r="AG93" s="69"/>
      <c r="AH93" s="72">
        <v>100000</v>
      </c>
      <c r="AI93" s="72">
        <v>120000</v>
      </c>
      <c r="AJ93" s="72">
        <v>82290</v>
      </c>
      <c r="AK93" s="72"/>
      <c r="AL93" s="72"/>
      <c r="AM93" s="72"/>
      <c r="AN93" s="72"/>
      <c r="AO93" s="72"/>
      <c r="AP93" s="72"/>
      <c r="AQ93" s="72"/>
      <c r="AR93" s="72"/>
      <c r="AS93" s="72"/>
      <c r="AT93" s="72">
        <v>100000</v>
      </c>
      <c r="AU93" s="72">
        <v>120000</v>
      </c>
      <c r="AV93" s="72">
        <v>104540</v>
      </c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>
        <v>50000</v>
      </c>
      <c r="BJ93" s="72">
        <v>50000</v>
      </c>
      <c r="BK93" s="72">
        <v>26520</v>
      </c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4"/>
      <c r="CI93" s="407"/>
      <c r="CJ93" s="407">
        <f t="shared" si="26"/>
        <v>310000</v>
      </c>
      <c r="CK93" s="72">
        <f t="shared" si="27"/>
        <v>310000</v>
      </c>
      <c r="CL93" s="72">
        <f t="shared" si="28"/>
        <v>227990</v>
      </c>
    </row>
    <row r="94" spans="1:90" ht="14.25" customHeight="1" x14ac:dyDescent="0.2">
      <c r="A94" s="119" t="s">
        <v>54</v>
      </c>
      <c r="B94" s="119" t="s">
        <v>332</v>
      </c>
      <c r="C94" s="120" t="s">
        <v>333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69"/>
      <c r="AG94" s="69"/>
      <c r="AH94" s="72">
        <v>60000</v>
      </c>
      <c r="AI94" s="72">
        <v>39000</v>
      </c>
      <c r="AJ94" s="72">
        <v>38400</v>
      </c>
      <c r="AK94" s="72">
        <v>100000</v>
      </c>
      <c r="AL94" s="72">
        <v>90000</v>
      </c>
      <c r="AM94" s="72">
        <v>86896</v>
      </c>
      <c r="AN94" s="72"/>
      <c r="AO94" s="72"/>
      <c r="AP94" s="72"/>
      <c r="AQ94" s="72"/>
      <c r="AR94" s="72"/>
      <c r="AS94" s="72"/>
      <c r="AT94" s="72">
        <v>40000</v>
      </c>
      <c r="AU94" s="72">
        <v>30000</v>
      </c>
      <c r="AV94" s="72">
        <v>26095</v>
      </c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>
        <v>50000</v>
      </c>
      <c r="BJ94" s="72">
        <v>74000</v>
      </c>
      <c r="BK94" s="72">
        <v>72641</v>
      </c>
      <c r="BL94" s="72"/>
      <c r="BM94" s="72"/>
      <c r="BN94" s="72"/>
      <c r="BO94" s="72"/>
      <c r="BP94" s="72"/>
      <c r="BQ94" s="72"/>
      <c r="BR94" s="72"/>
      <c r="BS94" s="72"/>
      <c r="BT94" s="72"/>
      <c r="BU94" s="72">
        <v>30000</v>
      </c>
      <c r="BV94" s="72">
        <v>36000</v>
      </c>
      <c r="BW94" s="72">
        <v>35880</v>
      </c>
      <c r="BX94" s="72"/>
      <c r="BY94" s="72"/>
      <c r="BZ94" s="72"/>
      <c r="CA94" s="72"/>
      <c r="CB94" s="72">
        <v>21000</v>
      </c>
      <c r="CC94" s="72">
        <v>20080</v>
      </c>
      <c r="CD94" s="72"/>
      <c r="CE94" s="72"/>
      <c r="CF94" s="72"/>
      <c r="CG94" s="72"/>
      <c r="CH94" s="74"/>
      <c r="CI94" s="407"/>
      <c r="CJ94" s="407">
        <f t="shared" si="26"/>
        <v>280000</v>
      </c>
      <c r="CK94" s="72">
        <f t="shared" si="27"/>
        <v>290000</v>
      </c>
      <c r="CL94" s="72">
        <f t="shared" si="28"/>
        <v>279992</v>
      </c>
    </row>
    <row r="95" spans="1:90" s="132" customFormat="1" ht="14.25" customHeight="1" x14ac:dyDescent="0.2">
      <c r="A95" s="119" t="s">
        <v>56</v>
      </c>
      <c r="B95" s="110" t="s">
        <v>334</v>
      </c>
      <c r="C95" s="111" t="s">
        <v>335</v>
      </c>
      <c r="D95" s="70">
        <f>SUM(D93:D94)</f>
        <v>0</v>
      </c>
      <c r="E95" s="70">
        <f t="shared" ref="E95:BP95" si="39">SUM(E93:E94)</f>
        <v>0</v>
      </c>
      <c r="F95" s="70">
        <f t="shared" si="39"/>
        <v>0</v>
      </c>
      <c r="G95" s="70">
        <f t="shared" si="39"/>
        <v>60000</v>
      </c>
      <c r="H95" s="70">
        <f t="shared" si="39"/>
        <v>20000</v>
      </c>
      <c r="I95" s="70">
        <f t="shared" si="39"/>
        <v>14640</v>
      </c>
      <c r="J95" s="70">
        <f t="shared" si="39"/>
        <v>0</v>
      </c>
      <c r="K95" s="70">
        <f t="shared" si="39"/>
        <v>0</v>
      </c>
      <c r="L95" s="70">
        <f t="shared" si="39"/>
        <v>0</v>
      </c>
      <c r="M95" s="70">
        <f t="shared" si="39"/>
        <v>0</v>
      </c>
      <c r="N95" s="70">
        <f t="shared" si="39"/>
        <v>0</v>
      </c>
      <c r="O95" s="70">
        <f t="shared" si="39"/>
        <v>0</v>
      </c>
      <c r="P95" s="70">
        <f t="shared" si="39"/>
        <v>0</v>
      </c>
      <c r="Q95" s="70">
        <f t="shared" si="39"/>
        <v>0</v>
      </c>
      <c r="R95" s="70">
        <f t="shared" si="39"/>
        <v>0</v>
      </c>
      <c r="S95" s="70">
        <f t="shared" si="39"/>
        <v>0</v>
      </c>
      <c r="T95" s="70">
        <f t="shared" si="39"/>
        <v>0</v>
      </c>
      <c r="U95" s="70">
        <f t="shared" si="39"/>
        <v>0</v>
      </c>
      <c r="V95" s="70">
        <f t="shared" si="39"/>
        <v>0</v>
      </c>
      <c r="W95" s="70">
        <f t="shared" si="39"/>
        <v>0</v>
      </c>
      <c r="X95" s="70">
        <f t="shared" si="39"/>
        <v>0</v>
      </c>
      <c r="Y95" s="70">
        <f t="shared" si="39"/>
        <v>0</v>
      </c>
      <c r="Z95" s="70">
        <f t="shared" si="39"/>
        <v>0</v>
      </c>
      <c r="AA95" s="70">
        <f t="shared" si="39"/>
        <v>0</v>
      </c>
      <c r="AB95" s="70">
        <f t="shared" si="39"/>
        <v>0</v>
      </c>
      <c r="AC95" s="70">
        <f t="shared" si="39"/>
        <v>0</v>
      </c>
      <c r="AD95" s="70">
        <f t="shared" si="39"/>
        <v>0</v>
      </c>
      <c r="AE95" s="70">
        <f t="shared" si="39"/>
        <v>0</v>
      </c>
      <c r="AF95" s="70">
        <f t="shared" si="39"/>
        <v>0</v>
      </c>
      <c r="AG95" s="70">
        <f t="shared" si="39"/>
        <v>0</v>
      </c>
      <c r="AH95" s="70">
        <f t="shared" si="39"/>
        <v>160000</v>
      </c>
      <c r="AI95" s="70">
        <f t="shared" si="39"/>
        <v>159000</v>
      </c>
      <c r="AJ95" s="70">
        <f t="shared" si="39"/>
        <v>120690</v>
      </c>
      <c r="AK95" s="70">
        <f t="shared" si="39"/>
        <v>100000</v>
      </c>
      <c r="AL95" s="70">
        <f t="shared" si="39"/>
        <v>90000</v>
      </c>
      <c r="AM95" s="70">
        <f t="shared" si="39"/>
        <v>86896</v>
      </c>
      <c r="AN95" s="70">
        <f t="shared" si="39"/>
        <v>0</v>
      </c>
      <c r="AO95" s="70">
        <f t="shared" si="39"/>
        <v>0</v>
      </c>
      <c r="AP95" s="70">
        <f t="shared" si="39"/>
        <v>0</v>
      </c>
      <c r="AQ95" s="70">
        <f t="shared" si="39"/>
        <v>0</v>
      </c>
      <c r="AR95" s="70">
        <f t="shared" si="39"/>
        <v>0</v>
      </c>
      <c r="AS95" s="70">
        <f t="shared" si="39"/>
        <v>0</v>
      </c>
      <c r="AT95" s="70">
        <f t="shared" si="39"/>
        <v>140000</v>
      </c>
      <c r="AU95" s="70">
        <f t="shared" si="39"/>
        <v>150000</v>
      </c>
      <c r="AV95" s="70">
        <f t="shared" si="39"/>
        <v>130635</v>
      </c>
      <c r="AW95" s="70">
        <f t="shared" si="39"/>
        <v>0</v>
      </c>
      <c r="AX95" s="70">
        <f t="shared" si="39"/>
        <v>0</v>
      </c>
      <c r="AY95" s="70">
        <f t="shared" si="39"/>
        <v>0</v>
      </c>
      <c r="AZ95" s="70">
        <f t="shared" si="39"/>
        <v>0</v>
      </c>
      <c r="BA95" s="70">
        <f t="shared" si="39"/>
        <v>0</v>
      </c>
      <c r="BB95" s="70">
        <f t="shared" si="39"/>
        <v>0</v>
      </c>
      <c r="BC95" s="70">
        <f t="shared" si="39"/>
        <v>0</v>
      </c>
      <c r="BD95" s="70">
        <f t="shared" si="39"/>
        <v>0</v>
      </c>
      <c r="BE95" s="70">
        <f t="shared" si="39"/>
        <v>0</v>
      </c>
      <c r="BF95" s="70">
        <f t="shared" si="39"/>
        <v>0</v>
      </c>
      <c r="BG95" s="70">
        <f t="shared" si="39"/>
        <v>0</v>
      </c>
      <c r="BH95" s="70">
        <f t="shared" si="39"/>
        <v>0</v>
      </c>
      <c r="BI95" s="70">
        <f t="shared" si="39"/>
        <v>100000</v>
      </c>
      <c r="BJ95" s="70">
        <f t="shared" si="39"/>
        <v>124000</v>
      </c>
      <c r="BK95" s="70">
        <f t="shared" si="39"/>
        <v>99161</v>
      </c>
      <c r="BL95" s="70">
        <f t="shared" si="39"/>
        <v>0</v>
      </c>
      <c r="BM95" s="70">
        <f t="shared" si="39"/>
        <v>0</v>
      </c>
      <c r="BN95" s="70">
        <f t="shared" si="39"/>
        <v>0</v>
      </c>
      <c r="BO95" s="70">
        <f t="shared" si="39"/>
        <v>0</v>
      </c>
      <c r="BP95" s="70">
        <f t="shared" si="39"/>
        <v>0</v>
      </c>
      <c r="BQ95" s="70">
        <f t="shared" ref="BQ95:CI95" si="40">SUM(BQ93:BQ94)</f>
        <v>0</v>
      </c>
      <c r="BR95" s="70">
        <f t="shared" si="40"/>
        <v>0</v>
      </c>
      <c r="BS95" s="70">
        <f t="shared" si="40"/>
        <v>0</v>
      </c>
      <c r="BT95" s="70">
        <f t="shared" si="40"/>
        <v>0</v>
      </c>
      <c r="BU95" s="70">
        <f t="shared" si="40"/>
        <v>30000</v>
      </c>
      <c r="BV95" s="70">
        <f t="shared" si="40"/>
        <v>36000</v>
      </c>
      <c r="BW95" s="70">
        <f t="shared" si="40"/>
        <v>35880</v>
      </c>
      <c r="BX95" s="70">
        <f t="shared" si="40"/>
        <v>0</v>
      </c>
      <c r="BY95" s="70">
        <f t="shared" si="40"/>
        <v>0</v>
      </c>
      <c r="BZ95" s="70">
        <f t="shared" si="40"/>
        <v>0</v>
      </c>
      <c r="CA95" s="70">
        <f t="shared" si="40"/>
        <v>0</v>
      </c>
      <c r="CB95" s="70">
        <f t="shared" si="40"/>
        <v>21000</v>
      </c>
      <c r="CC95" s="70">
        <f t="shared" si="40"/>
        <v>20080</v>
      </c>
      <c r="CD95" s="70">
        <f t="shared" si="40"/>
        <v>0</v>
      </c>
      <c r="CE95" s="70">
        <f t="shared" si="40"/>
        <v>0</v>
      </c>
      <c r="CF95" s="70">
        <f t="shared" si="40"/>
        <v>0</v>
      </c>
      <c r="CG95" s="70">
        <f t="shared" si="40"/>
        <v>0</v>
      </c>
      <c r="CH95" s="70">
        <f t="shared" si="40"/>
        <v>0</v>
      </c>
      <c r="CI95" s="70">
        <f t="shared" si="40"/>
        <v>0</v>
      </c>
      <c r="CJ95" s="408">
        <f t="shared" si="26"/>
        <v>590000</v>
      </c>
      <c r="CK95" s="406">
        <f t="shared" si="27"/>
        <v>600000</v>
      </c>
      <c r="CL95" s="406">
        <f t="shared" si="28"/>
        <v>507982</v>
      </c>
    </row>
    <row r="96" spans="1:90" s="131" customFormat="1" ht="14.25" customHeight="1" x14ac:dyDescent="0.2">
      <c r="A96" s="119" t="s">
        <v>57</v>
      </c>
      <c r="B96" s="123" t="s">
        <v>336</v>
      </c>
      <c r="C96" s="124" t="s">
        <v>337</v>
      </c>
      <c r="D96" s="75"/>
      <c r="E96" s="75"/>
      <c r="F96" s="75"/>
      <c r="G96" s="75"/>
      <c r="H96" s="75"/>
      <c r="I96" s="75"/>
      <c r="J96" s="75">
        <v>100000</v>
      </c>
      <c r="K96" s="75">
        <v>120000</v>
      </c>
      <c r="L96" s="75">
        <v>118111</v>
      </c>
      <c r="M96" s="75"/>
      <c r="N96" s="75"/>
      <c r="O96" s="75"/>
      <c r="P96" s="75">
        <v>100000</v>
      </c>
      <c r="Q96" s="75">
        <v>180000</v>
      </c>
      <c r="R96" s="75">
        <v>172162</v>
      </c>
      <c r="S96" s="75"/>
      <c r="T96" s="75"/>
      <c r="U96" s="75"/>
      <c r="V96" s="75"/>
      <c r="W96" s="75"/>
      <c r="X96" s="75"/>
      <c r="Y96" s="75"/>
      <c r="Z96" s="75"/>
      <c r="AA96" s="75"/>
      <c r="AB96" s="75">
        <v>4800000</v>
      </c>
      <c r="AC96" s="75">
        <v>4800000</v>
      </c>
      <c r="AD96" s="75">
        <v>3821872</v>
      </c>
      <c r="AE96" s="75"/>
      <c r="AF96" s="85"/>
      <c r="AG96" s="85"/>
      <c r="AH96" s="75">
        <v>150000</v>
      </c>
      <c r="AI96" s="75">
        <v>250000</v>
      </c>
      <c r="AJ96" s="75">
        <v>157730</v>
      </c>
      <c r="AK96" s="75">
        <v>50000</v>
      </c>
      <c r="AL96" s="75">
        <v>100000</v>
      </c>
      <c r="AM96" s="75">
        <v>78773</v>
      </c>
      <c r="AN96" s="75"/>
      <c r="AO96" s="75"/>
      <c r="AP96" s="75"/>
      <c r="AQ96" s="75"/>
      <c r="AR96" s="75"/>
      <c r="AS96" s="75"/>
      <c r="AT96" s="75">
        <v>30000</v>
      </c>
      <c r="AU96" s="75">
        <v>150000</v>
      </c>
      <c r="AV96" s="75">
        <v>87182</v>
      </c>
      <c r="AW96" s="75"/>
      <c r="AX96" s="75"/>
      <c r="AY96" s="75"/>
      <c r="AZ96" s="75">
        <v>90000</v>
      </c>
      <c r="BA96" s="75">
        <v>100000</v>
      </c>
      <c r="BB96" s="75">
        <v>76428</v>
      </c>
      <c r="BC96" s="75"/>
      <c r="BD96" s="75"/>
      <c r="BE96" s="75"/>
      <c r="BF96" s="75"/>
      <c r="BG96" s="75"/>
      <c r="BH96" s="75"/>
      <c r="BI96" s="75">
        <v>600000</v>
      </c>
      <c r="BJ96" s="75">
        <v>600000</v>
      </c>
      <c r="BK96" s="75">
        <v>421527</v>
      </c>
      <c r="BL96" s="75"/>
      <c r="BM96" s="75"/>
      <c r="BN96" s="75"/>
      <c r="BO96" s="75"/>
      <c r="BP96" s="75"/>
      <c r="BQ96" s="75"/>
      <c r="BR96" s="75"/>
      <c r="BS96" s="75"/>
      <c r="BT96" s="75"/>
      <c r="BU96" s="75">
        <v>150000</v>
      </c>
      <c r="BV96" s="75">
        <v>250000</v>
      </c>
      <c r="BW96" s="75">
        <v>235213</v>
      </c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397"/>
      <c r="CI96" s="516"/>
      <c r="CJ96" s="516">
        <f t="shared" si="26"/>
        <v>6070000</v>
      </c>
      <c r="CK96" s="75">
        <f t="shared" si="27"/>
        <v>6550000</v>
      </c>
      <c r="CL96" s="75">
        <f t="shared" si="28"/>
        <v>5168998</v>
      </c>
    </row>
    <row r="97" spans="1:90" s="131" customFormat="1" ht="14.25" customHeight="1" x14ac:dyDescent="0.2">
      <c r="A97" s="119" t="s">
        <v>58</v>
      </c>
      <c r="B97" s="123" t="s">
        <v>338</v>
      </c>
      <c r="C97" s="124" t="s">
        <v>339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85"/>
      <c r="AG97" s="85"/>
      <c r="AH97" s="75">
        <v>300000</v>
      </c>
      <c r="AI97" s="75">
        <v>450000</v>
      </c>
      <c r="AJ97" s="75">
        <v>178358</v>
      </c>
      <c r="AK97" s="75">
        <v>320000</v>
      </c>
      <c r="AL97" s="75">
        <v>300000</v>
      </c>
      <c r="AM97" s="75">
        <v>221664</v>
      </c>
      <c r="AN97" s="75"/>
      <c r="AO97" s="75"/>
      <c r="AP97" s="75"/>
      <c r="AQ97" s="75"/>
      <c r="AR97" s="75"/>
      <c r="AS97" s="75"/>
      <c r="AT97" s="75">
        <v>200000</v>
      </c>
      <c r="AU97" s="75">
        <v>200000</v>
      </c>
      <c r="AV97" s="75">
        <v>142411</v>
      </c>
      <c r="AW97" s="75"/>
      <c r="AX97" s="75"/>
      <c r="AY97" s="75"/>
      <c r="AZ97" s="75">
        <v>500000</v>
      </c>
      <c r="BA97" s="75">
        <v>500000</v>
      </c>
      <c r="BB97" s="75">
        <v>235489</v>
      </c>
      <c r="BC97" s="75"/>
      <c r="BD97" s="75"/>
      <c r="BE97" s="75"/>
      <c r="BF97" s="75"/>
      <c r="BG97" s="75"/>
      <c r="BH97" s="75"/>
      <c r="BI97" s="75">
        <v>1100000</v>
      </c>
      <c r="BJ97" s="75">
        <v>1100000</v>
      </c>
      <c r="BK97" s="75">
        <v>564482</v>
      </c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397"/>
      <c r="CI97" s="516"/>
      <c r="CJ97" s="516">
        <f t="shared" si="26"/>
        <v>2420000</v>
      </c>
      <c r="CK97" s="75">
        <f t="shared" si="27"/>
        <v>2550000</v>
      </c>
      <c r="CL97" s="75">
        <f t="shared" si="28"/>
        <v>1342404</v>
      </c>
    </row>
    <row r="98" spans="1:90" s="131" customFormat="1" ht="14.25" customHeight="1" x14ac:dyDescent="0.2">
      <c r="A98" s="119" t="s">
        <v>59</v>
      </c>
      <c r="B98" s="123" t="s">
        <v>340</v>
      </c>
      <c r="C98" s="124" t="s">
        <v>341</v>
      </c>
      <c r="D98" s="75"/>
      <c r="E98" s="75"/>
      <c r="F98" s="75"/>
      <c r="G98" s="75"/>
      <c r="H98" s="75"/>
      <c r="I98" s="75"/>
      <c r="J98" s="75">
        <v>200000</v>
      </c>
      <c r="K98" s="75">
        <v>400000</v>
      </c>
      <c r="L98" s="75">
        <v>364170</v>
      </c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85"/>
      <c r="AG98" s="85"/>
      <c r="AH98" s="75">
        <v>1200000</v>
      </c>
      <c r="AI98" s="75">
        <v>1500000</v>
      </c>
      <c r="AJ98" s="75">
        <v>1020044</v>
      </c>
      <c r="AK98" s="75">
        <v>35000</v>
      </c>
      <c r="AL98" s="75">
        <v>50000</v>
      </c>
      <c r="AM98" s="75">
        <v>16092</v>
      </c>
      <c r="AN98" s="75"/>
      <c r="AO98" s="75"/>
      <c r="AP98" s="75"/>
      <c r="AQ98" s="75"/>
      <c r="AR98" s="75"/>
      <c r="AS98" s="75"/>
      <c r="AT98" s="75">
        <v>15000</v>
      </c>
      <c r="AU98" s="75">
        <v>20000</v>
      </c>
      <c r="AV98" s="75">
        <v>9354</v>
      </c>
      <c r="AW98" s="75"/>
      <c r="AX98" s="75"/>
      <c r="AY98" s="75"/>
      <c r="AZ98" s="75">
        <v>100000</v>
      </c>
      <c r="BA98" s="75">
        <v>150000</v>
      </c>
      <c r="BB98" s="75">
        <v>83766</v>
      </c>
      <c r="BC98" s="75"/>
      <c r="BD98" s="75"/>
      <c r="BE98" s="75"/>
      <c r="BF98" s="75"/>
      <c r="BG98" s="75"/>
      <c r="BH98" s="75"/>
      <c r="BI98" s="75">
        <v>280000</v>
      </c>
      <c r="BJ98" s="75">
        <v>300000</v>
      </c>
      <c r="BK98" s="75">
        <v>106950</v>
      </c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397"/>
      <c r="CI98" s="516"/>
      <c r="CJ98" s="516">
        <f t="shared" si="26"/>
        <v>1830000</v>
      </c>
      <c r="CK98" s="75">
        <f t="shared" si="27"/>
        <v>2420000</v>
      </c>
      <c r="CL98" s="75">
        <f t="shared" si="28"/>
        <v>1600376</v>
      </c>
    </row>
    <row r="99" spans="1:90" ht="14.25" customHeight="1" x14ac:dyDescent="0.2">
      <c r="A99" s="119" t="s">
        <v>65</v>
      </c>
      <c r="B99" s="119" t="s">
        <v>342</v>
      </c>
      <c r="C99" s="120" t="s">
        <v>343</v>
      </c>
      <c r="D99" s="72">
        <f t="shared" ref="D99:BO99" si="41">SUM(D96:D98)</f>
        <v>0</v>
      </c>
      <c r="E99" s="72">
        <f t="shared" si="41"/>
        <v>0</v>
      </c>
      <c r="F99" s="72">
        <f t="shared" si="41"/>
        <v>0</v>
      </c>
      <c r="G99" s="72">
        <f t="shared" si="41"/>
        <v>0</v>
      </c>
      <c r="H99" s="72">
        <f t="shared" si="41"/>
        <v>0</v>
      </c>
      <c r="I99" s="72">
        <f t="shared" si="41"/>
        <v>0</v>
      </c>
      <c r="J99" s="72">
        <f t="shared" si="41"/>
        <v>300000</v>
      </c>
      <c r="K99" s="72">
        <f t="shared" si="41"/>
        <v>520000</v>
      </c>
      <c r="L99" s="72">
        <f t="shared" si="41"/>
        <v>482281</v>
      </c>
      <c r="M99" s="72">
        <f t="shared" si="41"/>
        <v>0</v>
      </c>
      <c r="N99" s="72">
        <f t="shared" si="41"/>
        <v>0</v>
      </c>
      <c r="O99" s="72">
        <f t="shared" si="41"/>
        <v>0</v>
      </c>
      <c r="P99" s="72">
        <f t="shared" si="41"/>
        <v>100000</v>
      </c>
      <c r="Q99" s="72">
        <f t="shared" si="41"/>
        <v>180000</v>
      </c>
      <c r="R99" s="72">
        <f t="shared" si="41"/>
        <v>172162</v>
      </c>
      <c r="S99" s="72">
        <f t="shared" si="41"/>
        <v>0</v>
      </c>
      <c r="T99" s="72">
        <f t="shared" si="41"/>
        <v>0</v>
      </c>
      <c r="U99" s="72">
        <f t="shared" si="41"/>
        <v>0</v>
      </c>
      <c r="V99" s="72">
        <f t="shared" si="41"/>
        <v>0</v>
      </c>
      <c r="W99" s="72">
        <f t="shared" si="41"/>
        <v>0</v>
      </c>
      <c r="X99" s="72">
        <f t="shared" si="41"/>
        <v>0</v>
      </c>
      <c r="Y99" s="72">
        <f t="shared" si="41"/>
        <v>0</v>
      </c>
      <c r="Z99" s="72">
        <f t="shared" si="41"/>
        <v>0</v>
      </c>
      <c r="AA99" s="72">
        <f t="shared" si="41"/>
        <v>0</v>
      </c>
      <c r="AB99" s="72">
        <f t="shared" si="41"/>
        <v>4800000</v>
      </c>
      <c r="AC99" s="72">
        <f t="shared" si="41"/>
        <v>4800000</v>
      </c>
      <c r="AD99" s="72">
        <f t="shared" si="41"/>
        <v>3821872</v>
      </c>
      <c r="AE99" s="72">
        <f t="shared" si="41"/>
        <v>0</v>
      </c>
      <c r="AF99" s="72">
        <f t="shared" si="41"/>
        <v>0</v>
      </c>
      <c r="AG99" s="72">
        <f t="shared" si="41"/>
        <v>0</v>
      </c>
      <c r="AH99" s="72">
        <f t="shared" si="41"/>
        <v>1650000</v>
      </c>
      <c r="AI99" s="72">
        <f t="shared" si="41"/>
        <v>2200000</v>
      </c>
      <c r="AJ99" s="72">
        <f t="shared" si="41"/>
        <v>1356132</v>
      </c>
      <c r="AK99" s="72">
        <f t="shared" si="41"/>
        <v>405000</v>
      </c>
      <c r="AL99" s="72">
        <f t="shared" si="41"/>
        <v>450000</v>
      </c>
      <c r="AM99" s="72">
        <f t="shared" si="41"/>
        <v>316529</v>
      </c>
      <c r="AN99" s="72">
        <f t="shared" si="41"/>
        <v>0</v>
      </c>
      <c r="AO99" s="72">
        <f t="shared" si="41"/>
        <v>0</v>
      </c>
      <c r="AP99" s="72">
        <f t="shared" si="41"/>
        <v>0</v>
      </c>
      <c r="AQ99" s="72">
        <f t="shared" si="41"/>
        <v>0</v>
      </c>
      <c r="AR99" s="72">
        <f t="shared" si="41"/>
        <v>0</v>
      </c>
      <c r="AS99" s="72">
        <f t="shared" si="41"/>
        <v>0</v>
      </c>
      <c r="AT99" s="72">
        <f t="shared" si="41"/>
        <v>245000</v>
      </c>
      <c r="AU99" s="72">
        <f t="shared" si="41"/>
        <v>370000</v>
      </c>
      <c r="AV99" s="72">
        <f t="shared" si="41"/>
        <v>238947</v>
      </c>
      <c r="AW99" s="72">
        <f t="shared" si="41"/>
        <v>0</v>
      </c>
      <c r="AX99" s="72">
        <f t="shared" si="41"/>
        <v>0</v>
      </c>
      <c r="AY99" s="72">
        <f t="shared" si="41"/>
        <v>0</v>
      </c>
      <c r="AZ99" s="72">
        <f t="shared" si="41"/>
        <v>690000</v>
      </c>
      <c r="BA99" s="72">
        <f t="shared" si="41"/>
        <v>750000</v>
      </c>
      <c r="BB99" s="72">
        <f t="shared" si="41"/>
        <v>395683</v>
      </c>
      <c r="BC99" s="72">
        <f t="shared" si="41"/>
        <v>0</v>
      </c>
      <c r="BD99" s="72">
        <f t="shared" si="41"/>
        <v>0</v>
      </c>
      <c r="BE99" s="72">
        <f t="shared" si="41"/>
        <v>0</v>
      </c>
      <c r="BF99" s="72">
        <f t="shared" si="41"/>
        <v>0</v>
      </c>
      <c r="BG99" s="72">
        <f t="shared" si="41"/>
        <v>0</v>
      </c>
      <c r="BH99" s="72">
        <f t="shared" si="41"/>
        <v>0</v>
      </c>
      <c r="BI99" s="72">
        <f t="shared" si="41"/>
        <v>1980000</v>
      </c>
      <c r="BJ99" s="72">
        <f t="shared" si="41"/>
        <v>2000000</v>
      </c>
      <c r="BK99" s="72">
        <f t="shared" si="41"/>
        <v>1092959</v>
      </c>
      <c r="BL99" s="72">
        <f t="shared" si="41"/>
        <v>0</v>
      </c>
      <c r="BM99" s="72">
        <f t="shared" si="41"/>
        <v>0</v>
      </c>
      <c r="BN99" s="72">
        <f t="shared" si="41"/>
        <v>0</v>
      </c>
      <c r="BO99" s="72">
        <f t="shared" si="41"/>
        <v>0</v>
      </c>
      <c r="BP99" s="72">
        <f t="shared" ref="BP99:CI99" si="42">SUM(BP96:BP98)</f>
        <v>0</v>
      </c>
      <c r="BQ99" s="72">
        <f t="shared" si="42"/>
        <v>0</v>
      </c>
      <c r="BR99" s="72">
        <f t="shared" si="42"/>
        <v>0</v>
      </c>
      <c r="BS99" s="72">
        <f t="shared" si="42"/>
        <v>0</v>
      </c>
      <c r="BT99" s="72">
        <f t="shared" si="42"/>
        <v>0</v>
      </c>
      <c r="BU99" s="72">
        <f t="shared" si="42"/>
        <v>150000</v>
      </c>
      <c r="BV99" s="72">
        <f t="shared" si="42"/>
        <v>250000</v>
      </c>
      <c r="BW99" s="72">
        <f t="shared" si="42"/>
        <v>235213</v>
      </c>
      <c r="BX99" s="72">
        <f t="shared" si="42"/>
        <v>0</v>
      </c>
      <c r="BY99" s="72">
        <f t="shared" si="42"/>
        <v>0</v>
      </c>
      <c r="BZ99" s="72">
        <f t="shared" si="42"/>
        <v>0</v>
      </c>
      <c r="CA99" s="72">
        <f t="shared" si="42"/>
        <v>0</v>
      </c>
      <c r="CB99" s="72">
        <f t="shared" si="42"/>
        <v>0</v>
      </c>
      <c r="CC99" s="72">
        <f t="shared" si="42"/>
        <v>0</v>
      </c>
      <c r="CD99" s="72">
        <f t="shared" si="42"/>
        <v>0</v>
      </c>
      <c r="CE99" s="72">
        <f t="shared" si="42"/>
        <v>0</v>
      </c>
      <c r="CF99" s="72">
        <f t="shared" si="42"/>
        <v>0</v>
      </c>
      <c r="CG99" s="72">
        <f t="shared" si="42"/>
        <v>0</v>
      </c>
      <c r="CH99" s="72">
        <f t="shared" si="42"/>
        <v>0</v>
      </c>
      <c r="CI99" s="72">
        <f t="shared" si="42"/>
        <v>0</v>
      </c>
      <c r="CJ99" s="407">
        <f t="shared" si="26"/>
        <v>10320000</v>
      </c>
      <c r="CK99" s="72">
        <f t="shared" si="27"/>
        <v>11520000</v>
      </c>
      <c r="CL99" s="72">
        <f t="shared" si="28"/>
        <v>8111778</v>
      </c>
    </row>
    <row r="100" spans="1:90" ht="14.25" customHeight="1" x14ac:dyDescent="0.2">
      <c r="A100" s="119" t="s">
        <v>78</v>
      </c>
      <c r="B100" s="119" t="s">
        <v>344</v>
      </c>
      <c r="C100" s="120" t="s">
        <v>345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69"/>
      <c r="AG100" s="69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4"/>
      <c r="CI100" s="407"/>
      <c r="CJ100" s="407">
        <f t="shared" si="26"/>
        <v>0</v>
      </c>
      <c r="CK100" s="72">
        <f t="shared" si="27"/>
        <v>0</v>
      </c>
      <c r="CL100" s="72">
        <f t="shared" si="28"/>
        <v>0</v>
      </c>
    </row>
    <row r="101" spans="1:90" ht="14.25" customHeight="1" x14ac:dyDescent="0.2">
      <c r="A101" s="119" t="s">
        <v>79</v>
      </c>
      <c r="B101" s="119" t="s">
        <v>346</v>
      </c>
      <c r="C101" s="125" t="s">
        <v>347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>
        <v>50000</v>
      </c>
      <c r="W101" s="72">
        <v>50000</v>
      </c>
      <c r="X101" s="72">
        <v>42184</v>
      </c>
      <c r="Y101" s="72"/>
      <c r="Z101" s="72"/>
      <c r="AA101" s="72"/>
      <c r="AB101" s="72"/>
      <c r="AC101" s="72"/>
      <c r="AD101" s="72"/>
      <c r="AE101" s="72"/>
      <c r="AF101" s="69"/>
      <c r="AG101" s="69"/>
      <c r="AH101" s="72"/>
      <c r="AI101" s="72">
        <v>1800000</v>
      </c>
      <c r="AJ101" s="72">
        <v>1800000</v>
      </c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>
        <v>350000</v>
      </c>
      <c r="BJ101" s="72">
        <v>350000</v>
      </c>
      <c r="BK101" s="72">
        <v>0</v>
      </c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4"/>
      <c r="CI101" s="407"/>
      <c r="CJ101" s="407">
        <f t="shared" si="26"/>
        <v>400000</v>
      </c>
      <c r="CK101" s="72">
        <f t="shared" si="27"/>
        <v>2200000</v>
      </c>
      <c r="CL101" s="72">
        <f t="shared" si="28"/>
        <v>1842184</v>
      </c>
    </row>
    <row r="102" spans="1:90" ht="14.25" customHeight="1" x14ac:dyDescent="0.2">
      <c r="A102" s="119" t="s">
        <v>80</v>
      </c>
      <c r="B102" s="119" t="s">
        <v>348</v>
      </c>
      <c r="C102" s="125" t="s">
        <v>349</v>
      </c>
      <c r="D102" s="72"/>
      <c r="E102" s="72"/>
      <c r="F102" s="72"/>
      <c r="G102" s="72"/>
      <c r="H102" s="72"/>
      <c r="I102" s="72"/>
      <c r="J102" s="72">
        <v>20000</v>
      </c>
      <c r="K102" s="72">
        <v>50000</v>
      </c>
      <c r="L102" s="72">
        <v>28000</v>
      </c>
      <c r="M102" s="72"/>
      <c r="N102" s="72">
        <v>60000</v>
      </c>
      <c r="O102" s="72">
        <v>53502</v>
      </c>
      <c r="P102" s="72"/>
      <c r="Q102" s="72"/>
      <c r="R102" s="72"/>
      <c r="S102" s="72"/>
      <c r="T102" s="72"/>
      <c r="U102" s="72"/>
      <c r="V102" s="72"/>
      <c r="W102" s="72">
        <v>300000</v>
      </c>
      <c r="X102" s="72">
        <v>285000</v>
      </c>
      <c r="Y102" s="72"/>
      <c r="Z102" s="72"/>
      <c r="AA102" s="72"/>
      <c r="AB102" s="72"/>
      <c r="AC102" s="72"/>
      <c r="AD102" s="72"/>
      <c r="AE102" s="72"/>
      <c r="AF102" s="69"/>
      <c r="AG102" s="69"/>
      <c r="AH102" s="72">
        <v>1500000</v>
      </c>
      <c r="AI102" s="72">
        <v>300000</v>
      </c>
      <c r="AJ102" s="72">
        <v>234824</v>
      </c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>
        <v>1000000</v>
      </c>
      <c r="BJ102" s="72">
        <v>750000</v>
      </c>
      <c r="BK102" s="72">
        <v>373132</v>
      </c>
      <c r="BL102" s="72"/>
      <c r="BM102" s="72"/>
      <c r="BN102" s="72"/>
      <c r="BO102" s="72"/>
      <c r="BP102" s="72">
        <v>10000</v>
      </c>
      <c r="BQ102" s="72">
        <v>4500</v>
      </c>
      <c r="BR102" s="72"/>
      <c r="BS102" s="72">
        <v>50000</v>
      </c>
      <c r="BT102" s="72">
        <v>35000</v>
      </c>
      <c r="BU102" s="72"/>
      <c r="BV102" s="72"/>
      <c r="BW102" s="72"/>
      <c r="BX102" s="72"/>
      <c r="BY102" s="72">
        <v>1000000</v>
      </c>
      <c r="BZ102" s="72">
        <v>998917</v>
      </c>
      <c r="CA102" s="72"/>
      <c r="CB102" s="72"/>
      <c r="CC102" s="72"/>
      <c r="CD102" s="72"/>
      <c r="CE102" s="72"/>
      <c r="CF102" s="72"/>
      <c r="CG102" s="72"/>
      <c r="CH102" s="74"/>
      <c r="CI102" s="407"/>
      <c r="CJ102" s="407">
        <f t="shared" ref="CJ102:CJ133" si="43">D102+G102+J102+M102+P102+S102+AE102+BF102+V102+Y102+AB102+AH102+AK102+AN102+AQ102+AT102+AW102+AZ102+BC102+BI102+BL102+BO102+BR102+BU102+BX102+CA102+CD102+CG102</f>
        <v>2520000</v>
      </c>
      <c r="CK102" s="72">
        <f t="shared" ref="CK102:CK133" si="44">E102+H102+K102+N102+Q102+T102+AF102+BG102+W102+Z102+AC102+AI102+AL102+AO102+AR102+AU102+AX102+BA102+BD102+BJ102+BM102+BP102+BS102+BV102+BY102+CB102+CE102+CH102</f>
        <v>2520000</v>
      </c>
      <c r="CL102" s="72">
        <f t="shared" si="28"/>
        <v>2012875</v>
      </c>
    </row>
    <row r="103" spans="1:90" ht="14.25" customHeight="1" x14ac:dyDescent="0.2">
      <c r="A103" s="119" t="s">
        <v>81</v>
      </c>
      <c r="B103" s="119" t="s">
        <v>350</v>
      </c>
      <c r="C103" s="125" t="s">
        <v>351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69"/>
      <c r="AG103" s="69"/>
      <c r="AH103" s="72"/>
      <c r="AI103" s="72">
        <v>500000</v>
      </c>
      <c r="AJ103" s="72">
        <v>370254</v>
      </c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4"/>
      <c r="CI103" s="407"/>
      <c r="CJ103" s="407">
        <f t="shared" si="43"/>
        <v>0</v>
      </c>
      <c r="CK103" s="72">
        <f t="shared" si="44"/>
        <v>500000</v>
      </c>
      <c r="CL103" s="72">
        <f t="shared" si="28"/>
        <v>370254</v>
      </c>
    </row>
    <row r="104" spans="1:90" ht="14.25" customHeight="1" x14ac:dyDescent="0.2">
      <c r="A104" s="119" t="s">
        <v>82</v>
      </c>
      <c r="B104" s="119" t="s">
        <v>352</v>
      </c>
      <c r="C104" s="125" t="s">
        <v>353</v>
      </c>
      <c r="D104" s="72"/>
      <c r="E104" s="72"/>
      <c r="F104" s="72"/>
      <c r="G104" s="72"/>
      <c r="H104" s="72">
        <v>30000</v>
      </c>
      <c r="I104" s="72">
        <v>56600</v>
      </c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69"/>
      <c r="AG104" s="69"/>
      <c r="AH104" s="72"/>
      <c r="AI104" s="72">
        <v>40000</v>
      </c>
      <c r="AJ104" s="72">
        <v>40000</v>
      </c>
      <c r="AK104" s="72"/>
      <c r="AL104" s="72"/>
      <c r="AM104" s="72"/>
      <c r="AN104" s="463">
        <f>205408+293927*11</f>
        <v>3438605</v>
      </c>
      <c r="AO104" s="72">
        <f>3474608+27792</f>
        <v>3502400</v>
      </c>
      <c r="AP104" s="72">
        <v>3474608</v>
      </c>
      <c r="AQ104" s="72">
        <v>110000</v>
      </c>
      <c r="AR104" s="72">
        <v>202400</v>
      </c>
      <c r="AS104" s="72">
        <v>202400</v>
      </c>
      <c r="AT104" s="72"/>
      <c r="AU104" s="72"/>
      <c r="AV104" s="72"/>
      <c r="AW104" s="72">
        <v>175200</v>
      </c>
      <c r="AX104" s="72">
        <v>175200</v>
      </c>
      <c r="AY104" s="72">
        <v>175200</v>
      </c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4"/>
      <c r="CI104" s="407"/>
      <c r="CJ104" s="407">
        <f t="shared" si="43"/>
        <v>3723805</v>
      </c>
      <c r="CK104" s="72">
        <f t="shared" si="44"/>
        <v>3950000</v>
      </c>
      <c r="CL104" s="72">
        <f t="shared" si="28"/>
        <v>3948808</v>
      </c>
    </row>
    <row r="105" spans="1:90" ht="14.25" customHeight="1" x14ac:dyDescent="0.2">
      <c r="A105" s="119" t="s">
        <v>83</v>
      </c>
      <c r="B105" s="119" t="s">
        <v>354</v>
      </c>
      <c r="C105" s="125" t="s">
        <v>355</v>
      </c>
      <c r="D105" s="72"/>
      <c r="E105" s="72"/>
      <c r="F105" s="72"/>
      <c r="G105" s="72">
        <v>2500000</v>
      </c>
      <c r="H105" s="72">
        <v>498000</v>
      </c>
      <c r="I105" s="72">
        <v>497559</v>
      </c>
      <c r="J105" s="72">
        <v>300000</v>
      </c>
      <c r="K105" s="72">
        <v>313500</v>
      </c>
      <c r="L105" s="72">
        <v>313156</v>
      </c>
      <c r="M105" s="72"/>
      <c r="N105" s="72">
        <v>191100</v>
      </c>
      <c r="O105" s="72">
        <v>191063</v>
      </c>
      <c r="P105" s="72"/>
      <c r="Q105" s="72"/>
      <c r="R105" s="72"/>
      <c r="S105" s="72"/>
      <c r="T105" s="72">
        <v>60000</v>
      </c>
      <c r="U105" s="72">
        <v>60000</v>
      </c>
      <c r="V105" s="72"/>
      <c r="W105" s="72">
        <v>1898000</v>
      </c>
      <c r="X105" s="72">
        <v>1888000</v>
      </c>
      <c r="Y105" s="72"/>
      <c r="Z105" s="72"/>
      <c r="AA105" s="72"/>
      <c r="AB105" s="72"/>
      <c r="AC105" s="72"/>
      <c r="AD105" s="72"/>
      <c r="AE105" s="72"/>
      <c r="AF105" s="69">
        <v>1500</v>
      </c>
      <c r="AG105" s="69">
        <v>1457</v>
      </c>
      <c r="AH105" s="72">
        <v>2600000</v>
      </c>
      <c r="AI105" s="72">
        <v>5461900</v>
      </c>
      <c r="AJ105" s="72">
        <v>5459869</v>
      </c>
      <c r="AK105" s="72">
        <v>50000</v>
      </c>
      <c r="AL105" s="72">
        <v>50000</v>
      </c>
      <c r="AM105" s="72">
        <v>49428</v>
      </c>
      <c r="AN105" s="72"/>
      <c r="AO105" s="72"/>
      <c r="AP105" s="72"/>
      <c r="AQ105" s="72"/>
      <c r="AR105" s="72"/>
      <c r="AS105" s="72"/>
      <c r="AT105" s="72">
        <v>200000</v>
      </c>
      <c r="AU105" s="72">
        <v>62000</v>
      </c>
      <c r="AV105" s="72">
        <v>61344</v>
      </c>
      <c r="AW105" s="72"/>
      <c r="AX105" s="72"/>
      <c r="AY105" s="72"/>
      <c r="AZ105" s="189"/>
      <c r="BA105" s="189">
        <v>11000</v>
      </c>
      <c r="BB105" s="189">
        <v>10202</v>
      </c>
      <c r="BC105" s="72"/>
      <c r="BD105" s="72"/>
      <c r="BE105" s="72"/>
      <c r="BF105" s="72">
        <v>976378</v>
      </c>
      <c r="BG105" s="72">
        <v>220000</v>
      </c>
      <c r="BH105" s="72">
        <v>219818</v>
      </c>
      <c r="BI105" s="72">
        <v>2500000</v>
      </c>
      <c r="BJ105" s="72">
        <v>1110000</v>
      </c>
      <c r="BK105" s="72">
        <v>1109648</v>
      </c>
      <c r="BL105" s="72"/>
      <c r="BM105" s="72"/>
      <c r="BN105" s="72"/>
      <c r="BO105" s="72"/>
      <c r="BP105" s="72">
        <v>990000</v>
      </c>
      <c r="BQ105" s="72">
        <v>990000</v>
      </c>
      <c r="BR105" s="72"/>
      <c r="BS105" s="72">
        <v>1000</v>
      </c>
      <c r="BT105" s="72">
        <v>550</v>
      </c>
      <c r="BU105" s="72">
        <v>20000</v>
      </c>
      <c r="BV105" s="72">
        <v>82000</v>
      </c>
      <c r="BW105" s="72">
        <v>81956</v>
      </c>
      <c r="BX105" s="72"/>
      <c r="BY105" s="72">
        <v>50000</v>
      </c>
      <c r="BZ105" s="72">
        <v>48566</v>
      </c>
      <c r="CA105" s="72"/>
      <c r="CB105" s="72"/>
      <c r="CC105" s="72"/>
      <c r="CD105" s="72">
        <v>100000</v>
      </c>
      <c r="CE105" s="72"/>
      <c r="CF105" s="72"/>
      <c r="CG105" s="72"/>
      <c r="CH105" s="74"/>
      <c r="CI105" s="407"/>
      <c r="CJ105" s="407">
        <f t="shared" si="43"/>
        <v>9246378</v>
      </c>
      <c r="CK105" s="72">
        <f t="shared" si="44"/>
        <v>11000000</v>
      </c>
      <c r="CL105" s="72">
        <f t="shared" si="28"/>
        <v>10982616</v>
      </c>
    </row>
    <row r="106" spans="1:90" s="132" customFormat="1" ht="14.25" customHeight="1" x14ac:dyDescent="0.2">
      <c r="A106" s="119" t="s">
        <v>84</v>
      </c>
      <c r="B106" s="110" t="s">
        <v>356</v>
      </c>
      <c r="C106" s="113" t="s">
        <v>357</v>
      </c>
      <c r="D106" s="70">
        <f>SUM(D99:D105)</f>
        <v>0</v>
      </c>
      <c r="E106" s="70">
        <f t="shared" ref="E106:BP106" si="45">SUM(E99:E105)</f>
        <v>0</v>
      </c>
      <c r="F106" s="70">
        <f t="shared" si="45"/>
        <v>0</v>
      </c>
      <c r="G106" s="70">
        <f t="shared" si="45"/>
        <v>2500000</v>
      </c>
      <c r="H106" s="70">
        <f t="shared" si="45"/>
        <v>528000</v>
      </c>
      <c r="I106" s="70">
        <f t="shared" si="45"/>
        <v>554159</v>
      </c>
      <c r="J106" s="70">
        <f t="shared" si="45"/>
        <v>620000</v>
      </c>
      <c r="K106" s="70">
        <f t="shared" si="45"/>
        <v>883500</v>
      </c>
      <c r="L106" s="70">
        <f t="shared" si="45"/>
        <v>823437</v>
      </c>
      <c r="M106" s="70">
        <f t="shared" si="45"/>
        <v>0</v>
      </c>
      <c r="N106" s="70">
        <f t="shared" si="45"/>
        <v>251100</v>
      </c>
      <c r="O106" s="70">
        <f t="shared" si="45"/>
        <v>244565</v>
      </c>
      <c r="P106" s="70">
        <f t="shared" si="45"/>
        <v>100000</v>
      </c>
      <c r="Q106" s="70">
        <f t="shared" si="45"/>
        <v>180000</v>
      </c>
      <c r="R106" s="70">
        <f t="shared" si="45"/>
        <v>172162</v>
      </c>
      <c r="S106" s="70">
        <f t="shared" si="45"/>
        <v>0</v>
      </c>
      <c r="T106" s="70">
        <f t="shared" si="45"/>
        <v>60000</v>
      </c>
      <c r="U106" s="70">
        <f t="shared" si="45"/>
        <v>60000</v>
      </c>
      <c r="V106" s="70">
        <f t="shared" si="45"/>
        <v>50000</v>
      </c>
      <c r="W106" s="70">
        <f t="shared" si="45"/>
        <v>2248000</v>
      </c>
      <c r="X106" s="70">
        <f t="shared" si="45"/>
        <v>2215184</v>
      </c>
      <c r="Y106" s="70">
        <f t="shared" si="45"/>
        <v>0</v>
      </c>
      <c r="Z106" s="70">
        <f t="shared" si="45"/>
        <v>0</v>
      </c>
      <c r="AA106" s="70">
        <f t="shared" si="45"/>
        <v>0</v>
      </c>
      <c r="AB106" s="70">
        <f t="shared" si="45"/>
        <v>4800000</v>
      </c>
      <c r="AC106" s="70">
        <f t="shared" si="45"/>
        <v>4800000</v>
      </c>
      <c r="AD106" s="70">
        <f t="shared" si="45"/>
        <v>3821872</v>
      </c>
      <c r="AE106" s="70">
        <f t="shared" si="45"/>
        <v>0</v>
      </c>
      <c r="AF106" s="70">
        <f t="shared" si="45"/>
        <v>1500</v>
      </c>
      <c r="AG106" s="70">
        <f t="shared" si="45"/>
        <v>1457</v>
      </c>
      <c r="AH106" s="70">
        <f t="shared" si="45"/>
        <v>5750000</v>
      </c>
      <c r="AI106" s="70">
        <f t="shared" si="45"/>
        <v>10301900</v>
      </c>
      <c r="AJ106" s="70">
        <f t="shared" si="45"/>
        <v>9261079</v>
      </c>
      <c r="AK106" s="70">
        <f t="shared" si="45"/>
        <v>455000</v>
      </c>
      <c r="AL106" s="70">
        <f t="shared" si="45"/>
        <v>500000</v>
      </c>
      <c r="AM106" s="70">
        <f t="shared" si="45"/>
        <v>365957</v>
      </c>
      <c r="AN106" s="70">
        <f t="shared" si="45"/>
        <v>3438605</v>
      </c>
      <c r="AO106" s="70">
        <f t="shared" si="45"/>
        <v>3502400</v>
      </c>
      <c r="AP106" s="70">
        <f t="shared" si="45"/>
        <v>3474608</v>
      </c>
      <c r="AQ106" s="70">
        <f t="shared" si="45"/>
        <v>110000</v>
      </c>
      <c r="AR106" s="70">
        <f t="shared" si="45"/>
        <v>202400</v>
      </c>
      <c r="AS106" s="70">
        <f t="shared" si="45"/>
        <v>202400</v>
      </c>
      <c r="AT106" s="70">
        <f t="shared" si="45"/>
        <v>445000</v>
      </c>
      <c r="AU106" s="70">
        <f t="shared" si="45"/>
        <v>432000</v>
      </c>
      <c r="AV106" s="70">
        <f t="shared" si="45"/>
        <v>300291</v>
      </c>
      <c r="AW106" s="70">
        <f t="shared" si="45"/>
        <v>175200</v>
      </c>
      <c r="AX106" s="70">
        <f t="shared" si="45"/>
        <v>175200</v>
      </c>
      <c r="AY106" s="70">
        <f t="shared" si="45"/>
        <v>175200</v>
      </c>
      <c r="AZ106" s="70">
        <f t="shared" si="45"/>
        <v>690000</v>
      </c>
      <c r="BA106" s="70">
        <f t="shared" si="45"/>
        <v>761000</v>
      </c>
      <c r="BB106" s="70">
        <f t="shared" si="45"/>
        <v>405885</v>
      </c>
      <c r="BC106" s="70">
        <f t="shared" si="45"/>
        <v>0</v>
      </c>
      <c r="BD106" s="70">
        <f t="shared" si="45"/>
        <v>0</v>
      </c>
      <c r="BE106" s="70">
        <f t="shared" si="45"/>
        <v>0</v>
      </c>
      <c r="BF106" s="70">
        <f t="shared" si="45"/>
        <v>976378</v>
      </c>
      <c r="BG106" s="70">
        <f t="shared" si="45"/>
        <v>220000</v>
      </c>
      <c r="BH106" s="70">
        <f t="shared" si="45"/>
        <v>219818</v>
      </c>
      <c r="BI106" s="70">
        <f t="shared" si="45"/>
        <v>5830000</v>
      </c>
      <c r="BJ106" s="70">
        <f t="shared" si="45"/>
        <v>4210000</v>
      </c>
      <c r="BK106" s="70">
        <f t="shared" si="45"/>
        <v>2575739</v>
      </c>
      <c r="BL106" s="70">
        <f t="shared" si="45"/>
        <v>0</v>
      </c>
      <c r="BM106" s="70">
        <f t="shared" si="45"/>
        <v>0</v>
      </c>
      <c r="BN106" s="70">
        <f t="shared" si="45"/>
        <v>0</v>
      </c>
      <c r="BO106" s="70">
        <f t="shared" si="45"/>
        <v>0</v>
      </c>
      <c r="BP106" s="70">
        <f t="shared" si="45"/>
        <v>1000000</v>
      </c>
      <c r="BQ106" s="70">
        <f t="shared" ref="BQ106:CI106" si="46">SUM(BQ99:BQ105)</f>
        <v>994500</v>
      </c>
      <c r="BR106" s="70">
        <f t="shared" si="46"/>
        <v>0</v>
      </c>
      <c r="BS106" s="70">
        <f t="shared" si="46"/>
        <v>51000</v>
      </c>
      <c r="BT106" s="70">
        <f t="shared" si="46"/>
        <v>35550</v>
      </c>
      <c r="BU106" s="70">
        <f t="shared" si="46"/>
        <v>170000</v>
      </c>
      <c r="BV106" s="70">
        <f t="shared" si="46"/>
        <v>332000</v>
      </c>
      <c r="BW106" s="70">
        <f t="shared" si="46"/>
        <v>317169</v>
      </c>
      <c r="BX106" s="70">
        <f t="shared" si="46"/>
        <v>0</v>
      </c>
      <c r="BY106" s="70">
        <f t="shared" si="46"/>
        <v>1050000</v>
      </c>
      <c r="BZ106" s="70">
        <f t="shared" si="46"/>
        <v>1047483</v>
      </c>
      <c r="CA106" s="70">
        <f t="shared" si="46"/>
        <v>0</v>
      </c>
      <c r="CB106" s="70">
        <f t="shared" si="46"/>
        <v>0</v>
      </c>
      <c r="CC106" s="70">
        <f t="shared" si="46"/>
        <v>0</v>
      </c>
      <c r="CD106" s="70">
        <f t="shared" si="46"/>
        <v>100000</v>
      </c>
      <c r="CE106" s="70">
        <f t="shared" si="46"/>
        <v>0</v>
      </c>
      <c r="CF106" s="70">
        <f t="shared" si="46"/>
        <v>0</v>
      </c>
      <c r="CG106" s="70">
        <f t="shared" si="46"/>
        <v>0</v>
      </c>
      <c r="CH106" s="70">
        <f t="shared" si="46"/>
        <v>0</v>
      </c>
      <c r="CI106" s="70">
        <f t="shared" si="46"/>
        <v>0</v>
      </c>
      <c r="CJ106" s="408">
        <f t="shared" si="43"/>
        <v>26210183</v>
      </c>
      <c r="CK106" s="406">
        <f t="shared" si="44"/>
        <v>31690000</v>
      </c>
      <c r="CL106" s="406">
        <f t="shared" si="28"/>
        <v>27268515</v>
      </c>
    </row>
    <row r="107" spans="1:90" s="132" customFormat="1" ht="14.25" customHeight="1" x14ac:dyDescent="0.2">
      <c r="A107" s="119" t="s">
        <v>85</v>
      </c>
      <c r="B107" s="110" t="s">
        <v>358</v>
      </c>
      <c r="C107" s="113" t="s">
        <v>359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406"/>
      <c r="AG107" s="406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>
        <v>100000</v>
      </c>
      <c r="BJ107" s="70">
        <v>150000</v>
      </c>
      <c r="BK107" s="70">
        <v>148611</v>
      </c>
      <c r="BL107" s="70"/>
      <c r="BM107" s="70"/>
      <c r="BN107" s="70"/>
      <c r="BO107" s="70"/>
      <c r="BP107" s="70"/>
      <c r="BQ107" s="70"/>
      <c r="BR107" s="70"/>
      <c r="BS107" s="70"/>
      <c r="BT107" s="70"/>
      <c r="BU107" s="70">
        <v>40000</v>
      </c>
      <c r="BV107" s="70">
        <v>10000</v>
      </c>
      <c r="BW107" s="70">
        <v>3835</v>
      </c>
      <c r="BX107" s="70"/>
      <c r="BY107" s="70"/>
      <c r="BZ107" s="70"/>
      <c r="CA107" s="70"/>
      <c r="CB107" s="70"/>
      <c r="CC107" s="70"/>
      <c r="CD107" s="70"/>
      <c r="CE107" s="70"/>
      <c r="CF107" s="70"/>
      <c r="CG107" s="70"/>
      <c r="CH107" s="73"/>
      <c r="CI107" s="512"/>
      <c r="CJ107" s="408">
        <f t="shared" si="43"/>
        <v>140000</v>
      </c>
      <c r="CK107" s="406">
        <f t="shared" si="44"/>
        <v>160000</v>
      </c>
      <c r="CL107" s="406">
        <f t="shared" si="28"/>
        <v>152446</v>
      </c>
    </row>
    <row r="108" spans="1:90" s="132" customFormat="1" ht="14.25" customHeight="1" x14ac:dyDescent="0.2">
      <c r="A108" s="119" t="s">
        <v>86</v>
      </c>
      <c r="B108" s="110" t="s">
        <v>360</v>
      </c>
      <c r="C108" s="113" t="s">
        <v>361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406"/>
      <c r="AG108" s="406"/>
      <c r="AH108" s="70">
        <v>50000</v>
      </c>
      <c r="AI108" s="70">
        <v>50000</v>
      </c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>
        <v>50000</v>
      </c>
      <c r="BJ108" s="70">
        <v>50000</v>
      </c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3"/>
      <c r="CI108" s="512"/>
      <c r="CJ108" s="408">
        <f t="shared" si="43"/>
        <v>100000</v>
      </c>
      <c r="CK108" s="406">
        <f t="shared" si="44"/>
        <v>100000</v>
      </c>
      <c r="CL108" s="406">
        <f t="shared" si="28"/>
        <v>0</v>
      </c>
    </row>
    <row r="109" spans="1:90" s="122" customFormat="1" ht="14.25" customHeight="1" x14ac:dyDescent="0.2">
      <c r="A109" s="119" t="s">
        <v>87</v>
      </c>
      <c r="B109" s="107" t="s">
        <v>362</v>
      </c>
      <c r="C109" s="112" t="s">
        <v>363</v>
      </c>
      <c r="D109" s="69">
        <f>SUM(D92+D95+D106)*0.27</f>
        <v>0</v>
      </c>
      <c r="E109" s="69"/>
      <c r="F109" s="69"/>
      <c r="G109" s="69">
        <f>SUM(G92+G95+300000)*0.27</f>
        <v>114750.00000000001</v>
      </c>
      <c r="H109" s="69">
        <f>SUM(H92+H95+H106-380000)*0.27</f>
        <v>58860.000000000007</v>
      </c>
      <c r="I109" s="69">
        <v>54257</v>
      </c>
      <c r="J109" s="69">
        <f>SUM(J92+J95+J106)*0.27</f>
        <v>180900</v>
      </c>
      <c r="K109" s="69">
        <f>SUM(K92+K95+K106-100000)*0.27</f>
        <v>225045.00000000003</v>
      </c>
      <c r="L109" s="69">
        <v>215590</v>
      </c>
      <c r="M109" s="69">
        <f>M106*0.27</f>
        <v>0</v>
      </c>
      <c r="N109" s="69">
        <f>(N106-100000)*0.27</f>
        <v>40797</v>
      </c>
      <c r="O109" s="69">
        <v>37683</v>
      </c>
      <c r="P109" s="69">
        <v>27000</v>
      </c>
      <c r="Q109" s="69">
        <f>SUM(Q92+Q95+Q106)*0.27</f>
        <v>48600</v>
      </c>
      <c r="R109" s="69">
        <v>42122</v>
      </c>
      <c r="S109" s="69">
        <f>SUM(S92+S95+S106)*0.27</f>
        <v>383250.96</v>
      </c>
      <c r="T109" s="69">
        <f>T92*0.27</f>
        <v>383251.23000000004</v>
      </c>
      <c r="U109" s="69">
        <v>383250</v>
      </c>
      <c r="V109" s="69">
        <f>SUM(V92+V95+V106)*0.27</f>
        <v>13500</v>
      </c>
      <c r="W109" s="69">
        <f>SUM(W92+W95+W106-120000)*0.27</f>
        <v>628560</v>
      </c>
      <c r="X109" s="69">
        <v>627800</v>
      </c>
      <c r="Y109" s="69">
        <f>(Y92+Y95+Y106)*0.27</f>
        <v>0</v>
      </c>
      <c r="Z109" s="69"/>
      <c r="AA109" s="69"/>
      <c r="AB109" s="69">
        <f>SUM(AB92+AB95+AB106)*0.27</f>
        <v>1296000</v>
      </c>
      <c r="AC109" s="69">
        <f>SUM(AC92+AC95+AC106-1640000)*0.27+6920</f>
        <v>860120</v>
      </c>
      <c r="AD109" s="69">
        <v>848414</v>
      </c>
      <c r="AE109" s="69"/>
      <c r="AF109" s="69">
        <v>8250</v>
      </c>
      <c r="AG109" s="69">
        <v>8250</v>
      </c>
      <c r="AH109" s="69">
        <f>SUM(AH92+AH95+AH106-900000)*0.27</f>
        <v>2297700</v>
      </c>
      <c r="AI109" s="69">
        <f>SUM(AI92+AI95+AI106-6000000)*0.27</f>
        <v>2358692.73</v>
      </c>
      <c r="AJ109" s="69">
        <f>2277871+8347</f>
        <v>2286218</v>
      </c>
      <c r="AK109" s="69">
        <f>SUM(AK92+AK95+AK106)*0.27</f>
        <v>149850</v>
      </c>
      <c r="AL109" s="69">
        <f>SUM(AL92+AL95+AL106-400000)*0.27</f>
        <v>132300</v>
      </c>
      <c r="AM109" s="69">
        <v>118872</v>
      </c>
      <c r="AN109" s="69"/>
      <c r="AO109" s="69"/>
      <c r="AP109" s="69"/>
      <c r="AQ109" s="69">
        <f>SUM(AQ92+AQ95+AQ106-110000)*0.27</f>
        <v>0</v>
      </c>
      <c r="AR109" s="69"/>
      <c r="AS109" s="69"/>
      <c r="AT109" s="69">
        <f>SUM(AT92+AT95+AT106)*0.27</f>
        <v>211950</v>
      </c>
      <c r="AU109" s="69">
        <f>SUM(AU92+AU95+AU106-250000)*0.27</f>
        <v>192240</v>
      </c>
      <c r="AV109" s="69">
        <v>158887</v>
      </c>
      <c r="AW109" s="69">
        <f>SUM(AW92+AW95+AW106-AW104)*0.27</f>
        <v>0</v>
      </c>
      <c r="AX109" s="69"/>
      <c r="AY109" s="69"/>
      <c r="AZ109" s="69">
        <f>(AZ92+AZ95+AZ106)*0.27</f>
        <v>199800</v>
      </c>
      <c r="BA109" s="69">
        <f>(BA92+BA95+BA106-300000)*0.27</f>
        <v>140670</v>
      </c>
      <c r="BB109" s="69">
        <v>117982</v>
      </c>
      <c r="BC109" s="69">
        <f>SUM(BC92+BC95+BC106)*0.27</f>
        <v>0</v>
      </c>
      <c r="BD109" s="69"/>
      <c r="BE109" s="69"/>
      <c r="BF109" s="69">
        <f>SUM(BF92+BF95+BF106)*0.27</f>
        <v>263622.06</v>
      </c>
      <c r="BG109" s="69">
        <f>SUM(BG92+BG95+BG106)*0.27</f>
        <v>62100.000000000007</v>
      </c>
      <c r="BH109" s="69">
        <v>61970</v>
      </c>
      <c r="BI109" s="69">
        <f>SUM(BI92+BI95+BI106-2000000)*0.27</f>
        <v>1660500</v>
      </c>
      <c r="BJ109" s="69">
        <f>SUM(BJ92+BJ95+BJ106-2300000)*0.27</f>
        <v>1010880.0000000001</v>
      </c>
      <c r="BK109" s="69">
        <v>871826</v>
      </c>
      <c r="BL109" s="69">
        <f>SUM(BL92+BL95+BL106)*0.27</f>
        <v>0</v>
      </c>
      <c r="BM109" s="69"/>
      <c r="BN109" s="69"/>
      <c r="BO109" s="69">
        <f>SUM(BO92+BO95+BO106)*0.27</f>
        <v>0</v>
      </c>
      <c r="BP109" s="69">
        <f>(BP92+BP95+BP106-190000)*0.27</f>
        <v>232200.00000000003</v>
      </c>
      <c r="BQ109" s="69">
        <v>210625</v>
      </c>
      <c r="BR109" s="69"/>
      <c r="BS109" s="69">
        <f>(BS92+BS95+BS106)*0.27-15000</f>
        <v>66270</v>
      </c>
      <c r="BT109" s="69">
        <v>61822</v>
      </c>
      <c r="BU109" s="69">
        <f>SUM(BU92+BU95+BU106-50000)*0.27-2279.6</f>
        <v>63870.400000000001</v>
      </c>
      <c r="BV109" s="69">
        <f>SUM(BV92+BV95+BV106-200000)*0.27+1278</f>
        <v>218088</v>
      </c>
      <c r="BW109" s="69">
        <v>206632</v>
      </c>
      <c r="BX109" s="69">
        <f t="shared" ref="BX109:CG109" si="47">SUM(BX92+BX95+BX106)*0.27</f>
        <v>0</v>
      </c>
      <c r="BY109" s="69">
        <f t="shared" si="47"/>
        <v>332100</v>
      </c>
      <c r="BZ109" s="69">
        <v>310920</v>
      </c>
      <c r="CA109" s="69">
        <f t="shared" si="47"/>
        <v>0</v>
      </c>
      <c r="CB109" s="69">
        <f t="shared" si="47"/>
        <v>140670</v>
      </c>
      <c r="CC109" s="69">
        <v>131961</v>
      </c>
      <c r="CD109" s="69">
        <f t="shared" si="47"/>
        <v>42309</v>
      </c>
      <c r="CE109" s="69">
        <f>SUM(CE92+CE95+CE106)*0.27</f>
        <v>15309.000000000002</v>
      </c>
      <c r="CF109" s="69">
        <f>15307-0.5</f>
        <v>15306.5</v>
      </c>
      <c r="CG109" s="69">
        <f t="shared" si="47"/>
        <v>0</v>
      </c>
      <c r="CH109" s="71"/>
      <c r="CI109" s="515"/>
      <c r="CJ109" s="407">
        <f t="shared" si="43"/>
        <v>6905002.4199999999</v>
      </c>
      <c r="CK109" s="72">
        <f t="shared" si="44"/>
        <v>7155002.96</v>
      </c>
      <c r="CL109" s="72">
        <f t="shared" si="28"/>
        <v>6770387.5</v>
      </c>
    </row>
    <row r="110" spans="1:90" ht="14.25" customHeight="1" x14ac:dyDescent="0.2">
      <c r="A110" s="119" t="s">
        <v>88</v>
      </c>
      <c r="B110" s="119" t="s">
        <v>364</v>
      </c>
      <c r="C110" s="125" t="s">
        <v>365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69"/>
      <c r="AG110" s="69"/>
      <c r="AH110" s="72">
        <f>AH40</f>
        <v>108000</v>
      </c>
      <c r="AI110" s="72">
        <v>800000</v>
      </c>
      <c r="AJ110" s="72">
        <v>704000</v>
      </c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4"/>
      <c r="CI110" s="407"/>
      <c r="CJ110" s="407">
        <f t="shared" si="43"/>
        <v>108000</v>
      </c>
      <c r="CK110" s="72">
        <f t="shared" si="44"/>
        <v>800000</v>
      </c>
      <c r="CL110" s="72">
        <f t="shared" si="28"/>
        <v>704000</v>
      </c>
    </row>
    <row r="111" spans="1:90" ht="14.25" customHeight="1" x14ac:dyDescent="0.2">
      <c r="A111" s="119" t="s">
        <v>105</v>
      </c>
      <c r="B111" s="119" t="s">
        <v>366</v>
      </c>
      <c r="C111" s="125" t="s">
        <v>367</v>
      </c>
      <c r="D111" s="72"/>
      <c r="E111" s="72"/>
      <c r="F111" s="72"/>
      <c r="G111" s="72">
        <v>0</v>
      </c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69"/>
      <c r="AG111" s="69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4"/>
      <c r="CI111" s="407"/>
      <c r="CJ111" s="407">
        <f t="shared" si="43"/>
        <v>0</v>
      </c>
      <c r="CK111" s="72">
        <f t="shared" si="44"/>
        <v>0</v>
      </c>
      <c r="CL111" s="72">
        <f t="shared" si="28"/>
        <v>0</v>
      </c>
    </row>
    <row r="112" spans="1:90" ht="14.25" customHeight="1" x14ac:dyDescent="0.2">
      <c r="A112" s="119" t="s">
        <v>106</v>
      </c>
      <c r="B112" s="119" t="s">
        <v>368</v>
      </c>
      <c r="C112" s="125" t="s">
        <v>369</v>
      </c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69"/>
      <c r="AG112" s="69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4"/>
      <c r="CI112" s="407"/>
      <c r="CJ112" s="407">
        <f t="shared" si="43"/>
        <v>0</v>
      </c>
      <c r="CK112" s="72">
        <f t="shared" si="44"/>
        <v>0</v>
      </c>
      <c r="CL112" s="72">
        <f t="shared" si="28"/>
        <v>0</v>
      </c>
    </row>
    <row r="113" spans="1:90" ht="14.25" customHeight="1" x14ac:dyDescent="0.2">
      <c r="A113" s="119" t="s">
        <v>89</v>
      </c>
      <c r="B113" s="119" t="s">
        <v>370</v>
      </c>
      <c r="C113" s="125" t="s">
        <v>371</v>
      </c>
      <c r="D113" s="72"/>
      <c r="E113" s="72"/>
      <c r="F113" s="72"/>
      <c r="G113" s="72">
        <v>100000</v>
      </c>
      <c r="H113" s="72">
        <v>138940</v>
      </c>
      <c r="I113" s="72">
        <v>128782</v>
      </c>
      <c r="J113" s="72"/>
      <c r="K113" s="72"/>
      <c r="L113" s="72"/>
      <c r="M113" s="72"/>
      <c r="N113" s="72"/>
      <c r="O113" s="72"/>
      <c r="P113" s="72"/>
      <c r="Q113" s="72"/>
      <c r="R113" s="72"/>
      <c r="S113" s="72">
        <v>50</v>
      </c>
      <c r="T113" s="72">
        <v>50</v>
      </c>
      <c r="U113" s="72">
        <v>1</v>
      </c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69"/>
      <c r="AG113" s="69"/>
      <c r="AH113" s="72">
        <v>50000</v>
      </c>
      <c r="AI113" s="72">
        <v>50000</v>
      </c>
      <c r="AJ113" s="72">
        <v>37794</v>
      </c>
      <c r="AK113" s="72"/>
      <c r="AL113" s="72">
        <v>50000</v>
      </c>
      <c r="AM113" s="72">
        <v>30002</v>
      </c>
      <c r="AN113" s="72"/>
      <c r="AO113" s="72"/>
      <c r="AP113" s="72"/>
      <c r="AQ113" s="72"/>
      <c r="AR113" s="72"/>
      <c r="AS113" s="72"/>
      <c r="AT113" s="72">
        <v>10</v>
      </c>
      <c r="AU113" s="72">
        <v>10</v>
      </c>
      <c r="AV113" s="72">
        <v>0</v>
      </c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>
        <v>20000</v>
      </c>
      <c r="BJ113" s="72">
        <v>100000</v>
      </c>
      <c r="BK113" s="72">
        <v>83953</v>
      </c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>
        <v>11000</v>
      </c>
      <c r="BZ113" s="72">
        <v>10190</v>
      </c>
      <c r="CA113" s="72"/>
      <c r="CB113" s="72"/>
      <c r="CC113" s="72"/>
      <c r="CD113" s="72"/>
      <c r="CE113" s="72"/>
      <c r="CF113" s="72"/>
      <c r="CG113" s="72"/>
      <c r="CH113" s="74"/>
      <c r="CI113" s="407"/>
      <c r="CJ113" s="407">
        <f t="shared" si="43"/>
        <v>170060</v>
      </c>
      <c r="CK113" s="72">
        <f t="shared" si="44"/>
        <v>350000</v>
      </c>
      <c r="CL113" s="72">
        <f t="shared" si="28"/>
        <v>290722</v>
      </c>
    </row>
    <row r="114" spans="1:90" s="132" customFormat="1" ht="14.25" customHeight="1" x14ac:dyDescent="0.2">
      <c r="A114" s="119" t="s">
        <v>90</v>
      </c>
      <c r="B114" s="110" t="s">
        <v>372</v>
      </c>
      <c r="C114" s="111" t="s">
        <v>373</v>
      </c>
      <c r="D114" s="70">
        <f>SUM(D109:D113)</f>
        <v>0</v>
      </c>
      <c r="E114" s="70">
        <f t="shared" ref="E114:BP114" si="48">SUM(E109:E113)</f>
        <v>0</v>
      </c>
      <c r="F114" s="70">
        <f t="shared" si="48"/>
        <v>0</v>
      </c>
      <c r="G114" s="70">
        <f t="shared" si="48"/>
        <v>214750</v>
      </c>
      <c r="H114" s="70">
        <f t="shared" si="48"/>
        <v>197800</v>
      </c>
      <c r="I114" s="70">
        <f t="shared" si="48"/>
        <v>183039</v>
      </c>
      <c r="J114" s="70">
        <f t="shared" si="48"/>
        <v>180900</v>
      </c>
      <c r="K114" s="70">
        <f t="shared" si="48"/>
        <v>225045.00000000003</v>
      </c>
      <c r="L114" s="70">
        <f t="shared" si="48"/>
        <v>215590</v>
      </c>
      <c r="M114" s="70">
        <f t="shared" si="48"/>
        <v>0</v>
      </c>
      <c r="N114" s="70">
        <f t="shared" si="48"/>
        <v>40797</v>
      </c>
      <c r="O114" s="70">
        <f t="shared" si="48"/>
        <v>37683</v>
      </c>
      <c r="P114" s="70">
        <f t="shared" si="48"/>
        <v>27000</v>
      </c>
      <c r="Q114" s="70">
        <f t="shared" si="48"/>
        <v>48600</v>
      </c>
      <c r="R114" s="70">
        <f t="shared" si="48"/>
        <v>42122</v>
      </c>
      <c r="S114" s="70">
        <f t="shared" si="48"/>
        <v>383300.96</v>
      </c>
      <c r="T114" s="70">
        <f t="shared" si="48"/>
        <v>383301.23000000004</v>
      </c>
      <c r="U114" s="70">
        <f t="shared" si="48"/>
        <v>383251</v>
      </c>
      <c r="V114" s="70">
        <f t="shared" si="48"/>
        <v>13500</v>
      </c>
      <c r="W114" s="70">
        <f t="shared" si="48"/>
        <v>628560</v>
      </c>
      <c r="X114" s="70">
        <f t="shared" si="48"/>
        <v>627800</v>
      </c>
      <c r="Y114" s="70">
        <f t="shared" si="48"/>
        <v>0</v>
      </c>
      <c r="Z114" s="70">
        <f t="shared" si="48"/>
        <v>0</v>
      </c>
      <c r="AA114" s="70">
        <f t="shared" si="48"/>
        <v>0</v>
      </c>
      <c r="AB114" s="70">
        <f t="shared" si="48"/>
        <v>1296000</v>
      </c>
      <c r="AC114" s="70">
        <f t="shared" si="48"/>
        <v>860120</v>
      </c>
      <c r="AD114" s="70">
        <f t="shared" si="48"/>
        <v>848414</v>
      </c>
      <c r="AE114" s="70">
        <f t="shared" si="48"/>
        <v>0</v>
      </c>
      <c r="AF114" s="70">
        <f t="shared" si="48"/>
        <v>8250</v>
      </c>
      <c r="AG114" s="70">
        <f t="shared" si="48"/>
        <v>8250</v>
      </c>
      <c r="AH114" s="70">
        <f t="shared" si="48"/>
        <v>2455700</v>
      </c>
      <c r="AI114" s="70">
        <f t="shared" si="48"/>
        <v>3208692.73</v>
      </c>
      <c r="AJ114" s="70">
        <f t="shared" si="48"/>
        <v>3028012</v>
      </c>
      <c r="AK114" s="70">
        <f t="shared" si="48"/>
        <v>149850</v>
      </c>
      <c r="AL114" s="70">
        <f t="shared" si="48"/>
        <v>182300</v>
      </c>
      <c r="AM114" s="70">
        <f t="shared" si="48"/>
        <v>148874</v>
      </c>
      <c r="AN114" s="70">
        <f t="shared" si="48"/>
        <v>0</v>
      </c>
      <c r="AO114" s="70">
        <f t="shared" si="48"/>
        <v>0</v>
      </c>
      <c r="AP114" s="70">
        <f t="shared" si="48"/>
        <v>0</v>
      </c>
      <c r="AQ114" s="70">
        <f t="shared" si="48"/>
        <v>0</v>
      </c>
      <c r="AR114" s="70">
        <f t="shared" si="48"/>
        <v>0</v>
      </c>
      <c r="AS114" s="70">
        <f t="shared" si="48"/>
        <v>0</v>
      </c>
      <c r="AT114" s="70">
        <f t="shared" si="48"/>
        <v>211960</v>
      </c>
      <c r="AU114" s="70">
        <f t="shared" si="48"/>
        <v>192250</v>
      </c>
      <c r="AV114" s="70">
        <f t="shared" si="48"/>
        <v>158887</v>
      </c>
      <c r="AW114" s="70">
        <f t="shared" si="48"/>
        <v>0</v>
      </c>
      <c r="AX114" s="70">
        <f t="shared" si="48"/>
        <v>0</v>
      </c>
      <c r="AY114" s="70">
        <f t="shared" si="48"/>
        <v>0</v>
      </c>
      <c r="AZ114" s="70">
        <f t="shared" si="48"/>
        <v>199800</v>
      </c>
      <c r="BA114" s="70">
        <f t="shared" si="48"/>
        <v>140670</v>
      </c>
      <c r="BB114" s="70">
        <f t="shared" si="48"/>
        <v>117982</v>
      </c>
      <c r="BC114" s="70">
        <f t="shared" si="48"/>
        <v>0</v>
      </c>
      <c r="BD114" s="70">
        <f t="shared" si="48"/>
        <v>0</v>
      </c>
      <c r="BE114" s="70">
        <f t="shared" si="48"/>
        <v>0</v>
      </c>
      <c r="BF114" s="70">
        <f t="shared" si="48"/>
        <v>263622.06</v>
      </c>
      <c r="BG114" s="70">
        <f t="shared" si="48"/>
        <v>62100.000000000007</v>
      </c>
      <c r="BH114" s="70">
        <f t="shared" si="48"/>
        <v>61970</v>
      </c>
      <c r="BI114" s="70">
        <f t="shared" si="48"/>
        <v>1680500</v>
      </c>
      <c r="BJ114" s="70">
        <f t="shared" si="48"/>
        <v>1110880</v>
      </c>
      <c r="BK114" s="70">
        <f t="shared" si="48"/>
        <v>955779</v>
      </c>
      <c r="BL114" s="70">
        <f t="shared" si="48"/>
        <v>0</v>
      </c>
      <c r="BM114" s="70">
        <f t="shared" si="48"/>
        <v>0</v>
      </c>
      <c r="BN114" s="70">
        <f t="shared" si="48"/>
        <v>0</v>
      </c>
      <c r="BO114" s="70">
        <f t="shared" si="48"/>
        <v>0</v>
      </c>
      <c r="BP114" s="70">
        <f t="shared" si="48"/>
        <v>232200.00000000003</v>
      </c>
      <c r="BQ114" s="70">
        <f t="shared" ref="BQ114:CI114" si="49">SUM(BQ109:BQ113)</f>
        <v>210625</v>
      </c>
      <c r="BR114" s="70">
        <f t="shared" si="49"/>
        <v>0</v>
      </c>
      <c r="BS114" s="70">
        <f t="shared" si="49"/>
        <v>66270</v>
      </c>
      <c r="BT114" s="70">
        <f t="shared" si="49"/>
        <v>61822</v>
      </c>
      <c r="BU114" s="70">
        <f t="shared" si="49"/>
        <v>63870.400000000001</v>
      </c>
      <c r="BV114" s="70">
        <f t="shared" si="49"/>
        <v>218088</v>
      </c>
      <c r="BW114" s="70">
        <f t="shared" si="49"/>
        <v>206632</v>
      </c>
      <c r="BX114" s="70">
        <f t="shared" si="49"/>
        <v>0</v>
      </c>
      <c r="BY114" s="70">
        <f t="shared" si="49"/>
        <v>343100</v>
      </c>
      <c r="BZ114" s="70">
        <f t="shared" si="49"/>
        <v>321110</v>
      </c>
      <c r="CA114" s="70">
        <f t="shared" si="49"/>
        <v>0</v>
      </c>
      <c r="CB114" s="70">
        <f t="shared" si="49"/>
        <v>140670</v>
      </c>
      <c r="CC114" s="70">
        <f t="shared" si="49"/>
        <v>131961</v>
      </c>
      <c r="CD114" s="70">
        <f t="shared" si="49"/>
        <v>42309</v>
      </c>
      <c r="CE114" s="70">
        <f t="shared" si="49"/>
        <v>15309.000000000002</v>
      </c>
      <c r="CF114" s="70">
        <f t="shared" si="49"/>
        <v>15306.5</v>
      </c>
      <c r="CG114" s="70">
        <f t="shared" si="49"/>
        <v>0</v>
      </c>
      <c r="CH114" s="70">
        <f t="shared" si="49"/>
        <v>0</v>
      </c>
      <c r="CI114" s="70">
        <f t="shared" si="49"/>
        <v>0</v>
      </c>
      <c r="CJ114" s="408">
        <f t="shared" si="43"/>
        <v>7183062.4199999999</v>
      </c>
      <c r="CK114" s="406">
        <f t="shared" si="44"/>
        <v>8305002.96</v>
      </c>
      <c r="CL114" s="406">
        <f t="shared" si="28"/>
        <v>7765109.5</v>
      </c>
    </row>
    <row r="115" spans="1:90" s="132" customFormat="1" ht="14.25" customHeight="1" x14ac:dyDescent="0.2">
      <c r="A115" s="119" t="s">
        <v>91</v>
      </c>
      <c r="B115" s="110" t="s">
        <v>374</v>
      </c>
      <c r="C115" s="111" t="s">
        <v>375</v>
      </c>
      <c r="D115" s="70">
        <f t="shared" ref="D115:BO115" si="50">D92+D95+D106+D107+D108+D114</f>
        <v>0</v>
      </c>
      <c r="E115" s="70">
        <f t="shared" si="50"/>
        <v>0</v>
      </c>
      <c r="F115" s="70">
        <f t="shared" si="50"/>
        <v>0</v>
      </c>
      <c r="G115" s="70">
        <f t="shared" si="50"/>
        <v>2839750</v>
      </c>
      <c r="H115" s="70">
        <f t="shared" si="50"/>
        <v>795800</v>
      </c>
      <c r="I115" s="70">
        <f t="shared" si="50"/>
        <v>793135</v>
      </c>
      <c r="J115" s="70">
        <f t="shared" si="50"/>
        <v>850900</v>
      </c>
      <c r="K115" s="70">
        <f t="shared" si="50"/>
        <v>1158545</v>
      </c>
      <c r="L115" s="70">
        <f t="shared" si="50"/>
        <v>1039027</v>
      </c>
      <c r="M115" s="70">
        <f t="shared" si="50"/>
        <v>0</v>
      </c>
      <c r="N115" s="70">
        <f t="shared" si="50"/>
        <v>291897</v>
      </c>
      <c r="O115" s="70">
        <f t="shared" si="50"/>
        <v>282248</v>
      </c>
      <c r="P115" s="70">
        <f t="shared" si="50"/>
        <v>127000</v>
      </c>
      <c r="Q115" s="70">
        <f t="shared" si="50"/>
        <v>228600</v>
      </c>
      <c r="R115" s="70">
        <f t="shared" si="50"/>
        <v>214284</v>
      </c>
      <c r="S115" s="70">
        <f t="shared" si="50"/>
        <v>1802748.96</v>
      </c>
      <c r="T115" s="70">
        <f t="shared" si="50"/>
        <v>1862750.23</v>
      </c>
      <c r="U115" s="70">
        <f t="shared" si="50"/>
        <v>1862700</v>
      </c>
      <c r="V115" s="70">
        <f t="shared" si="50"/>
        <v>63500</v>
      </c>
      <c r="W115" s="70">
        <f t="shared" si="50"/>
        <v>3076560</v>
      </c>
      <c r="X115" s="70">
        <f t="shared" si="50"/>
        <v>2995170</v>
      </c>
      <c r="Y115" s="70">
        <f t="shared" si="50"/>
        <v>0</v>
      </c>
      <c r="Z115" s="70">
        <f t="shared" si="50"/>
        <v>0</v>
      </c>
      <c r="AA115" s="70">
        <f t="shared" si="50"/>
        <v>0</v>
      </c>
      <c r="AB115" s="70">
        <f t="shared" si="50"/>
        <v>6096000</v>
      </c>
      <c r="AC115" s="70">
        <f t="shared" si="50"/>
        <v>5660120</v>
      </c>
      <c r="AD115" s="70">
        <f t="shared" si="50"/>
        <v>4670286</v>
      </c>
      <c r="AE115" s="70">
        <f t="shared" si="50"/>
        <v>0</v>
      </c>
      <c r="AF115" s="70">
        <f t="shared" si="50"/>
        <v>39750</v>
      </c>
      <c r="AG115" s="70">
        <f t="shared" si="50"/>
        <v>38807</v>
      </c>
      <c r="AH115" s="70">
        <f t="shared" si="50"/>
        <v>11915700</v>
      </c>
      <c r="AI115" s="70">
        <f t="shared" si="50"/>
        <v>17994591.73</v>
      </c>
      <c r="AJ115" s="70">
        <f t="shared" si="50"/>
        <v>16630390</v>
      </c>
      <c r="AK115" s="70">
        <f t="shared" si="50"/>
        <v>704850</v>
      </c>
      <c r="AL115" s="70">
        <f t="shared" si="50"/>
        <v>1072300</v>
      </c>
      <c r="AM115" s="70">
        <f t="shared" si="50"/>
        <v>823038</v>
      </c>
      <c r="AN115" s="70">
        <f t="shared" si="50"/>
        <v>3438605</v>
      </c>
      <c r="AO115" s="70">
        <f t="shared" si="50"/>
        <v>3502400</v>
      </c>
      <c r="AP115" s="70">
        <f t="shared" si="50"/>
        <v>3474608</v>
      </c>
      <c r="AQ115" s="70">
        <f t="shared" si="50"/>
        <v>110000</v>
      </c>
      <c r="AR115" s="70">
        <f t="shared" si="50"/>
        <v>202400</v>
      </c>
      <c r="AS115" s="70">
        <f t="shared" si="50"/>
        <v>202400</v>
      </c>
      <c r="AT115" s="70">
        <f t="shared" si="50"/>
        <v>996960</v>
      </c>
      <c r="AU115" s="70">
        <f t="shared" si="50"/>
        <v>1154250</v>
      </c>
      <c r="AV115" s="70">
        <f t="shared" si="50"/>
        <v>802039</v>
      </c>
      <c r="AW115" s="70">
        <f t="shared" si="50"/>
        <v>175200</v>
      </c>
      <c r="AX115" s="70">
        <f t="shared" si="50"/>
        <v>175200</v>
      </c>
      <c r="AY115" s="70">
        <f t="shared" si="50"/>
        <v>175200</v>
      </c>
      <c r="AZ115" s="70">
        <f t="shared" si="50"/>
        <v>939800</v>
      </c>
      <c r="BA115" s="70">
        <f t="shared" si="50"/>
        <v>961670</v>
      </c>
      <c r="BB115" s="70">
        <f t="shared" si="50"/>
        <v>565300</v>
      </c>
      <c r="BC115" s="70">
        <f t="shared" si="50"/>
        <v>0</v>
      </c>
      <c r="BD115" s="70">
        <f t="shared" si="50"/>
        <v>0</v>
      </c>
      <c r="BE115" s="70">
        <f t="shared" si="50"/>
        <v>0</v>
      </c>
      <c r="BF115" s="70">
        <f t="shared" si="50"/>
        <v>1240000.06</v>
      </c>
      <c r="BG115" s="70">
        <f t="shared" si="50"/>
        <v>292100</v>
      </c>
      <c r="BH115" s="70">
        <f t="shared" si="50"/>
        <v>291488</v>
      </c>
      <c r="BI115" s="70">
        <f t="shared" si="50"/>
        <v>9980500</v>
      </c>
      <c r="BJ115" s="70">
        <f t="shared" si="50"/>
        <v>7354880</v>
      </c>
      <c r="BK115" s="70">
        <f t="shared" si="50"/>
        <v>5304383</v>
      </c>
      <c r="BL115" s="70">
        <f t="shared" si="50"/>
        <v>0</v>
      </c>
      <c r="BM115" s="70">
        <f t="shared" si="50"/>
        <v>0</v>
      </c>
      <c r="BN115" s="70">
        <f t="shared" si="50"/>
        <v>0</v>
      </c>
      <c r="BO115" s="70">
        <f t="shared" si="50"/>
        <v>0</v>
      </c>
      <c r="BP115" s="70">
        <f t="shared" ref="BP115:CI115" si="51">BP92+BP95+BP106+BP107+BP108+BP114</f>
        <v>1282200</v>
      </c>
      <c r="BQ115" s="70">
        <f t="shared" si="51"/>
        <v>1230219</v>
      </c>
      <c r="BR115" s="70">
        <f t="shared" si="51"/>
        <v>0</v>
      </c>
      <c r="BS115" s="70">
        <f t="shared" si="51"/>
        <v>367270</v>
      </c>
      <c r="BT115" s="70">
        <f t="shared" si="51"/>
        <v>325793</v>
      </c>
      <c r="BU115" s="70">
        <f t="shared" si="51"/>
        <v>398870.4</v>
      </c>
      <c r="BV115" s="70">
        <f t="shared" si="51"/>
        <v>1231088</v>
      </c>
      <c r="BW115" s="70">
        <f t="shared" si="51"/>
        <v>1198177</v>
      </c>
      <c r="BX115" s="70">
        <f t="shared" si="51"/>
        <v>0</v>
      </c>
      <c r="BY115" s="70">
        <f t="shared" si="51"/>
        <v>1573100</v>
      </c>
      <c r="BZ115" s="70">
        <f t="shared" si="51"/>
        <v>1517112</v>
      </c>
      <c r="CA115" s="70">
        <f t="shared" si="51"/>
        <v>0</v>
      </c>
      <c r="CB115" s="70">
        <f t="shared" si="51"/>
        <v>661670</v>
      </c>
      <c r="CC115" s="70">
        <f t="shared" si="51"/>
        <v>620702</v>
      </c>
      <c r="CD115" s="70">
        <f t="shared" si="51"/>
        <v>199009</v>
      </c>
      <c r="CE115" s="70">
        <f t="shared" si="51"/>
        <v>72009</v>
      </c>
      <c r="CF115" s="70">
        <f t="shared" si="51"/>
        <v>71999.5</v>
      </c>
      <c r="CG115" s="70">
        <f t="shared" si="51"/>
        <v>0</v>
      </c>
      <c r="CH115" s="70">
        <f t="shared" si="51"/>
        <v>0</v>
      </c>
      <c r="CI115" s="70">
        <f t="shared" si="51"/>
        <v>0</v>
      </c>
      <c r="CJ115" s="408">
        <f t="shared" si="43"/>
        <v>41879393.419999994</v>
      </c>
      <c r="CK115" s="406">
        <f t="shared" si="44"/>
        <v>51011150.960000001</v>
      </c>
      <c r="CL115" s="406">
        <f t="shared" si="28"/>
        <v>45128505.5</v>
      </c>
    </row>
    <row r="116" spans="1:90" s="122" customFormat="1" ht="14.25" customHeight="1" x14ac:dyDescent="0.2">
      <c r="A116" s="119" t="s">
        <v>92</v>
      </c>
      <c r="B116" s="107" t="s">
        <v>376</v>
      </c>
      <c r="C116" s="112" t="s">
        <v>377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>
        <v>500000</v>
      </c>
      <c r="CE116" s="69">
        <v>500000</v>
      </c>
      <c r="CF116" s="69">
        <v>218500</v>
      </c>
      <c r="CG116" s="69"/>
      <c r="CH116" s="71"/>
      <c r="CI116" s="515"/>
      <c r="CJ116" s="407">
        <f t="shared" si="43"/>
        <v>500000</v>
      </c>
      <c r="CK116" s="72">
        <f t="shared" si="44"/>
        <v>500000</v>
      </c>
      <c r="CL116" s="72">
        <f t="shared" si="28"/>
        <v>218500</v>
      </c>
    </row>
    <row r="117" spans="1:90" s="132" customFormat="1" ht="14.25" customHeight="1" x14ac:dyDescent="0.2">
      <c r="A117" s="119" t="s">
        <v>107</v>
      </c>
      <c r="B117" s="110" t="s">
        <v>378</v>
      </c>
      <c r="C117" s="113" t="s">
        <v>379</v>
      </c>
      <c r="D117" s="70">
        <f>SUM(D116)</f>
        <v>0</v>
      </c>
      <c r="E117" s="70">
        <f t="shared" ref="E117:BP117" si="52">SUM(E116)</f>
        <v>0</v>
      </c>
      <c r="F117" s="70">
        <f t="shared" si="52"/>
        <v>0</v>
      </c>
      <c r="G117" s="70">
        <f t="shared" si="52"/>
        <v>0</v>
      </c>
      <c r="H117" s="70">
        <f t="shared" si="52"/>
        <v>0</v>
      </c>
      <c r="I117" s="70">
        <f t="shared" si="52"/>
        <v>0</v>
      </c>
      <c r="J117" s="70">
        <f t="shared" si="52"/>
        <v>0</v>
      </c>
      <c r="K117" s="70">
        <f t="shared" si="52"/>
        <v>0</v>
      </c>
      <c r="L117" s="70">
        <f t="shared" si="52"/>
        <v>0</v>
      </c>
      <c r="M117" s="70">
        <f t="shared" si="52"/>
        <v>0</v>
      </c>
      <c r="N117" s="70">
        <f t="shared" si="52"/>
        <v>0</v>
      </c>
      <c r="O117" s="70">
        <f t="shared" si="52"/>
        <v>0</v>
      </c>
      <c r="P117" s="70">
        <f t="shared" si="52"/>
        <v>0</v>
      </c>
      <c r="Q117" s="70">
        <f t="shared" si="52"/>
        <v>0</v>
      </c>
      <c r="R117" s="70">
        <f t="shared" si="52"/>
        <v>0</v>
      </c>
      <c r="S117" s="70">
        <f t="shared" si="52"/>
        <v>0</v>
      </c>
      <c r="T117" s="70">
        <f t="shared" si="52"/>
        <v>0</v>
      </c>
      <c r="U117" s="70">
        <f t="shared" si="52"/>
        <v>0</v>
      </c>
      <c r="V117" s="70">
        <f t="shared" si="52"/>
        <v>0</v>
      </c>
      <c r="W117" s="70">
        <f t="shared" si="52"/>
        <v>0</v>
      </c>
      <c r="X117" s="70">
        <f t="shared" si="52"/>
        <v>0</v>
      </c>
      <c r="Y117" s="70">
        <f t="shared" si="52"/>
        <v>0</v>
      </c>
      <c r="Z117" s="70">
        <f t="shared" si="52"/>
        <v>0</v>
      </c>
      <c r="AA117" s="70">
        <f t="shared" si="52"/>
        <v>0</v>
      </c>
      <c r="AB117" s="70">
        <f t="shared" si="52"/>
        <v>0</v>
      </c>
      <c r="AC117" s="70">
        <f t="shared" si="52"/>
        <v>0</v>
      </c>
      <c r="AD117" s="70">
        <f t="shared" si="52"/>
        <v>0</v>
      </c>
      <c r="AE117" s="70">
        <f t="shared" si="52"/>
        <v>0</v>
      </c>
      <c r="AF117" s="70">
        <f t="shared" si="52"/>
        <v>0</v>
      </c>
      <c r="AG117" s="70">
        <f t="shared" si="52"/>
        <v>0</v>
      </c>
      <c r="AH117" s="70">
        <f t="shared" si="52"/>
        <v>0</v>
      </c>
      <c r="AI117" s="70">
        <f t="shared" si="52"/>
        <v>0</v>
      </c>
      <c r="AJ117" s="70">
        <f t="shared" si="52"/>
        <v>0</v>
      </c>
      <c r="AK117" s="70">
        <f t="shared" si="52"/>
        <v>0</v>
      </c>
      <c r="AL117" s="70">
        <f t="shared" si="52"/>
        <v>0</v>
      </c>
      <c r="AM117" s="70">
        <f t="shared" si="52"/>
        <v>0</v>
      </c>
      <c r="AN117" s="70">
        <f t="shared" si="52"/>
        <v>0</v>
      </c>
      <c r="AO117" s="70">
        <f t="shared" si="52"/>
        <v>0</v>
      </c>
      <c r="AP117" s="70">
        <f t="shared" si="52"/>
        <v>0</v>
      </c>
      <c r="AQ117" s="70">
        <f t="shared" si="52"/>
        <v>0</v>
      </c>
      <c r="AR117" s="70">
        <f t="shared" si="52"/>
        <v>0</v>
      </c>
      <c r="AS117" s="70">
        <f t="shared" si="52"/>
        <v>0</v>
      </c>
      <c r="AT117" s="70">
        <f t="shared" si="52"/>
        <v>0</v>
      </c>
      <c r="AU117" s="70">
        <f t="shared" si="52"/>
        <v>0</v>
      </c>
      <c r="AV117" s="70">
        <f t="shared" si="52"/>
        <v>0</v>
      </c>
      <c r="AW117" s="70">
        <f t="shared" si="52"/>
        <v>0</v>
      </c>
      <c r="AX117" s="70">
        <f t="shared" si="52"/>
        <v>0</v>
      </c>
      <c r="AY117" s="70">
        <f t="shared" si="52"/>
        <v>0</v>
      </c>
      <c r="AZ117" s="70">
        <f t="shared" si="52"/>
        <v>0</v>
      </c>
      <c r="BA117" s="70">
        <f t="shared" si="52"/>
        <v>0</v>
      </c>
      <c r="BB117" s="70">
        <f t="shared" si="52"/>
        <v>0</v>
      </c>
      <c r="BC117" s="70">
        <f t="shared" si="52"/>
        <v>0</v>
      </c>
      <c r="BD117" s="70">
        <f t="shared" si="52"/>
        <v>0</v>
      </c>
      <c r="BE117" s="70">
        <f t="shared" si="52"/>
        <v>0</v>
      </c>
      <c r="BF117" s="70">
        <f t="shared" si="52"/>
        <v>0</v>
      </c>
      <c r="BG117" s="70">
        <f t="shared" si="52"/>
        <v>0</v>
      </c>
      <c r="BH117" s="70">
        <f t="shared" si="52"/>
        <v>0</v>
      </c>
      <c r="BI117" s="70">
        <f t="shared" si="52"/>
        <v>0</v>
      </c>
      <c r="BJ117" s="70">
        <f t="shared" si="52"/>
        <v>0</v>
      </c>
      <c r="BK117" s="70">
        <f t="shared" si="52"/>
        <v>0</v>
      </c>
      <c r="BL117" s="70">
        <f t="shared" si="52"/>
        <v>0</v>
      </c>
      <c r="BM117" s="70">
        <f t="shared" si="52"/>
        <v>0</v>
      </c>
      <c r="BN117" s="70">
        <f t="shared" si="52"/>
        <v>0</v>
      </c>
      <c r="BO117" s="70">
        <f t="shared" si="52"/>
        <v>0</v>
      </c>
      <c r="BP117" s="70">
        <f t="shared" si="52"/>
        <v>0</v>
      </c>
      <c r="BQ117" s="70">
        <f t="shared" ref="BQ117:CI117" si="53">SUM(BQ116)</f>
        <v>0</v>
      </c>
      <c r="BR117" s="70">
        <f t="shared" si="53"/>
        <v>0</v>
      </c>
      <c r="BS117" s="70">
        <f t="shared" si="53"/>
        <v>0</v>
      </c>
      <c r="BT117" s="70">
        <f t="shared" si="53"/>
        <v>0</v>
      </c>
      <c r="BU117" s="70">
        <f t="shared" si="53"/>
        <v>0</v>
      </c>
      <c r="BV117" s="70">
        <f t="shared" si="53"/>
        <v>0</v>
      </c>
      <c r="BW117" s="70">
        <f t="shared" si="53"/>
        <v>0</v>
      </c>
      <c r="BX117" s="70">
        <f t="shared" si="53"/>
        <v>0</v>
      </c>
      <c r="BY117" s="70">
        <f t="shared" si="53"/>
        <v>0</v>
      </c>
      <c r="BZ117" s="70">
        <f t="shared" si="53"/>
        <v>0</v>
      </c>
      <c r="CA117" s="70">
        <f t="shared" si="53"/>
        <v>0</v>
      </c>
      <c r="CB117" s="70">
        <f t="shared" si="53"/>
        <v>0</v>
      </c>
      <c r="CC117" s="70">
        <f t="shared" si="53"/>
        <v>0</v>
      </c>
      <c r="CD117" s="70">
        <f t="shared" si="53"/>
        <v>500000</v>
      </c>
      <c r="CE117" s="70">
        <f t="shared" si="53"/>
        <v>500000</v>
      </c>
      <c r="CF117" s="70">
        <f t="shared" si="53"/>
        <v>218500</v>
      </c>
      <c r="CG117" s="70">
        <f t="shared" si="53"/>
        <v>0</v>
      </c>
      <c r="CH117" s="70">
        <f t="shared" si="53"/>
        <v>0</v>
      </c>
      <c r="CI117" s="70">
        <f t="shared" si="53"/>
        <v>0</v>
      </c>
      <c r="CJ117" s="408">
        <f t="shared" si="43"/>
        <v>500000</v>
      </c>
      <c r="CK117" s="406">
        <f t="shared" si="44"/>
        <v>500000</v>
      </c>
      <c r="CL117" s="406">
        <f t="shared" si="28"/>
        <v>218500</v>
      </c>
    </row>
    <row r="118" spans="1:90" s="122" customFormat="1" ht="14.25" customHeight="1" x14ac:dyDescent="0.2">
      <c r="A118" s="119" t="s">
        <v>108</v>
      </c>
      <c r="B118" s="107" t="s">
        <v>620</v>
      </c>
      <c r="C118" s="112" t="s">
        <v>621</v>
      </c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>
        <v>110477</v>
      </c>
      <c r="CF118" s="69">
        <v>110477</v>
      </c>
      <c r="CG118" s="69"/>
      <c r="CH118" s="71"/>
      <c r="CI118" s="515"/>
      <c r="CJ118" s="407">
        <f t="shared" si="43"/>
        <v>0</v>
      </c>
      <c r="CK118" s="72">
        <f t="shared" si="44"/>
        <v>110477</v>
      </c>
      <c r="CL118" s="72">
        <f t="shared" si="28"/>
        <v>110477</v>
      </c>
    </row>
    <row r="119" spans="1:90" s="122" customFormat="1" ht="14.25" customHeight="1" x14ac:dyDescent="0.2">
      <c r="A119" s="119" t="s">
        <v>109</v>
      </c>
      <c r="B119" s="107" t="s">
        <v>380</v>
      </c>
      <c r="C119" s="112" t="s">
        <v>381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71"/>
      <c r="CI119" s="515"/>
      <c r="CJ119" s="407">
        <f t="shared" si="43"/>
        <v>0</v>
      </c>
      <c r="CK119" s="72">
        <f t="shared" si="44"/>
        <v>0</v>
      </c>
      <c r="CL119" s="72">
        <f t="shared" si="28"/>
        <v>0</v>
      </c>
    </row>
    <row r="120" spans="1:90" s="122" customFormat="1" ht="14.25" customHeight="1" x14ac:dyDescent="0.2">
      <c r="A120" s="119" t="s">
        <v>110</v>
      </c>
      <c r="B120" s="107" t="s">
        <v>382</v>
      </c>
      <c r="C120" s="112" t="s">
        <v>383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71"/>
      <c r="CI120" s="515"/>
      <c r="CJ120" s="407">
        <f t="shared" si="43"/>
        <v>0</v>
      </c>
      <c r="CK120" s="72">
        <f t="shared" si="44"/>
        <v>0</v>
      </c>
      <c r="CL120" s="72">
        <f t="shared" si="28"/>
        <v>0</v>
      </c>
    </row>
    <row r="121" spans="1:90" ht="14.25" customHeight="1" x14ac:dyDescent="0.2">
      <c r="A121" s="119" t="s">
        <v>113</v>
      </c>
      <c r="B121" s="119" t="s">
        <v>384</v>
      </c>
      <c r="C121" s="125" t="s">
        <v>385</v>
      </c>
      <c r="D121" s="72"/>
      <c r="E121" s="72"/>
      <c r="F121" s="72"/>
      <c r="G121" s="72">
        <v>1000000</v>
      </c>
      <c r="H121" s="72">
        <f>654366+204400</f>
        <v>858766</v>
      </c>
      <c r="I121" s="72">
        <f>102200*2+654366</f>
        <v>858766</v>
      </c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>
        <v>73430</v>
      </c>
      <c r="U121" s="72">
        <v>73430</v>
      </c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69"/>
      <c r="AG121" s="69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69">
        <v>25645755</v>
      </c>
      <c r="BY121" s="69">
        <f>27074532</f>
        <v>27074532</v>
      </c>
      <c r="BZ121" s="69">
        <f>26242040+357613</f>
        <v>26599653</v>
      </c>
      <c r="CA121" s="69">
        <v>14192059</v>
      </c>
      <c r="CB121" s="69">
        <f>17459260+471826</f>
        <v>17931086</v>
      </c>
      <c r="CC121" s="69">
        <f>150000+13728000+1944480+1290355</f>
        <v>17112835</v>
      </c>
      <c r="CD121" s="72">
        <v>300000</v>
      </c>
      <c r="CE121" s="72">
        <v>500000</v>
      </c>
      <c r="CF121" s="72">
        <v>500000</v>
      </c>
      <c r="CG121" s="72"/>
      <c r="CH121" s="74"/>
      <c r="CI121" s="407"/>
      <c r="CJ121" s="407">
        <f t="shared" si="43"/>
        <v>41137814</v>
      </c>
      <c r="CK121" s="72">
        <f t="shared" si="44"/>
        <v>46437814</v>
      </c>
      <c r="CL121" s="72">
        <f t="shared" si="28"/>
        <v>45144684</v>
      </c>
    </row>
    <row r="122" spans="1:90" ht="14.25" customHeight="1" x14ac:dyDescent="0.2">
      <c r="A122" s="119" t="s">
        <v>114</v>
      </c>
      <c r="B122" s="119" t="s">
        <v>386</v>
      </c>
      <c r="C122" s="125" t="s">
        <v>387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69"/>
      <c r="AG122" s="69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4"/>
      <c r="CI122" s="407"/>
      <c r="CJ122" s="407">
        <f t="shared" si="43"/>
        <v>0</v>
      </c>
      <c r="CK122" s="72">
        <f t="shared" si="44"/>
        <v>0</v>
      </c>
      <c r="CL122" s="72">
        <f t="shared" si="28"/>
        <v>0</v>
      </c>
    </row>
    <row r="123" spans="1:90" ht="14.25" customHeight="1" x14ac:dyDescent="0.2">
      <c r="A123" s="119" t="s">
        <v>115</v>
      </c>
      <c r="B123" s="119" t="s">
        <v>388</v>
      </c>
      <c r="C123" s="125" t="s">
        <v>389</v>
      </c>
      <c r="D123" s="72"/>
      <c r="E123" s="72"/>
      <c r="F123" s="72"/>
      <c r="G123" s="72"/>
      <c r="H123" s="72">
        <v>2500000</v>
      </c>
      <c r="I123" s="72">
        <v>2500000</v>
      </c>
      <c r="J123" s="72"/>
      <c r="K123" s="72"/>
      <c r="L123" s="72"/>
      <c r="M123" s="72"/>
      <c r="N123" s="72"/>
      <c r="O123" s="72"/>
      <c r="P123" s="72">
        <v>500000</v>
      </c>
      <c r="Q123" s="72">
        <v>800000</v>
      </c>
      <c r="R123" s="72">
        <v>800000</v>
      </c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69"/>
      <c r="AG123" s="69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>
        <v>2000000</v>
      </c>
      <c r="BA123" s="72">
        <v>2000000</v>
      </c>
      <c r="BB123" s="72">
        <v>2000000</v>
      </c>
      <c r="BC123" s="72"/>
      <c r="BD123" s="72"/>
      <c r="BE123" s="72"/>
      <c r="BF123" s="72"/>
      <c r="BG123" s="72"/>
      <c r="BH123" s="72"/>
      <c r="BI123" s="72"/>
      <c r="BJ123" s="72"/>
      <c r="BK123" s="72"/>
      <c r="BL123" s="72">
        <v>3000000</v>
      </c>
      <c r="BM123" s="72">
        <v>4950000</v>
      </c>
      <c r="BN123" s="72">
        <v>4950000</v>
      </c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4"/>
      <c r="CI123" s="407"/>
      <c r="CJ123" s="407">
        <f t="shared" si="43"/>
        <v>5500000</v>
      </c>
      <c r="CK123" s="72">
        <f t="shared" si="44"/>
        <v>10250000</v>
      </c>
      <c r="CL123" s="72">
        <f t="shared" si="28"/>
        <v>10250000</v>
      </c>
    </row>
    <row r="124" spans="1:90" ht="14.25" customHeight="1" x14ac:dyDescent="0.2">
      <c r="A124" s="119" t="s">
        <v>116</v>
      </c>
      <c r="B124" s="119" t="s">
        <v>390</v>
      </c>
      <c r="C124" s="125" t="s">
        <v>98</v>
      </c>
      <c r="D124" s="72"/>
      <c r="E124" s="72"/>
      <c r="F124" s="72"/>
      <c r="G124" s="72">
        <v>13453690</v>
      </c>
      <c r="H124" s="72">
        <v>3820962</v>
      </c>
      <c r="I124" s="72">
        <v>0</v>
      </c>
      <c r="J124" s="72"/>
      <c r="K124" s="72"/>
      <c r="L124" s="72"/>
      <c r="M124" s="72">
        <v>50000000</v>
      </c>
      <c r="N124" s="72">
        <f>4243271+19608239+52392150</f>
        <v>76243660</v>
      </c>
      <c r="O124" s="72">
        <v>0</v>
      </c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69">
        <v>30783781</v>
      </c>
      <c r="AG124" s="69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>
        <v>1550000</v>
      </c>
      <c r="BG124" s="72">
        <f>1550000+9484301</f>
        <v>11034301</v>
      </c>
      <c r="BH124" s="72">
        <v>0</v>
      </c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4">
        <v>8787457</v>
      </c>
      <c r="CI124" s="407"/>
      <c r="CJ124" s="407">
        <f t="shared" si="43"/>
        <v>65003690</v>
      </c>
      <c r="CK124" s="69">
        <f t="shared" si="44"/>
        <v>130670161</v>
      </c>
      <c r="CL124" s="72">
        <f t="shared" si="28"/>
        <v>0</v>
      </c>
    </row>
    <row r="125" spans="1:90" s="132" customFormat="1" ht="14.25" customHeight="1" x14ac:dyDescent="0.2">
      <c r="A125" s="119" t="s">
        <v>117</v>
      </c>
      <c r="B125" s="110" t="s">
        <v>391</v>
      </c>
      <c r="C125" s="113" t="s">
        <v>97</v>
      </c>
      <c r="D125" s="406">
        <f t="shared" ref="D125:BO125" si="54">SUM(D118:D124)</f>
        <v>0</v>
      </c>
      <c r="E125" s="406">
        <f t="shared" si="54"/>
        <v>0</v>
      </c>
      <c r="F125" s="406">
        <f t="shared" si="54"/>
        <v>0</v>
      </c>
      <c r="G125" s="406">
        <f t="shared" si="54"/>
        <v>14453690</v>
      </c>
      <c r="H125" s="406">
        <f t="shared" si="54"/>
        <v>7179728</v>
      </c>
      <c r="I125" s="406">
        <f t="shared" si="54"/>
        <v>3358766</v>
      </c>
      <c r="J125" s="406">
        <f t="shared" si="54"/>
        <v>0</v>
      </c>
      <c r="K125" s="406">
        <f t="shared" si="54"/>
        <v>0</v>
      </c>
      <c r="L125" s="406">
        <f t="shared" si="54"/>
        <v>0</v>
      </c>
      <c r="M125" s="406">
        <f t="shared" si="54"/>
        <v>50000000</v>
      </c>
      <c r="N125" s="406">
        <f t="shared" si="54"/>
        <v>76243660</v>
      </c>
      <c r="O125" s="406">
        <f t="shared" si="54"/>
        <v>0</v>
      </c>
      <c r="P125" s="406">
        <f t="shared" si="54"/>
        <v>500000</v>
      </c>
      <c r="Q125" s="406">
        <f t="shared" si="54"/>
        <v>800000</v>
      </c>
      <c r="R125" s="406">
        <f t="shared" si="54"/>
        <v>800000</v>
      </c>
      <c r="S125" s="406">
        <f t="shared" si="54"/>
        <v>0</v>
      </c>
      <c r="T125" s="406">
        <f t="shared" si="54"/>
        <v>73430</v>
      </c>
      <c r="U125" s="406">
        <f t="shared" si="54"/>
        <v>73430</v>
      </c>
      <c r="V125" s="406">
        <f t="shared" si="54"/>
        <v>0</v>
      </c>
      <c r="W125" s="406">
        <f t="shared" si="54"/>
        <v>0</v>
      </c>
      <c r="X125" s="406">
        <f t="shared" si="54"/>
        <v>0</v>
      </c>
      <c r="Y125" s="406">
        <f t="shared" si="54"/>
        <v>0</v>
      </c>
      <c r="Z125" s="406">
        <f t="shared" si="54"/>
        <v>0</v>
      </c>
      <c r="AA125" s="406">
        <f t="shared" si="54"/>
        <v>0</v>
      </c>
      <c r="AB125" s="406">
        <f t="shared" si="54"/>
        <v>0</v>
      </c>
      <c r="AC125" s="406">
        <f t="shared" si="54"/>
        <v>0</v>
      </c>
      <c r="AD125" s="406">
        <f t="shared" si="54"/>
        <v>0</v>
      </c>
      <c r="AE125" s="406">
        <f t="shared" si="54"/>
        <v>0</v>
      </c>
      <c r="AF125" s="406">
        <f t="shared" si="54"/>
        <v>30783781</v>
      </c>
      <c r="AG125" s="406">
        <f t="shared" si="54"/>
        <v>0</v>
      </c>
      <c r="AH125" s="406">
        <f t="shared" si="54"/>
        <v>0</v>
      </c>
      <c r="AI125" s="406">
        <f t="shared" si="54"/>
        <v>0</v>
      </c>
      <c r="AJ125" s="406">
        <f t="shared" si="54"/>
        <v>0</v>
      </c>
      <c r="AK125" s="406">
        <f t="shared" si="54"/>
        <v>0</v>
      </c>
      <c r="AL125" s="406">
        <f t="shared" si="54"/>
        <v>0</v>
      </c>
      <c r="AM125" s="406">
        <f t="shared" si="54"/>
        <v>0</v>
      </c>
      <c r="AN125" s="406">
        <f t="shared" si="54"/>
        <v>0</v>
      </c>
      <c r="AO125" s="406">
        <f t="shared" si="54"/>
        <v>0</v>
      </c>
      <c r="AP125" s="406">
        <f t="shared" si="54"/>
        <v>0</v>
      </c>
      <c r="AQ125" s="406">
        <f t="shared" si="54"/>
        <v>0</v>
      </c>
      <c r="AR125" s="406">
        <f t="shared" si="54"/>
        <v>0</v>
      </c>
      <c r="AS125" s="406">
        <f t="shared" si="54"/>
        <v>0</v>
      </c>
      <c r="AT125" s="406">
        <f t="shared" si="54"/>
        <v>0</v>
      </c>
      <c r="AU125" s="406">
        <f t="shared" si="54"/>
        <v>0</v>
      </c>
      <c r="AV125" s="406">
        <f t="shared" si="54"/>
        <v>0</v>
      </c>
      <c r="AW125" s="406">
        <f t="shared" si="54"/>
        <v>0</v>
      </c>
      <c r="AX125" s="406">
        <f t="shared" si="54"/>
        <v>0</v>
      </c>
      <c r="AY125" s="406">
        <f t="shared" si="54"/>
        <v>0</v>
      </c>
      <c r="AZ125" s="406">
        <f t="shared" si="54"/>
        <v>2000000</v>
      </c>
      <c r="BA125" s="406">
        <f t="shared" si="54"/>
        <v>2000000</v>
      </c>
      <c r="BB125" s="406">
        <f t="shared" si="54"/>
        <v>2000000</v>
      </c>
      <c r="BC125" s="406">
        <f t="shared" si="54"/>
        <v>0</v>
      </c>
      <c r="BD125" s="406">
        <f t="shared" si="54"/>
        <v>0</v>
      </c>
      <c r="BE125" s="406">
        <f t="shared" si="54"/>
        <v>0</v>
      </c>
      <c r="BF125" s="406">
        <f t="shared" si="54"/>
        <v>1550000</v>
      </c>
      <c r="BG125" s="406">
        <f t="shared" si="54"/>
        <v>11034301</v>
      </c>
      <c r="BH125" s="406">
        <f t="shared" si="54"/>
        <v>0</v>
      </c>
      <c r="BI125" s="406">
        <f t="shared" si="54"/>
        <v>0</v>
      </c>
      <c r="BJ125" s="406">
        <f t="shared" si="54"/>
        <v>0</v>
      </c>
      <c r="BK125" s="406">
        <f t="shared" si="54"/>
        <v>0</v>
      </c>
      <c r="BL125" s="406">
        <f t="shared" si="54"/>
        <v>3000000</v>
      </c>
      <c r="BM125" s="406">
        <f t="shared" si="54"/>
        <v>4950000</v>
      </c>
      <c r="BN125" s="406">
        <f t="shared" si="54"/>
        <v>4950000</v>
      </c>
      <c r="BO125" s="406">
        <f t="shared" si="54"/>
        <v>0</v>
      </c>
      <c r="BP125" s="406">
        <f t="shared" ref="BP125:CI125" si="55">SUM(BP118:BP124)</f>
        <v>0</v>
      </c>
      <c r="BQ125" s="406">
        <f t="shared" si="55"/>
        <v>0</v>
      </c>
      <c r="BR125" s="406">
        <f t="shared" si="55"/>
        <v>0</v>
      </c>
      <c r="BS125" s="406">
        <f t="shared" si="55"/>
        <v>0</v>
      </c>
      <c r="BT125" s="406">
        <f t="shared" si="55"/>
        <v>0</v>
      </c>
      <c r="BU125" s="406">
        <f t="shared" si="55"/>
        <v>0</v>
      </c>
      <c r="BV125" s="406">
        <f t="shared" si="55"/>
        <v>0</v>
      </c>
      <c r="BW125" s="406">
        <f t="shared" si="55"/>
        <v>0</v>
      </c>
      <c r="BX125" s="406">
        <f t="shared" si="55"/>
        <v>25645755</v>
      </c>
      <c r="BY125" s="406">
        <f t="shared" si="55"/>
        <v>27074532</v>
      </c>
      <c r="BZ125" s="406">
        <f t="shared" si="55"/>
        <v>26599653</v>
      </c>
      <c r="CA125" s="406">
        <f t="shared" si="55"/>
        <v>14192059</v>
      </c>
      <c r="CB125" s="406">
        <f t="shared" si="55"/>
        <v>17931086</v>
      </c>
      <c r="CC125" s="406">
        <f t="shared" si="55"/>
        <v>17112835</v>
      </c>
      <c r="CD125" s="406">
        <f t="shared" si="55"/>
        <v>300000</v>
      </c>
      <c r="CE125" s="406">
        <f t="shared" si="55"/>
        <v>610477</v>
      </c>
      <c r="CF125" s="406">
        <f t="shared" si="55"/>
        <v>610477</v>
      </c>
      <c r="CG125" s="406">
        <f t="shared" si="55"/>
        <v>0</v>
      </c>
      <c r="CH125" s="406">
        <f t="shared" si="55"/>
        <v>8787457</v>
      </c>
      <c r="CI125" s="406">
        <f t="shared" si="55"/>
        <v>0</v>
      </c>
      <c r="CJ125" s="408">
        <f t="shared" si="43"/>
        <v>111641504</v>
      </c>
      <c r="CK125" s="406">
        <f t="shared" si="44"/>
        <v>187468452</v>
      </c>
      <c r="CL125" s="406">
        <f t="shared" si="28"/>
        <v>55505161</v>
      </c>
    </row>
    <row r="126" spans="1:90" ht="14.25" customHeight="1" x14ac:dyDescent="0.2">
      <c r="A126" s="119" t="s">
        <v>118</v>
      </c>
      <c r="B126" s="119" t="s">
        <v>392</v>
      </c>
      <c r="C126" s="125" t="s">
        <v>393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69"/>
      <c r="AG126" s="69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4"/>
      <c r="CI126" s="407"/>
      <c r="CJ126" s="407">
        <f t="shared" si="43"/>
        <v>0</v>
      </c>
      <c r="CK126" s="72">
        <f t="shared" si="44"/>
        <v>0</v>
      </c>
      <c r="CL126" s="72">
        <f t="shared" si="28"/>
        <v>0</v>
      </c>
    </row>
    <row r="127" spans="1:90" ht="14.25" customHeight="1" x14ac:dyDescent="0.2">
      <c r="A127" s="119" t="s">
        <v>119</v>
      </c>
      <c r="B127" s="119" t="s">
        <v>394</v>
      </c>
      <c r="C127" s="125" t="s">
        <v>395</v>
      </c>
      <c r="D127" s="72"/>
      <c r="E127" s="72"/>
      <c r="F127" s="72"/>
      <c r="G127" s="72"/>
      <c r="H127" s="72"/>
      <c r="I127" s="72"/>
      <c r="J127" s="72"/>
      <c r="K127" s="72"/>
      <c r="L127" s="72"/>
      <c r="M127" s="72">
        <v>11900000</v>
      </c>
      <c r="N127" s="72">
        <f>71000000+1500000+9197062</f>
        <v>81697062</v>
      </c>
      <c r="O127" s="72">
        <v>43533842</v>
      </c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69">
        <v>1300000</v>
      </c>
      <c r="AG127" s="69">
        <v>1300000</v>
      </c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>
        <v>1525000</v>
      </c>
      <c r="BQ127" s="72">
        <v>1525000</v>
      </c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4"/>
      <c r="CI127" s="407"/>
      <c r="CJ127" s="407">
        <f t="shared" si="43"/>
        <v>11900000</v>
      </c>
      <c r="CK127" s="72">
        <f t="shared" si="44"/>
        <v>84522062</v>
      </c>
      <c r="CL127" s="72">
        <f t="shared" si="28"/>
        <v>46358842</v>
      </c>
    </row>
    <row r="128" spans="1:90" ht="14.25" customHeight="1" x14ac:dyDescent="0.2">
      <c r="A128" s="119" t="s">
        <v>120</v>
      </c>
      <c r="B128" s="119" t="s">
        <v>396</v>
      </c>
      <c r="C128" s="125" t="s">
        <v>397</v>
      </c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69">
        <v>500000</v>
      </c>
      <c r="AG128" s="69">
        <v>319244</v>
      </c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4"/>
      <c r="CI128" s="407"/>
      <c r="CJ128" s="407">
        <f t="shared" si="43"/>
        <v>0</v>
      </c>
      <c r="CK128" s="72">
        <f t="shared" si="44"/>
        <v>500000</v>
      </c>
      <c r="CL128" s="72">
        <f t="shared" si="28"/>
        <v>319244</v>
      </c>
    </row>
    <row r="129" spans="1:90" ht="14.25" customHeight="1" x14ac:dyDescent="0.2">
      <c r="A129" s="119" t="s">
        <v>121</v>
      </c>
      <c r="B129" s="119" t="s">
        <v>398</v>
      </c>
      <c r="C129" s="125" t="s">
        <v>399</v>
      </c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>
        <v>1710000</v>
      </c>
      <c r="O129" s="72">
        <v>1705705</v>
      </c>
      <c r="P129" s="72"/>
      <c r="Q129" s="72"/>
      <c r="R129" s="72"/>
      <c r="S129" s="72">
        <v>157000</v>
      </c>
      <c r="T129" s="72">
        <v>157000</v>
      </c>
      <c r="U129" s="72">
        <v>157000</v>
      </c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69">
        <v>1250000</v>
      </c>
      <c r="AG129" s="69">
        <v>1237401</v>
      </c>
      <c r="AH129" s="72"/>
      <c r="AI129" s="72">
        <v>1350000</v>
      </c>
      <c r="AJ129" s="72">
        <v>1349527</v>
      </c>
      <c r="AK129" s="72"/>
      <c r="AL129" s="72">
        <v>210000</v>
      </c>
      <c r="AM129" s="72">
        <v>203937</v>
      </c>
      <c r="AN129" s="72"/>
      <c r="AO129" s="72"/>
      <c r="AP129" s="72"/>
      <c r="AQ129" s="72"/>
      <c r="AR129" s="72"/>
      <c r="AS129" s="72"/>
      <c r="AT129" s="72"/>
      <c r="AU129" s="72">
        <v>20000</v>
      </c>
      <c r="AV129" s="72">
        <v>15669</v>
      </c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>
        <v>510000</v>
      </c>
      <c r="BK129" s="72">
        <v>506038</v>
      </c>
      <c r="BL129" s="72"/>
      <c r="BM129" s="72"/>
      <c r="BN129" s="72"/>
      <c r="BO129" s="72"/>
      <c r="BP129" s="72"/>
      <c r="BQ129" s="72"/>
      <c r="BR129" s="72"/>
      <c r="BS129" s="72">
        <v>25000</v>
      </c>
      <c r="BT129" s="72">
        <v>22827</v>
      </c>
      <c r="BU129" s="72"/>
      <c r="BV129" s="72">
        <v>25000</v>
      </c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4"/>
      <c r="CI129" s="407"/>
      <c r="CJ129" s="407">
        <f t="shared" si="43"/>
        <v>157000</v>
      </c>
      <c r="CK129" s="72">
        <f t="shared" si="44"/>
        <v>5257000</v>
      </c>
      <c r="CL129" s="72">
        <f t="shared" si="28"/>
        <v>5198104</v>
      </c>
    </row>
    <row r="130" spans="1:90" ht="14.25" customHeight="1" x14ac:dyDescent="0.2">
      <c r="A130" s="119" t="s">
        <v>122</v>
      </c>
      <c r="B130" s="119" t="s">
        <v>400</v>
      </c>
      <c r="C130" s="125" t="s">
        <v>401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>
        <v>3213000</v>
      </c>
      <c r="N130" s="72">
        <f>(N129+N128+N127-1500000)*0.27-256001</f>
        <v>21858905.740000002</v>
      </c>
      <c r="O130" s="72">
        <v>460541</v>
      </c>
      <c r="P130" s="72"/>
      <c r="Q130" s="72"/>
      <c r="R130" s="72"/>
      <c r="S130" s="72">
        <v>42390</v>
      </c>
      <c r="T130" s="72">
        <f>T129*0.27</f>
        <v>42390</v>
      </c>
      <c r="U130" s="72">
        <v>42390</v>
      </c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69">
        <f>(AF126+AF128+AF129)*0.27</f>
        <v>472500.00000000006</v>
      </c>
      <c r="AG130" s="69">
        <v>420296</v>
      </c>
      <c r="AH130" s="72"/>
      <c r="AI130" s="72">
        <f>AI129*0.27</f>
        <v>364500</v>
      </c>
      <c r="AJ130" s="72">
        <v>364372</v>
      </c>
      <c r="AK130" s="72"/>
      <c r="AL130" s="72">
        <f>AL129*0.27</f>
        <v>56700.000000000007</v>
      </c>
      <c r="AM130" s="72">
        <v>55062</v>
      </c>
      <c r="AN130" s="72"/>
      <c r="AO130" s="72"/>
      <c r="AP130" s="72"/>
      <c r="AQ130" s="72"/>
      <c r="AR130" s="72"/>
      <c r="AS130" s="72"/>
      <c r="AT130" s="72"/>
      <c r="AU130" s="72">
        <f>AU129*0.27</f>
        <v>5400</v>
      </c>
      <c r="AV130" s="72">
        <v>4231</v>
      </c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>
        <f>BJ129*0.27</f>
        <v>137700</v>
      </c>
      <c r="BK130" s="72">
        <v>136631</v>
      </c>
      <c r="BL130" s="72"/>
      <c r="BM130" s="72"/>
      <c r="BN130" s="72"/>
      <c r="BO130" s="72">
        <f>BO129*0.27</f>
        <v>0</v>
      </c>
      <c r="BP130" s="72">
        <f>BP127*0.27</f>
        <v>411750</v>
      </c>
      <c r="BQ130" s="72">
        <v>411750</v>
      </c>
      <c r="BR130" s="72"/>
      <c r="BS130" s="72">
        <f>(BS127+BS128+BS129)*0.27</f>
        <v>6750</v>
      </c>
      <c r="BT130" s="72">
        <v>6163</v>
      </c>
      <c r="BU130" s="72"/>
      <c r="BV130" s="72">
        <f>BV129*0.27</f>
        <v>6750</v>
      </c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4"/>
      <c r="CI130" s="407"/>
      <c r="CJ130" s="407">
        <f t="shared" si="43"/>
        <v>3255390</v>
      </c>
      <c r="CK130" s="72">
        <f t="shared" si="44"/>
        <v>23363345.740000002</v>
      </c>
      <c r="CL130" s="72">
        <f t="shared" si="28"/>
        <v>1901436</v>
      </c>
    </row>
    <row r="131" spans="1:90" s="132" customFormat="1" ht="14.25" customHeight="1" x14ac:dyDescent="0.2">
      <c r="A131" s="119" t="s">
        <v>123</v>
      </c>
      <c r="B131" s="110" t="s">
        <v>402</v>
      </c>
      <c r="C131" s="113" t="s">
        <v>403</v>
      </c>
      <c r="D131" s="70">
        <f>SUM(D126:D130)</f>
        <v>0</v>
      </c>
      <c r="E131" s="70">
        <f t="shared" ref="E131:BP131" si="56">SUM(E126:E130)</f>
        <v>0</v>
      </c>
      <c r="F131" s="70">
        <f t="shared" si="56"/>
        <v>0</v>
      </c>
      <c r="G131" s="70">
        <f t="shared" si="56"/>
        <v>0</v>
      </c>
      <c r="H131" s="70">
        <f t="shared" si="56"/>
        <v>0</v>
      </c>
      <c r="I131" s="70">
        <f t="shared" si="56"/>
        <v>0</v>
      </c>
      <c r="J131" s="70">
        <f t="shared" si="56"/>
        <v>0</v>
      </c>
      <c r="K131" s="70">
        <f t="shared" si="56"/>
        <v>0</v>
      </c>
      <c r="L131" s="70">
        <f t="shared" si="56"/>
        <v>0</v>
      </c>
      <c r="M131" s="70">
        <f t="shared" si="56"/>
        <v>15113000</v>
      </c>
      <c r="N131" s="70">
        <f t="shared" si="56"/>
        <v>105265967.74000001</v>
      </c>
      <c r="O131" s="70">
        <f t="shared" si="56"/>
        <v>45700088</v>
      </c>
      <c r="P131" s="70">
        <f t="shared" si="56"/>
        <v>0</v>
      </c>
      <c r="Q131" s="70">
        <f t="shared" si="56"/>
        <v>0</v>
      </c>
      <c r="R131" s="70">
        <f t="shared" si="56"/>
        <v>0</v>
      </c>
      <c r="S131" s="70">
        <f t="shared" si="56"/>
        <v>199390</v>
      </c>
      <c r="T131" s="70">
        <f t="shared" si="56"/>
        <v>199390</v>
      </c>
      <c r="U131" s="70">
        <f t="shared" si="56"/>
        <v>199390</v>
      </c>
      <c r="V131" s="70">
        <f t="shared" si="56"/>
        <v>0</v>
      </c>
      <c r="W131" s="70">
        <f t="shared" si="56"/>
        <v>0</v>
      </c>
      <c r="X131" s="70">
        <f t="shared" si="56"/>
        <v>0</v>
      </c>
      <c r="Y131" s="70">
        <f t="shared" si="56"/>
        <v>0</v>
      </c>
      <c r="Z131" s="70">
        <f t="shared" si="56"/>
        <v>0</v>
      </c>
      <c r="AA131" s="70">
        <f t="shared" si="56"/>
        <v>0</v>
      </c>
      <c r="AB131" s="70">
        <f t="shared" si="56"/>
        <v>0</v>
      </c>
      <c r="AC131" s="70">
        <f t="shared" si="56"/>
        <v>0</v>
      </c>
      <c r="AD131" s="70">
        <f t="shared" si="56"/>
        <v>0</v>
      </c>
      <c r="AE131" s="70">
        <f t="shared" si="56"/>
        <v>0</v>
      </c>
      <c r="AF131" s="70">
        <f t="shared" si="56"/>
        <v>3522500</v>
      </c>
      <c r="AG131" s="70">
        <f t="shared" si="56"/>
        <v>3276941</v>
      </c>
      <c r="AH131" s="70">
        <f t="shared" si="56"/>
        <v>0</v>
      </c>
      <c r="AI131" s="70">
        <f t="shared" si="56"/>
        <v>1714500</v>
      </c>
      <c r="AJ131" s="70">
        <f t="shared" si="56"/>
        <v>1713899</v>
      </c>
      <c r="AK131" s="70">
        <f t="shared" si="56"/>
        <v>0</v>
      </c>
      <c r="AL131" s="70">
        <f t="shared" si="56"/>
        <v>266700</v>
      </c>
      <c r="AM131" s="70">
        <f t="shared" si="56"/>
        <v>258999</v>
      </c>
      <c r="AN131" s="70">
        <f t="shared" si="56"/>
        <v>0</v>
      </c>
      <c r="AO131" s="70">
        <f t="shared" si="56"/>
        <v>0</v>
      </c>
      <c r="AP131" s="70">
        <f t="shared" si="56"/>
        <v>0</v>
      </c>
      <c r="AQ131" s="70">
        <f t="shared" si="56"/>
        <v>0</v>
      </c>
      <c r="AR131" s="70">
        <f t="shared" si="56"/>
        <v>0</v>
      </c>
      <c r="AS131" s="70">
        <f t="shared" si="56"/>
        <v>0</v>
      </c>
      <c r="AT131" s="70">
        <f t="shared" si="56"/>
        <v>0</v>
      </c>
      <c r="AU131" s="70">
        <f t="shared" si="56"/>
        <v>25400</v>
      </c>
      <c r="AV131" s="70">
        <f t="shared" si="56"/>
        <v>19900</v>
      </c>
      <c r="AW131" s="70">
        <f t="shared" si="56"/>
        <v>0</v>
      </c>
      <c r="AX131" s="70">
        <f t="shared" si="56"/>
        <v>0</v>
      </c>
      <c r="AY131" s="70">
        <f t="shared" si="56"/>
        <v>0</v>
      </c>
      <c r="AZ131" s="70">
        <f t="shared" si="56"/>
        <v>0</v>
      </c>
      <c r="BA131" s="70">
        <f t="shared" si="56"/>
        <v>0</v>
      </c>
      <c r="BB131" s="70">
        <f t="shared" si="56"/>
        <v>0</v>
      </c>
      <c r="BC131" s="70">
        <f t="shared" si="56"/>
        <v>0</v>
      </c>
      <c r="BD131" s="70">
        <f t="shared" si="56"/>
        <v>0</v>
      </c>
      <c r="BE131" s="70">
        <f t="shared" si="56"/>
        <v>0</v>
      </c>
      <c r="BF131" s="70">
        <f t="shared" si="56"/>
        <v>0</v>
      </c>
      <c r="BG131" s="70">
        <f t="shared" si="56"/>
        <v>0</v>
      </c>
      <c r="BH131" s="70">
        <f t="shared" si="56"/>
        <v>0</v>
      </c>
      <c r="BI131" s="70">
        <f t="shared" si="56"/>
        <v>0</v>
      </c>
      <c r="BJ131" s="70">
        <f t="shared" si="56"/>
        <v>647700</v>
      </c>
      <c r="BK131" s="70">
        <f t="shared" si="56"/>
        <v>642669</v>
      </c>
      <c r="BL131" s="70">
        <f t="shared" si="56"/>
        <v>0</v>
      </c>
      <c r="BM131" s="70">
        <f t="shared" si="56"/>
        <v>0</v>
      </c>
      <c r="BN131" s="70">
        <f t="shared" si="56"/>
        <v>0</v>
      </c>
      <c r="BO131" s="70">
        <f t="shared" si="56"/>
        <v>0</v>
      </c>
      <c r="BP131" s="70">
        <f t="shared" si="56"/>
        <v>1936750</v>
      </c>
      <c r="BQ131" s="70">
        <f t="shared" ref="BQ131:CI131" si="57">SUM(BQ126:BQ130)</f>
        <v>1936750</v>
      </c>
      <c r="BR131" s="70">
        <f t="shared" si="57"/>
        <v>0</v>
      </c>
      <c r="BS131" s="70">
        <f t="shared" si="57"/>
        <v>31750</v>
      </c>
      <c r="BT131" s="70">
        <f t="shared" si="57"/>
        <v>28990</v>
      </c>
      <c r="BU131" s="70">
        <f t="shared" si="57"/>
        <v>0</v>
      </c>
      <c r="BV131" s="70">
        <f t="shared" si="57"/>
        <v>31750</v>
      </c>
      <c r="BW131" s="70">
        <f t="shared" si="57"/>
        <v>0</v>
      </c>
      <c r="BX131" s="70">
        <f t="shared" si="57"/>
        <v>0</v>
      </c>
      <c r="BY131" s="70">
        <f t="shared" si="57"/>
        <v>0</v>
      </c>
      <c r="BZ131" s="70">
        <f t="shared" si="57"/>
        <v>0</v>
      </c>
      <c r="CA131" s="70">
        <f t="shared" si="57"/>
        <v>0</v>
      </c>
      <c r="CB131" s="70">
        <f t="shared" si="57"/>
        <v>0</v>
      </c>
      <c r="CC131" s="70">
        <f t="shared" si="57"/>
        <v>0</v>
      </c>
      <c r="CD131" s="70">
        <f t="shared" si="57"/>
        <v>0</v>
      </c>
      <c r="CE131" s="70">
        <f t="shared" si="57"/>
        <v>0</v>
      </c>
      <c r="CF131" s="70">
        <f t="shared" si="57"/>
        <v>0</v>
      </c>
      <c r="CG131" s="70">
        <f t="shared" si="57"/>
        <v>0</v>
      </c>
      <c r="CH131" s="70">
        <f t="shared" si="57"/>
        <v>0</v>
      </c>
      <c r="CI131" s="70">
        <f t="shared" si="57"/>
        <v>0</v>
      </c>
      <c r="CJ131" s="408">
        <f t="shared" si="43"/>
        <v>15312390</v>
      </c>
      <c r="CK131" s="406">
        <f t="shared" si="44"/>
        <v>113642407.74000001</v>
      </c>
      <c r="CL131" s="406">
        <f t="shared" si="28"/>
        <v>53777626</v>
      </c>
    </row>
    <row r="132" spans="1:90" ht="14.25" customHeight="1" x14ac:dyDescent="0.2">
      <c r="A132" s="119" t="s">
        <v>124</v>
      </c>
      <c r="B132" s="119" t="s">
        <v>404</v>
      </c>
      <c r="C132" s="125" t="s">
        <v>405</v>
      </c>
      <c r="D132" s="72"/>
      <c r="E132" s="72"/>
      <c r="F132" s="72"/>
      <c r="G132" s="72"/>
      <c r="H132" s="72"/>
      <c r="I132" s="72"/>
      <c r="J132" s="72"/>
      <c r="K132" s="72"/>
      <c r="L132" s="72"/>
      <c r="M132" s="72">
        <v>11100000</v>
      </c>
      <c r="N132" s="72">
        <v>11100000</v>
      </c>
      <c r="O132" s="72">
        <v>10572389</v>
      </c>
      <c r="P132" s="72"/>
      <c r="Q132" s="72"/>
      <c r="R132" s="72"/>
      <c r="S132" s="72"/>
      <c r="T132" s="72"/>
      <c r="U132" s="72"/>
      <c r="V132" s="72"/>
      <c r="W132" s="72">
        <v>300000</v>
      </c>
      <c r="X132" s="72">
        <v>274819</v>
      </c>
      <c r="Y132" s="72"/>
      <c r="Z132" s="72"/>
      <c r="AA132" s="72"/>
      <c r="AB132" s="72"/>
      <c r="AC132" s="72"/>
      <c r="AD132" s="72"/>
      <c r="AE132" s="72"/>
      <c r="AF132" s="69">
        <v>160000</v>
      </c>
      <c r="AG132" s="69">
        <v>160000</v>
      </c>
      <c r="AH132" s="72"/>
      <c r="AI132" s="72">
        <v>8600000</v>
      </c>
      <c r="AJ132" s="72">
        <v>8572623</v>
      </c>
      <c r="AK132" s="72"/>
      <c r="AL132" s="72">
        <v>160000</v>
      </c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>
        <v>23144094</v>
      </c>
      <c r="BG132" s="72">
        <v>15324094</v>
      </c>
      <c r="BH132" s="72">
        <v>200000</v>
      </c>
      <c r="BI132" s="72">
        <v>4000000</v>
      </c>
      <c r="BJ132" s="72">
        <v>3000000</v>
      </c>
      <c r="BK132" s="72">
        <v>2081030</v>
      </c>
      <c r="BL132" s="72"/>
      <c r="BM132" s="72"/>
      <c r="BN132" s="72"/>
      <c r="BO132" s="72">
        <v>400000</v>
      </c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4"/>
      <c r="CI132" s="407"/>
      <c r="CJ132" s="407">
        <f t="shared" si="43"/>
        <v>38644094</v>
      </c>
      <c r="CK132" s="72">
        <f t="shared" si="44"/>
        <v>38644094</v>
      </c>
      <c r="CL132" s="72">
        <f t="shared" si="28"/>
        <v>21860861</v>
      </c>
    </row>
    <row r="133" spans="1:90" ht="14.25" customHeight="1" x14ac:dyDescent="0.2">
      <c r="A133" s="119" t="s">
        <v>125</v>
      </c>
      <c r="B133" s="119" t="s">
        <v>406</v>
      </c>
      <c r="C133" s="125" t="s">
        <v>407</v>
      </c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69"/>
      <c r="AG133" s="69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4"/>
      <c r="CI133" s="407"/>
      <c r="CJ133" s="407">
        <f t="shared" si="43"/>
        <v>0</v>
      </c>
      <c r="CK133" s="72">
        <f t="shared" si="44"/>
        <v>0</v>
      </c>
      <c r="CL133" s="72">
        <f t="shared" si="28"/>
        <v>0</v>
      </c>
    </row>
    <row r="134" spans="1:90" ht="14.25" customHeight="1" x14ac:dyDescent="0.2">
      <c r="A134" s="119" t="s">
        <v>421</v>
      </c>
      <c r="B134" s="119" t="s">
        <v>408</v>
      </c>
      <c r="C134" s="125" t="s">
        <v>409</v>
      </c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69"/>
      <c r="AG134" s="69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4"/>
      <c r="CI134" s="407"/>
      <c r="CJ134" s="407">
        <f t="shared" ref="CJ134:CJ146" si="58">D134+G134+J134+M134+P134+S134+AE134+BF134+V134+Y134+AB134+AH134+AK134+AN134+AQ134+AT134+AW134+AZ134+BC134+BI134+BL134+BO134+BR134+BU134+BX134+CA134+CD134+CG134</f>
        <v>0</v>
      </c>
      <c r="CK134" s="72">
        <f t="shared" ref="CK134:CK146" si="59">E134+H134+K134+N134+Q134+T134+AF134+BG134+W134+Z134+AC134+AI134+AL134+AO134+AR134+AU134+AX134+BA134+BD134+BJ134+BM134+BP134+BS134+BV134+BY134+CB134+CE134+CH134</f>
        <v>0</v>
      </c>
      <c r="CL134" s="72">
        <f t="shared" ref="CL134:CL146" si="60">F134+I134+L134+O134+R134+U134+AG134+BH134+X134+AA134+AD134+AJ134+AM134+AP134+AS134+AV134+AY134+BB134+BE134+BK134+BN134+BQ134+BT134+BW134+BZ134+CC134+CF134+CI134</f>
        <v>0</v>
      </c>
    </row>
    <row r="135" spans="1:90" ht="14.25" customHeight="1" x14ac:dyDescent="0.2">
      <c r="A135" s="119" t="s">
        <v>424</v>
      </c>
      <c r="B135" s="119" t="s">
        <v>410</v>
      </c>
      <c r="C135" s="125" t="s">
        <v>411</v>
      </c>
      <c r="D135" s="72"/>
      <c r="E135" s="72"/>
      <c r="F135" s="72"/>
      <c r="G135" s="72"/>
      <c r="H135" s="72"/>
      <c r="I135" s="72"/>
      <c r="J135" s="72"/>
      <c r="K135" s="72"/>
      <c r="L135" s="72"/>
      <c r="M135" s="72">
        <f>M132*0.27</f>
        <v>2997000</v>
      </c>
      <c r="N135" s="72">
        <f>N132*0.27+0.4</f>
        <v>2997000.4</v>
      </c>
      <c r="O135" s="72">
        <v>2854545</v>
      </c>
      <c r="P135" s="72"/>
      <c r="Q135" s="72"/>
      <c r="R135" s="72"/>
      <c r="S135" s="72">
        <f>S132*0.27</f>
        <v>0</v>
      </c>
      <c r="T135" s="72"/>
      <c r="U135" s="72"/>
      <c r="V135" s="72">
        <f>V132*0.27</f>
        <v>0</v>
      </c>
      <c r="W135" s="72">
        <f>W132*0.27</f>
        <v>81000</v>
      </c>
      <c r="X135" s="72">
        <v>74201</v>
      </c>
      <c r="Y135" s="72"/>
      <c r="Z135" s="72"/>
      <c r="AA135" s="72"/>
      <c r="AB135" s="72"/>
      <c r="AC135" s="72"/>
      <c r="AD135" s="72"/>
      <c r="AE135" s="72"/>
      <c r="AF135" s="69">
        <f>AF132*0.27</f>
        <v>43200</v>
      </c>
      <c r="AG135" s="69">
        <v>43200</v>
      </c>
      <c r="AH135" s="72"/>
      <c r="AI135" s="72">
        <f>(AI132+AI133+AI134)*0.27</f>
        <v>2322000</v>
      </c>
      <c r="AJ135" s="72">
        <v>2314609</v>
      </c>
      <c r="AK135" s="72"/>
      <c r="AL135" s="72">
        <f>(AL132+AL133+AL134)*0.27</f>
        <v>43200</v>
      </c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>
        <v>6140906</v>
      </c>
      <c r="BG135" s="72">
        <f>BG132*0.27-108000</f>
        <v>4029505.3800000004</v>
      </c>
      <c r="BH135" s="72">
        <v>40500</v>
      </c>
      <c r="BI135" s="72">
        <v>1080000</v>
      </c>
      <c r="BJ135" s="72">
        <f>BJ132*0.27</f>
        <v>810000</v>
      </c>
      <c r="BK135" s="72">
        <v>461438</v>
      </c>
      <c r="BL135" s="72"/>
      <c r="BM135" s="72"/>
      <c r="BN135" s="72"/>
      <c r="BO135" s="72">
        <f>BO132*0.27</f>
        <v>108000</v>
      </c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4"/>
      <c r="CI135" s="407"/>
      <c r="CJ135" s="407">
        <f t="shared" si="58"/>
        <v>10325906</v>
      </c>
      <c r="CK135" s="72">
        <f t="shared" si="59"/>
        <v>10325905.780000001</v>
      </c>
      <c r="CL135" s="72">
        <f t="shared" si="60"/>
        <v>5788493</v>
      </c>
    </row>
    <row r="136" spans="1:90" s="132" customFormat="1" ht="14.25" customHeight="1" x14ac:dyDescent="0.2">
      <c r="A136" s="119" t="s">
        <v>427</v>
      </c>
      <c r="B136" s="110" t="s">
        <v>412</v>
      </c>
      <c r="C136" s="113" t="s">
        <v>413</v>
      </c>
      <c r="D136" s="70">
        <f>SUM(D132:D135)</f>
        <v>0</v>
      </c>
      <c r="E136" s="70">
        <f t="shared" ref="E136:BP136" si="61">SUM(E132:E135)</f>
        <v>0</v>
      </c>
      <c r="F136" s="70">
        <f t="shared" si="61"/>
        <v>0</v>
      </c>
      <c r="G136" s="70">
        <f t="shared" si="61"/>
        <v>0</v>
      </c>
      <c r="H136" s="70">
        <f t="shared" si="61"/>
        <v>0</v>
      </c>
      <c r="I136" s="70">
        <f t="shared" si="61"/>
        <v>0</v>
      </c>
      <c r="J136" s="70">
        <f t="shared" si="61"/>
        <v>0</v>
      </c>
      <c r="K136" s="70">
        <f t="shared" si="61"/>
        <v>0</v>
      </c>
      <c r="L136" s="70">
        <f t="shared" si="61"/>
        <v>0</v>
      </c>
      <c r="M136" s="70">
        <f t="shared" si="61"/>
        <v>14097000</v>
      </c>
      <c r="N136" s="70">
        <f t="shared" si="61"/>
        <v>14097000.4</v>
      </c>
      <c r="O136" s="70">
        <f t="shared" si="61"/>
        <v>13426934</v>
      </c>
      <c r="P136" s="70">
        <f t="shared" si="61"/>
        <v>0</v>
      </c>
      <c r="Q136" s="70">
        <f t="shared" si="61"/>
        <v>0</v>
      </c>
      <c r="R136" s="70">
        <f t="shared" si="61"/>
        <v>0</v>
      </c>
      <c r="S136" s="70">
        <f t="shared" si="61"/>
        <v>0</v>
      </c>
      <c r="T136" s="70">
        <f t="shared" si="61"/>
        <v>0</v>
      </c>
      <c r="U136" s="70">
        <f t="shared" si="61"/>
        <v>0</v>
      </c>
      <c r="V136" s="70">
        <f t="shared" si="61"/>
        <v>0</v>
      </c>
      <c r="W136" s="70">
        <f t="shared" si="61"/>
        <v>381000</v>
      </c>
      <c r="X136" s="70">
        <f t="shared" si="61"/>
        <v>349020</v>
      </c>
      <c r="Y136" s="70">
        <f t="shared" si="61"/>
        <v>0</v>
      </c>
      <c r="Z136" s="70">
        <f t="shared" si="61"/>
        <v>0</v>
      </c>
      <c r="AA136" s="70">
        <f t="shared" si="61"/>
        <v>0</v>
      </c>
      <c r="AB136" s="70">
        <f t="shared" si="61"/>
        <v>0</v>
      </c>
      <c r="AC136" s="70">
        <f t="shared" si="61"/>
        <v>0</v>
      </c>
      <c r="AD136" s="70">
        <f t="shared" si="61"/>
        <v>0</v>
      </c>
      <c r="AE136" s="70">
        <f t="shared" si="61"/>
        <v>0</v>
      </c>
      <c r="AF136" s="70">
        <f t="shared" si="61"/>
        <v>203200</v>
      </c>
      <c r="AG136" s="70">
        <f t="shared" si="61"/>
        <v>203200</v>
      </c>
      <c r="AH136" s="70">
        <f t="shared" si="61"/>
        <v>0</v>
      </c>
      <c r="AI136" s="70">
        <f t="shared" si="61"/>
        <v>10922000</v>
      </c>
      <c r="AJ136" s="70">
        <f t="shared" si="61"/>
        <v>10887232</v>
      </c>
      <c r="AK136" s="70">
        <f t="shared" si="61"/>
        <v>0</v>
      </c>
      <c r="AL136" s="70">
        <f t="shared" si="61"/>
        <v>203200</v>
      </c>
      <c r="AM136" s="70">
        <f t="shared" si="61"/>
        <v>0</v>
      </c>
      <c r="AN136" s="70">
        <f t="shared" si="61"/>
        <v>0</v>
      </c>
      <c r="AO136" s="70">
        <f t="shared" si="61"/>
        <v>0</v>
      </c>
      <c r="AP136" s="70">
        <f t="shared" si="61"/>
        <v>0</v>
      </c>
      <c r="AQ136" s="70">
        <f t="shared" si="61"/>
        <v>0</v>
      </c>
      <c r="AR136" s="70">
        <f t="shared" si="61"/>
        <v>0</v>
      </c>
      <c r="AS136" s="70">
        <f t="shared" si="61"/>
        <v>0</v>
      </c>
      <c r="AT136" s="70">
        <f t="shared" si="61"/>
        <v>0</v>
      </c>
      <c r="AU136" s="70">
        <f t="shared" si="61"/>
        <v>0</v>
      </c>
      <c r="AV136" s="70">
        <f t="shared" si="61"/>
        <v>0</v>
      </c>
      <c r="AW136" s="70">
        <f t="shared" si="61"/>
        <v>0</v>
      </c>
      <c r="AX136" s="70">
        <f t="shared" si="61"/>
        <v>0</v>
      </c>
      <c r="AY136" s="70">
        <f t="shared" si="61"/>
        <v>0</v>
      </c>
      <c r="AZ136" s="70">
        <f t="shared" si="61"/>
        <v>0</v>
      </c>
      <c r="BA136" s="70">
        <f t="shared" si="61"/>
        <v>0</v>
      </c>
      <c r="BB136" s="70">
        <f t="shared" si="61"/>
        <v>0</v>
      </c>
      <c r="BC136" s="70">
        <f t="shared" si="61"/>
        <v>0</v>
      </c>
      <c r="BD136" s="70">
        <f t="shared" si="61"/>
        <v>0</v>
      </c>
      <c r="BE136" s="70">
        <f t="shared" si="61"/>
        <v>0</v>
      </c>
      <c r="BF136" s="70">
        <f t="shared" si="61"/>
        <v>29285000</v>
      </c>
      <c r="BG136" s="70">
        <f t="shared" si="61"/>
        <v>19353599.379999999</v>
      </c>
      <c r="BH136" s="70">
        <f t="shared" si="61"/>
        <v>240500</v>
      </c>
      <c r="BI136" s="70">
        <f t="shared" si="61"/>
        <v>5080000</v>
      </c>
      <c r="BJ136" s="70">
        <f t="shared" si="61"/>
        <v>3810000</v>
      </c>
      <c r="BK136" s="70">
        <f t="shared" si="61"/>
        <v>2542468</v>
      </c>
      <c r="BL136" s="70">
        <f t="shared" si="61"/>
        <v>0</v>
      </c>
      <c r="BM136" s="70">
        <f t="shared" si="61"/>
        <v>0</v>
      </c>
      <c r="BN136" s="70">
        <f t="shared" si="61"/>
        <v>0</v>
      </c>
      <c r="BO136" s="70">
        <f t="shared" si="61"/>
        <v>508000</v>
      </c>
      <c r="BP136" s="70">
        <f t="shared" si="61"/>
        <v>0</v>
      </c>
      <c r="BQ136" s="70">
        <f t="shared" ref="BQ136:CI136" si="62">SUM(BQ132:BQ135)</f>
        <v>0</v>
      </c>
      <c r="BR136" s="70">
        <f t="shared" si="62"/>
        <v>0</v>
      </c>
      <c r="BS136" s="70">
        <f t="shared" si="62"/>
        <v>0</v>
      </c>
      <c r="BT136" s="70">
        <f t="shared" si="62"/>
        <v>0</v>
      </c>
      <c r="BU136" s="70">
        <f t="shared" si="62"/>
        <v>0</v>
      </c>
      <c r="BV136" s="70">
        <f t="shared" si="62"/>
        <v>0</v>
      </c>
      <c r="BW136" s="70">
        <f t="shared" si="62"/>
        <v>0</v>
      </c>
      <c r="BX136" s="70">
        <f t="shared" si="62"/>
        <v>0</v>
      </c>
      <c r="BY136" s="70">
        <f t="shared" si="62"/>
        <v>0</v>
      </c>
      <c r="BZ136" s="70">
        <f t="shared" si="62"/>
        <v>0</v>
      </c>
      <c r="CA136" s="70">
        <f t="shared" si="62"/>
        <v>0</v>
      </c>
      <c r="CB136" s="70">
        <f t="shared" si="62"/>
        <v>0</v>
      </c>
      <c r="CC136" s="70">
        <f t="shared" si="62"/>
        <v>0</v>
      </c>
      <c r="CD136" s="70">
        <f t="shared" si="62"/>
        <v>0</v>
      </c>
      <c r="CE136" s="70">
        <f t="shared" si="62"/>
        <v>0</v>
      </c>
      <c r="CF136" s="70">
        <f t="shared" si="62"/>
        <v>0</v>
      </c>
      <c r="CG136" s="70">
        <f t="shared" si="62"/>
        <v>0</v>
      </c>
      <c r="CH136" s="70">
        <f t="shared" si="62"/>
        <v>0</v>
      </c>
      <c r="CI136" s="70">
        <f t="shared" si="62"/>
        <v>0</v>
      </c>
      <c r="CJ136" s="408">
        <f t="shared" si="58"/>
        <v>48970000</v>
      </c>
      <c r="CK136" s="406">
        <f t="shared" si="59"/>
        <v>48969999.780000001</v>
      </c>
      <c r="CL136" s="406">
        <f t="shared" si="60"/>
        <v>27649354</v>
      </c>
    </row>
    <row r="137" spans="1:90" s="122" customFormat="1" ht="14.25" customHeight="1" x14ac:dyDescent="0.2">
      <c r="A137" s="119" t="s">
        <v>430</v>
      </c>
      <c r="B137" s="107" t="s">
        <v>414</v>
      </c>
      <c r="C137" s="112" t="s">
        <v>415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71"/>
      <c r="CI137" s="515"/>
      <c r="CJ137" s="407">
        <f t="shared" si="58"/>
        <v>0</v>
      </c>
      <c r="CK137" s="72">
        <f t="shared" si="59"/>
        <v>0</v>
      </c>
      <c r="CL137" s="72">
        <f t="shared" si="60"/>
        <v>0</v>
      </c>
    </row>
    <row r="138" spans="1:90" s="122" customFormat="1" ht="14.25" customHeight="1" x14ac:dyDescent="0.2">
      <c r="A138" s="119" t="s">
        <v>433</v>
      </c>
      <c r="B138" s="107" t="s">
        <v>416</v>
      </c>
      <c r="C138" s="112" t="s">
        <v>417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71"/>
      <c r="CI138" s="515"/>
      <c r="CJ138" s="407">
        <f t="shared" si="58"/>
        <v>0</v>
      </c>
      <c r="CK138" s="72">
        <f t="shared" si="59"/>
        <v>0</v>
      </c>
      <c r="CL138" s="72">
        <f t="shared" si="60"/>
        <v>0</v>
      </c>
    </row>
    <row r="139" spans="1:90" s="122" customFormat="1" ht="14.25" customHeight="1" x14ac:dyDescent="0.2">
      <c r="A139" s="119" t="s">
        <v>467</v>
      </c>
      <c r="B139" s="107" t="s">
        <v>418</v>
      </c>
      <c r="C139" s="112" t="s">
        <v>419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>
        <v>5000000</v>
      </c>
      <c r="O139" s="69">
        <v>5000000</v>
      </c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>
        <v>441357</v>
      </c>
      <c r="AJ139" s="69">
        <v>441357</v>
      </c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>
        <v>4500000</v>
      </c>
      <c r="BP139" s="69">
        <v>4500000</v>
      </c>
      <c r="BQ139" s="69">
        <v>4500000</v>
      </c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71"/>
      <c r="CI139" s="515"/>
      <c r="CJ139" s="407">
        <f t="shared" si="58"/>
        <v>4500000</v>
      </c>
      <c r="CK139" s="72">
        <f t="shared" si="59"/>
        <v>9941357</v>
      </c>
      <c r="CL139" s="72">
        <f t="shared" si="60"/>
        <v>9941357</v>
      </c>
    </row>
    <row r="140" spans="1:90" s="132" customFormat="1" ht="14.25" customHeight="1" x14ac:dyDescent="0.2">
      <c r="A140" s="119" t="s">
        <v>468</v>
      </c>
      <c r="B140" s="110" t="s">
        <v>420</v>
      </c>
      <c r="C140" s="113" t="s">
        <v>69</v>
      </c>
      <c r="D140" s="70">
        <f>SUM(D137:D139)</f>
        <v>0</v>
      </c>
      <c r="E140" s="70">
        <f t="shared" ref="E140:BP140" si="63">SUM(E137:E139)</f>
        <v>0</v>
      </c>
      <c r="F140" s="70">
        <f t="shared" si="63"/>
        <v>0</v>
      </c>
      <c r="G140" s="70">
        <f t="shared" si="63"/>
        <v>0</v>
      </c>
      <c r="H140" s="70">
        <f t="shared" si="63"/>
        <v>0</v>
      </c>
      <c r="I140" s="70">
        <f t="shared" si="63"/>
        <v>0</v>
      </c>
      <c r="J140" s="70">
        <f t="shared" si="63"/>
        <v>0</v>
      </c>
      <c r="K140" s="70">
        <f t="shared" si="63"/>
        <v>0</v>
      </c>
      <c r="L140" s="70">
        <f t="shared" si="63"/>
        <v>0</v>
      </c>
      <c r="M140" s="70">
        <f t="shared" si="63"/>
        <v>0</v>
      </c>
      <c r="N140" s="70">
        <f t="shared" si="63"/>
        <v>5000000</v>
      </c>
      <c r="O140" s="70">
        <f t="shared" si="63"/>
        <v>5000000</v>
      </c>
      <c r="P140" s="70">
        <f t="shared" si="63"/>
        <v>0</v>
      </c>
      <c r="Q140" s="70">
        <f t="shared" si="63"/>
        <v>0</v>
      </c>
      <c r="R140" s="70">
        <f t="shared" si="63"/>
        <v>0</v>
      </c>
      <c r="S140" s="70">
        <f t="shared" si="63"/>
        <v>0</v>
      </c>
      <c r="T140" s="70">
        <f t="shared" si="63"/>
        <v>0</v>
      </c>
      <c r="U140" s="70">
        <f t="shared" si="63"/>
        <v>0</v>
      </c>
      <c r="V140" s="70">
        <f t="shared" si="63"/>
        <v>0</v>
      </c>
      <c r="W140" s="70">
        <f t="shared" si="63"/>
        <v>0</v>
      </c>
      <c r="X140" s="70">
        <f t="shared" si="63"/>
        <v>0</v>
      </c>
      <c r="Y140" s="70">
        <f t="shared" si="63"/>
        <v>0</v>
      </c>
      <c r="Z140" s="70">
        <f t="shared" si="63"/>
        <v>0</v>
      </c>
      <c r="AA140" s="70">
        <f t="shared" si="63"/>
        <v>0</v>
      </c>
      <c r="AB140" s="70">
        <f t="shared" si="63"/>
        <v>0</v>
      </c>
      <c r="AC140" s="70">
        <f t="shared" si="63"/>
        <v>0</v>
      </c>
      <c r="AD140" s="70">
        <f t="shared" si="63"/>
        <v>0</v>
      </c>
      <c r="AE140" s="70">
        <f t="shared" si="63"/>
        <v>0</v>
      </c>
      <c r="AF140" s="70">
        <f t="shared" si="63"/>
        <v>0</v>
      </c>
      <c r="AG140" s="70">
        <f t="shared" si="63"/>
        <v>0</v>
      </c>
      <c r="AH140" s="70">
        <f t="shared" si="63"/>
        <v>0</v>
      </c>
      <c r="AI140" s="70">
        <f t="shared" si="63"/>
        <v>441357</v>
      </c>
      <c r="AJ140" s="70">
        <f t="shared" si="63"/>
        <v>441357</v>
      </c>
      <c r="AK140" s="70">
        <f t="shared" si="63"/>
        <v>0</v>
      </c>
      <c r="AL140" s="70">
        <f t="shared" si="63"/>
        <v>0</v>
      </c>
      <c r="AM140" s="70">
        <f t="shared" si="63"/>
        <v>0</v>
      </c>
      <c r="AN140" s="70">
        <f t="shared" si="63"/>
        <v>0</v>
      </c>
      <c r="AO140" s="70">
        <f t="shared" si="63"/>
        <v>0</v>
      </c>
      <c r="AP140" s="70">
        <f t="shared" si="63"/>
        <v>0</v>
      </c>
      <c r="AQ140" s="70">
        <f t="shared" si="63"/>
        <v>0</v>
      </c>
      <c r="AR140" s="70">
        <f t="shared" si="63"/>
        <v>0</v>
      </c>
      <c r="AS140" s="70">
        <f t="shared" si="63"/>
        <v>0</v>
      </c>
      <c r="AT140" s="70">
        <f t="shared" si="63"/>
        <v>0</v>
      </c>
      <c r="AU140" s="70">
        <f t="shared" si="63"/>
        <v>0</v>
      </c>
      <c r="AV140" s="70">
        <f t="shared" si="63"/>
        <v>0</v>
      </c>
      <c r="AW140" s="70">
        <f t="shared" si="63"/>
        <v>0</v>
      </c>
      <c r="AX140" s="70">
        <f t="shared" si="63"/>
        <v>0</v>
      </c>
      <c r="AY140" s="70">
        <f t="shared" si="63"/>
        <v>0</v>
      </c>
      <c r="AZ140" s="70">
        <f t="shared" si="63"/>
        <v>0</v>
      </c>
      <c r="BA140" s="70">
        <f t="shared" si="63"/>
        <v>0</v>
      </c>
      <c r="BB140" s="70">
        <f t="shared" si="63"/>
        <v>0</v>
      </c>
      <c r="BC140" s="70">
        <f t="shared" si="63"/>
        <v>0</v>
      </c>
      <c r="BD140" s="70">
        <f t="shared" si="63"/>
        <v>0</v>
      </c>
      <c r="BE140" s="70">
        <f t="shared" si="63"/>
        <v>0</v>
      </c>
      <c r="BF140" s="70">
        <f t="shared" si="63"/>
        <v>0</v>
      </c>
      <c r="BG140" s="70">
        <f t="shared" si="63"/>
        <v>0</v>
      </c>
      <c r="BH140" s="70">
        <f t="shared" si="63"/>
        <v>0</v>
      </c>
      <c r="BI140" s="70">
        <f t="shared" si="63"/>
        <v>0</v>
      </c>
      <c r="BJ140" s="70">
        <f t="shared" si="63"/>
        <v>0</v>
      </c>
      <c r="BK140" s="70">
        <f t="shared" si="63"/>
        <v>0</v>
      </c>
      <c r="BL140" s="70">
        <f t="shared" si="63"/>
        <v>0</v>
      </c>
      <c r="BM140" s="70">
        <f t="shared" si="63"/>
        <v>0</v>
      </c>
      <c r="BN140" s="70">
        <f t="shared" si="63"/>
        <v>0</v>
      </c>
      <c r="BO140" s="70">
        <f t="shared" si="63"/>
        <v>4500000</v>
      </c>
      <c r="BP140" s="70">
        <f t="shared" si="63"/>
        <v>4500000</v>
      </c>
      <c r="BQ140" s="70">
        <f t="shared" ref="BQ140:CI140" si="64">SUM(BQ137:BQ139)</f>
        <v>4500000</v>
      </c>
      <c r="BR140" s="70">
        <f t="shared" si="64"/>
        <v>0</v>
      </c>
      <c r="BS140" s="70">
        <f t="shared" si="64"/>
        <v>0</v>
      </c>
      <c r="BT140" s="70">
        <f t="shared" si="64"/>
        <v>0</v>
      </c>
      <c r="BU140" s="70">
        <f t="shared" si="64"/>
        <v>0</v>
      </c>
      <c r="BV140" s="70">
        <f t="shared" si="64"/>
        <v>0</v>
      </c>
      <c r="BW140" s="70">
        <f t="shared" si="64"/>
        <v>0</v>
      </c>
      <c r="BX140" s="70">
        <f t="shared" si="64"/>
        <v>0</v>
      </c>
      <c r="BY140" s="70">
        <f t="shared" si="64"/>
        <v>0</v>
      </c>
      <c r="BZ140" s="70">
        <f t="shared" si="64"/>
        <v>0</v>
      </c>
      <c r="CA140" s="70">
        <f t="shared" si="64"/>
        <v>0</v>
      </c>
      <c r="CB140" s="70">
        <f t="shared" si="64"/>
        <v>0</v>
      </c>
      <c r="CC140" s="70">
        <f t="shared" si="64"/>
        <v>0</v>
      </c>
      <c r="CD140" s="70">
        <f t="shared" si="64"/>
        <v>0</v>
      </c>
      <c r="CE140" s="70">
        <f t="shared" si="64"/>
        <v>0</v>
      </c>
      <c r="CF140" s="70">
        <f t="shared" si="64"/>
        <v>0</v>
      </c>
      <c r="CG140" s="70">
        <f t="shared" si="64"/>
        <v>0</v>
      </c>
      <c r="CH140" s="70">
        <f t="shared" si="64"/>
        <v>0</v>
      </c>
      <c r="CI140" s="70">
        <f t="shared" si="64"/>
        <v>0</v>
      </c>
      <c r="CJ140" s="408">
        <f t="shared" si="58"/>
        <v>4500000</v>
      </c>
      <c r="CK140" s="406">
        <f t="shared" si="59"/>
        <v>9941357</v>
      </c>
      <c r="CL140" s="406">
        <f t="shared" si="60"/>
        <v>9941357</v>
      </c>
    </row>
    <row r="141" spans="1:90" s="122" customFormat="1" ht="14.25" customHeight="1" x14ac:dyDescent="0.2">
      <c r="A141" s="119" t="s">
        <v>469</v>
      </c>
      <c r="B141" s="107" t="s">
        <v>422</v>
      </c>
      <c r="C141" s="112" t="s">
        <v>423</v>
      </c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71"/>
      <c r="CI141" s="515"/>
      <c r="CJ141" s="407">
        <f t="shared" si="58"/>
        <v>0</v>
      </c>
      <c r="CK141" s="72">
        <f t="shared" si="59"/>
        <v>0</v>
      </c>
      <c r="CL141" s="72">
        <f t="shared" si="60"/>
        <v>0</v>
      </c>
    </row>
    <row r="142" spans="1:90" s="122" customFormat="1" ht="14.25" customHeight="1" x14ac:dyDescent="0.2">
      <c r="A142" s="119" t="s">
        <v>470</v>
      </c>
      <c r="B142" s="107" t="s">
        <v>493</v>
      </c>
      <c r="C142" s="112" t="s">
        <v>494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220">
        <v>6256872</v>
      </c>
      <c r="CH142" s="398">
        <v>6781557</v>
      </c>
      <c r="CI142" s="517">
        <v>6781557</v>
      </c>
      <c r="CJ142" s="407">
        <f t="shared" si="58"/>
        <v>6256872</v>
      </c>
      <c r="CK142" s="72">
        <f t="shared" si="59"/>
        <v>6781557</v>
      </c>
      <c r="CL142" s="72">
        <f t="shared" si="60"/>
        <v>6781557</v>
      </c>
    </row>
    <row r="143" spans="1:90" s="122" customFormat="1" ht="14.25" customHeight="1" x14ac:dyDescent="0.2">
      <c r="A143" s="119" t="s">
        <v>471</v>
      </c>
      <c r="B143" s="107" t="s">
        <v>425</v>
      </c>
      <c r="C143" s="112" t="s">
        <v>426</v>
      </c>
      <c r="D143" s="69"/>
      <c r="E143" s="69"/>
      <c r="F143" s="69"/>
      <c r="G143" s="69">
        <v>48941000</v>
      </c>
      <c r="H143" s="69">
        <f>5450000*8.99+253334+503621</f>
        <v>49752455</v>
      </c>
      <c r="I143" s="69">
        <v>49752455</v>
      </c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>
        <f>42585920+949114</f>
        <v>43535034</v>
      </c>
      <c r="BP143" s="69">
        <f>43655020+3276650-2648871</f>
        <v>44282799</v>
      </c>
      <c r="BQ143" s="69">
        <v>44282799</v>
      </c>
      <c r="BR143" s="69">
        <v>26049610</v>
      </c>
      <c r="BS143" s="69">
        <f>14344000+18104430*0.7+219222+922240+7631456</f>
        <v>35790019</v>
      </c>
      <c r="BT143" s="69">
        <f>27355101+224694+8162317</f>
        <v>35742112</v>
      </c>
      <c r="BU143" s="69"/>
      <c r="BV143" s="69"/>
      <c r="BW143" s="69"/>
      <c r="BX143" s="121"/>
      <c r="BY143" s="121"/>
      <c r="BZ143" s="121"/>
      <c r="CA143" s="467"/>
      <c r="CB143" s="467"/>
      <c r="CC143" s="467"/>
      <c r="CD143" s="69"/>
      <c r="CE143" s="69"/>
      <c r="CF143" s="69"/>
      <c r="CG143" s="69"/>
      <c r="CH143" s="71"/>
      <c r="CI143" s="515"/>
      <c r="CJ143" s="407">
        <f t="shared" si="58"/>
        <v>118525644</v>
      </c>
      <c r="CK143" s="72">
        <f t="shared" si="59"/>
        <v>129825273</v>
      </c>
      <c r="CL143" s="72">
        <f t="shared" si="60"/>
        <v>129777366</v>
      </c>
    </row>
    <row r="144" spans="1:90" s="132" customFormat="1" ht="14.25" customHeight="1" x14ac:dyDescent="0.2">
      <c r="A144" s="119" t="s">
        <v>492</v>
      </c>
      <c r="B144" s="110" t="s">
        <v>428</v>
      </c>
      <c r="C144" s="113" t="s">
        <v>429</v>
      </c>
      <c r="D144" s="70">
        <f>SUM(D141:D143)</f>
        <v>0</v>
      </c>
      <c r="E144" s="70">
        <f t="shared" ref="E144:BP144" si="65">SUM(E141:E143)</f>
        <v>0</v>
      </c>
      <c r="F144" s="70">
        <f t="shared" si="65"/>
        <v>0</v>
      </c>
      <c r="G144" s="70">
        <f t="shared" si="65"/>
        <v>48941000</v>
      </c>
      <c r="H144" s="70">
        <f t="shared" si="65"/>
        <v>49752455</v>
      </c>
      <c r="I144" s="70">
        <f t="shared" si="65"/>
        <v>49752455</v>
      </c>
      <c r="J144" s="70">
        <f t="shared" si="65"/>
        <v>0</v>
      </c>
      <c r="K144" s="70">
        <f t="shared" si="65"/>
        <v>0</v>
      </c>
      <c r="L144" s="70">
        <f t="shared" si="65"/>
        <v>0</v>
      </c>
      <c r="M144" s="70">
        <f t="shared" si="65"/>
        <v>0</v>
      </c>
      <c r="N144" s="70">
        <f t="shared" si="65"/>
        <v>0</v>
      </c>
      <c r="O144" s="70">
        <f t="shared" si="65"/>
        <v>0</v>
      </c>
      <c r="P144" s="70">
        <f t="shared" si="65"/>
        <v>0</v>
      </c>
      <c r="Q144" s="70">
        <f t="shared" si="65"/>
        <v>0</v>
      </c>
      <c r="R144" s="70">
        <f t="shared" si="65"/>
        <v>0</v>
      </c>
      <c r="S144" s="70">
        <f t="shared" si="65"/>
        <v>0</v>
      </c>
      <c r="T144" s="70">
        <f t="shared" si="65"/>
        <v>0</v>
      </c>
      <c r="U144" s="70">
        <f t="shared" si="65"/>
        <v>0</v>
      </c>
      <c r="V144" s="70">
        <f t="shared" si="65"/>
        <v>0</v>
      </c>
      <c r="W144" s="70">
        <f t="shared" si="65"/>
        <v>0</v>
      </c>
      <c r="X144" s="70">
        <f t="shared" si="65"/>
        <v>0</v>
      </c>
      <c r="Y144" s="70">
        <f t="shared" si="65"/>
        <v>0</v>
      </c>
      <c r="Z144" s="70">
        <f t="shared" si="65"/>
        <v>0</v>
      </c>
      <c r="AA144" s="70">
        <f t="shared" si="65"/>
        <v>0</v>
      </c>
      <c r="AB144" s="70">
        <f t="shared" si="65"/>
        <v>0</v>
      </c>
      <c r="AC144" s="70">
        <f t="shared" si="65"/>
        <v>0</v>
      </c>
      <c r="AD144" s="70">
        <f t="shared" si="65"/>
        <v>0</v>
      </c>
      <c r="AE144" s="70">
        <f t="shared" si="65"/>
        <v>0</v>
      </c>
      <c r="AF144" s="70">
        <f t="shared" si="65"/>
        <v>0</v>
      </c>
      <c r="AG144" s="70">
        <f t="shared" si="65"/>
        <v>0</v>
      </c>
      <c r="AH144" s="70">
        <f t="shared" si="65"/>
        <v>0</v>
      </c>
      <c r="AI144" s="70">
        <f t="shared" si="65"/>
        <v>0</v>
      </c>
      <c r="AJ144" s="70">
        <f t="shared" si="65"/>
        <v>0</v>
      </c>
      <c r="AK144" s="70">
        <f t="shared" si="65"/>
        <v>0</v>
      </c>
      <c r="AL144" s="70">
        <f t="shared" si="65"/>
        <v>0</v>
      </c>
      <c r="AM144" s="70">
        <f t="shared" si="65"/>
        <v>0</v>
      </c>
      <c r="AN144" s="70">
        <f t="shared" si="65"/>
        <v>0</v>
      </c>
      <c r="AO144" s="70">
        <f t="shared" si="65"/>
        <v>0</v>
      </c>
      <c r="AP144" s="70">
        <f t="shared" si="65"/>
        <v>0</v>
      </c>
      <c r="AQ144" s="70">
        <f t="shared" si="65"/>
        <v>0</v>
      </c>
      <c r="AR144" s="70">
        <f t="shared" si="65"/>
        <v>0</v>
      </c>
      <c r="AS144" s="70">
        <f t="shared" si="65"/>
        <v>0</v>
      </c>
      <c r="AT144" s="70">
        <f t="shared" si="65"/>
        <v>0</v>
      </c>
      <c r="AU144" s="70">
        <f t="shared" si="65"/>
        <v>0</v>
      </c>
      <c r="AV144" s="70">
        <f t="shared" si="65"/>
        <v>0</v>
      </c>
      <c r="AW144" s="70">
        <f t="shared" si="65"/>
        <v>0</v>
      </c>
      <c r="AX144" s="70">
        <f t="shared" si="65"/>
        <v>0</v>
      </c>
      <c r="AY144" s="70">
        <f t="shared" si="65"/>
        <v>0</v>
      </c>
      <c r="AZ144" s="70">
        <f t="shared" si="65"/>
        <v>0</v>
      </c>
      <c r="BA144" s="70">
        <f t="shared" si="65"/>
        <v>0</v>
      </c>
      <c r="BB144" s="70">
        <f t="shared" si="65"/>
        <v>0</v>
      </c>
      <c r="BC144" s="70">
        <f t="shared" si="65"/>
        <v>0</v>
      </c>
      <c r="BD144" s="70">
        <f t="shared" si="65"/>
        <v>0</v>
      </c>
      <c r="BE144" s="70">
        <f t="shared" si="65"/>
        <v>0</v>
      </c>
      <c r="BF144" s="70">
        <f t="shared" si="65"/>
        <v>0</v>
      </c>
      <c r="BG144" s="70">
        <f t="shared" si="65"/>
        <v>0</v>
      </c>
      <c r="BH144" s="70">
        <f t="shared" si="65"/>
        <v>0</v>
      </c>
      <c r="BI144" s="70">
        <f t="shared" si="65"/>
        <v>0</v>
      </c>
      <c r="BJ144" s="70">
        <f t="shared" si="65"/>
        <v>0</v>
      </c>
      <c r="BK144" s="70">
        <f t="shared" si="65"/>
        <v>0</v>
      </c>
      <c r="BL144" s="70">
        <f t="shared" si="65"/>
        <v>0</v>
      </c>
      <c r="BM144" s="70">
        <f t="shared" si="65"/>
        <v>0</v>
      </c>
      <c r="BN144" s="70">
        <f t="shared" si="65"/>
        <v>0</v>
      </c>
      <c r="BO144" s="70">
        <f t="shared" si="65"/>
        <v>43535034</v>
      </c>
      <c r="BP144" s="70">
        <f t="shared" si="65"/>
        <v>44282799</v>
      </c>
      <c r="BQ144" s="70">
        <f t="shared" ref="BQ144:CI144" si="66">SUM(BQ141:BQ143)</f>
        <v>44282799</v>
      </c>
      <c r="BR144" s="70">
        <f t="shared" si="66"/>
        <v>26049610</v>
      </c>
      <c r="BS144" s="70">
        <f t="shared" si="66"/>
        <v>35790019</v>
      </c>
      <c r="BT144" s="70">
        <f t="shared" si="66"/>
        <v>35742112</v>
      </c>
      <c r="BU144" s="70">
        <f t="shared" si="66"/>
        <v>0</v>
      </c>
      <c r="BV144" s="70">
        <f t="shared" si="66"/>
        <v>0</v>
      </c>
      <c r="BW144" s="70">
        <f t="shared" si="66"/>
        <v>0</v>
      </c>
      <c r="BX144" s="70">
        <f t="shared" si="66"/>
        <v>0</v>
      </c>
      <c r="BY144" s="70">
        <f t="shared" si="66"/>
        <v>0</v>
      </c>
      <c r="BZ144" s="70">
        <f t="shared" si="66"/>
        <v>0</v>
      </c>
      <c r="CA144" s="70">
        <f t="shared" si="66"/>
        <v>0</v>
      </c>
      <c r="CB144" s="70">
        <f t="shared" si="66"/>
        <v>0</v>
      </c>
      <c r="CC144" s="70">
        <f t="shared" si="66"/>
        <v>0</v>
      </c>
      <c r="CD144" s="70">
        <f t="shared" si="66"/>
        <v>0</v>
      </c>
      <c r="CE144" s="70">
        <f t="shared" si="66"/>
        <v>0</v>
      </c>
      <c r="CF144" s="70">
        <f t="shared" si="66"/>
        <v>0</v>
      </c>
      <c r="CG144" s="70">
        <f t="shared" si="66"/>
        <v>6256872</v>
      </c>
      <c r="CH144" s="70">
        <f t="shared" si="66"/>
        <v>6781557</v>
      </c>
      <c r="CI144" s="70">
        <f t="shared" si="66"/>
        <v>6781557</v>
      </c>
      <c r="CJ144" s="408">
        <f t="shared" si="58"/>
        <v>124782516</v>
      </c>
      <c r="CK144" s="406">
        <f t="shared" si="59"/>
        <v>136606830</v>
      </c>
      <c r="CL144" s="406">
        <f t="shared" si="60"/>
        <v>136558923</v>
      </c>
    </row>
    <row r="145" spans="1:91" s="132" customFormat="1" ht="18.75" customHeight="1" x14ac:dyDescent="0.2">
      <c r="A145" s="119" t="s">
        <v>612</v>
      </c>
      <c r="B145" s="110" t="s">
        <v>431</v>
      </c>
      <c r="C145" s="113" t="s">
        <v>432</v>
      </c>
      <c r="D145" s="70">
        <f t="shared" ref="D145:BO145" si="67">D82+D88+D115+D117+D125+D131+D136+D140+D144</f>
        <v>0</v>
      </c>
      <c r="E145" s="70">
        <f t="shared" si="67"/>
        <v>0</v>
      </c>
      <c r="F145" s="70">
        <f t="shared" si="67"/>
        <v>0</v>
      </c>
      <c r="G145" s="70">
        <f t="shared" si="67"/>
        <v>75533803.924999997</v>
      </c>
      <c r="H145" s="70">
        <f t="shared" si="67"/>
        <v>66978899.100000001</v>
      </c>
      <c r="I145" s="70">
        <f t="shared" si="67"/>
        <v>61200247</v>
      </c>
      <c r="J145" s="70">
        <f t="shared" si="67"/>
        <v>850900</v>
      </c>
      <c r="K145" s="70">
        <f t="shared" si="67"/>
        <v>1158545</v>
      </c>
      <c r="L145" s="70">
        <f t="shared" si="67"/>
        <v>1039027</v>
      </c>
      <c r="M145" s="70">
        <f t="shared" si="67"/>
        <v>79210000</v>
      </c>
      <c r="N145" s="70">
        <f t="shared" si="67"/>
        <v>200898525.14000002</v>
      </c>
      <c r="O145" s="70">
        <f t="shared" si="67"/>
        <v>64409270</v>
      </c>
      <c r="P145" s="70">
        <f t="shared" si="67"/>
        <v>627000</v>
      </c>
      <c r="Q145" s="70">
        <f t="shared" si="67"/>
        <v>1028600</v>
      </c>
      <c r="R145" s="70">
        <f t="shared" si="67"/>
        <v>1014284</v>
      </c>
      <c r="S145" s="70">
        <f t="shared" si="67"/>
        <v>11131478.960000001</v>
      </c>
      <c r="T145" s="70">
        <f t="shared" si="67"/>
        <v>9159850.2300000004</v>
      </c>
      <c r="U145" s="70">
        <f t="shared" si="67"/>
        <v>9036963</v>
      </c>
      <c r="V145" s="70">
        <f t="shared" si="67"/>
        <v>63500</v>
      </c>
      <c r="W145" s="70">
        <f t="shared" si="67"/>
        <v>3457560</v>
      </c>
      <c r="X145" s="70">
        <f t="shared" si="67"/>
        <v>3344190</v>
      </c>
      <c r="Y145" s="70">
        <f t="shared" si="67"/>
        <v>0</v>
      </c>
      <c r="Z145" s="70">
        <f t="shared" si="67"/>
        <v>0</v>
      </c>
      <c r="AA145" s="70">
        <f t="shared" si="67"/>
        <v>0</v>
      </c>
      <c r="AB145" s="70">
        <f t="shared" si="67"/>
        <v>6096000</v>
      </c>
      <c r="AC145" s="70">
        <f t="shared" si="67"/>
        <v>5660120</v>
      </c>
      <c r="AD145" s="70">
        <f t="shared" si="67"/>
        <v>4670286</v>
      </c>
      <c r="AE145" s="70">
        <f t="shared" si="67"/>
        <v>0</v>
      </c>
      <c r="AF145" s="70">
        <f t="shared" si="67"/>
        <v>34549231</v>
      </c>
      <c r="AG145" s="70">
        <f t="shared" si="67"/>
        <v>3518948</v>
      </c>
      <c r="AH145" s="70">
        <f t="shared" si="67"/>
        <v>21609062</v>
      </c>
      <c r="AI145" s="70">
        <f t="shared" si="67"/>
        <v>43588370.197499998</v>
      </c>
      <c r="AJ145" s="70">
        <f t="shared" si="67"/>
        <v>41859681</v>
      </c>
      <c r="AK145" s="70">
        <f t="shared" si="67"/>
        <v>704850</v>
      </c>
      <c r="AL145" s="70">
        <f t="shared" si="67"/>
        <v>13052440.625</v>
      </c>
      <c r="AM145" s="70">
        <f t="shared" si="67"/>
        <v>12095217</v>
      </c>
      <c r="AN145" s="70">
        <f t="shared" si="67"/>
        <v>3438605</v>
      </c>
      <c r="AO145" s="70">
        <f t="shared" si="67"/>
        <v>3502400</v>
      </c>
      <c r="AP145" s="70">
        <f t="shared" si="67"/>
        <v>3474608</v>
      </c>
      <c r="AQ145" s="70">
        <f t="shared" si="67"/>
        <v>110000</v>
      </c>
      <c r="AR145" s="70">
        <f t="shared" si="67"/>
        <v>202400</v>
      </c>
      <c r="AS145" s="70">
        <f t="shared" si="67"/>
        <v>202400</v>
      </c>
      <c r="AT145" s="70">
        <f t="shared" si="67"/>
        <v>7253160.5499999998</v>
      </c>
      <c r="AU145" s="70">
        <f t="shared" si="67"/>
        <v>8327824.9500000002</v>
      </c>
      <c r="AV145" s="70">
        <f t="shared" si="67"/>
        <v>7773992</v>
      </c>
      <c r="AW145" s="70">
        <f t="shared" si="67"/>
        <v>175200</v>
      </c>
      <c r="AX145" s="70">
        <f t="shared" si="67"/>
        <v>175200</v>
      </c>
      <c r="AY145" s="70">
        <f t="shared" si="67"/>
        <v>175200</v>
      </c>
      <c r="AZ145" s="70">
        <f t="shared" si="67"/>
        <v>2939800</v>
      </c>
      <c r="BA145" s="70">
        <f t="shared" si="67"/>
        <v>2961670</v>
      </c>
      <c r="BB145" s="70">
        <f t="shared" si="67"/>
        <v>2565300</v>
      </c>
      <c r="BC145" s="70">
        <f t="shared" si="67"/>
        <v>277800</v>
      </c>
      <c r="BD145" s="70">
        <f t="shared" si="67"/>
        <v>277800</v>
      </c>
      <c r="BE145" s="70">
        <f t="shared" si="67"/>
        <v>276000</v>
      </c>
      <c r="BF145" s="70">
        <f t="shared" si="67"/>
        <v>32075000.059999999</v>
      </c>
      <c r="BG145" s="70">
        <f t="shared" si="67"/>
        <v>30680000.379999999</v>
      </c>
      <c r="BH145" s="70">
        <f t="shared" si="67"/>
        <v>531988</v>
      </c>
      <c r="BI145" s="70">
        <f t="shared" si="67"/>
        <v>18153126.25</v>
      </c>
      <c r="BJ145" s="70">
        <f t="shared" si="67"/>
        <v>15090484.75</v>
      </c>
      <c r="BK145" s="70">
        <f t="shared" si="67"/>
        <v>11493467</v>
      </c>
      <c r="BL145" s="70">
        <f t="shared" si="67"/>
        <v>3000000</v>
      </c>
      <c r="BM145" s="70">
        <f t="shared" si="67"/>
        <v>4950000</v>
      </c>
      <c r="BN145" s="70">
        <f t="shared" si="67"/>
        <v>4950000</v>
      </c>
      <c r="BO145" s="70">
        <f t="shared" si="67"/>
        <v>48543034</v>
      </c>
      <c r="BP145" s="70">
        <f t="shared" ref="BP145:CI145" si="68">BP82+BP88+BP115+BP117+BP125+BP131+BP136+BP140+BP144</f>
        <v>52001749</v>
      </c>
      <c r="BQ145" s="70">
        <f t="shared" si="68"/>
        <v>51949768</v>
      </c>
      <c r="BR145" s="70">
        <f t="shared" si="68"/>
        <v>26049610</v>
      </c>
      <c r="BS145" s="70">
        <f t="shared" si="68"/>
        <v>36189039</v>
      </c>
      <c r="BT145" s="70">
        <f t="shared" si="68"/>
        <v>36096895</v>
      </c>
      <c r="BU145" s="70">
        <f t="shared" si="68"/>
        <v>4148310.9</v>
      </c>
      <c r="BV145" s="70">
        <f t="shared" si="68"/>
        <v>4924813.8819999993</v>
      </c>
      <c r="BW145" s="70">
        <f t="shared" si="68"/>
        <v>5081730</v>
      </c>
      <c r="BX145" s="70">
        <f t="shared" si="68"/>
        <v>25645755</v>
      </c>
      <c r="BY145" s="70">
        <f t="shared" si="68"/>
        <v>28647632</v>
      </c>
      <c r="BZ145" s="70">
        <f t="shared" si="68"/>
        <v>28116765</v>
      </c>
      <c r="CA145" s="70">
        <f t="shared" si="68"/>
        <v>14192059</v>
      </c>
      <c r="CB145" s="70">
        <f t="shared" si="68"/>
        <v>18592756</v>
      </c>
      <c r="CC145" s="70">
        <f t="shared" si="68"/>
        <v>17733537</v>
      </c>
      <c r="CD145" s="70">
        <f t="shared" si="68"/>
        <v>999009</v>
      </c>
      <c r="CE145" s="70">
        <f t="shared" si="68"/>
        <v>1182486</v>
      </c>
      <c r="CF145" s="70">
        <f t="shared" si="68"/>
        <v>900976.5</v>
      </c>
      <c r="CG145" s="70">
        <f t="shared" si="68"/>
        <v>6256872</v>
      </c>
      <c r="CH145" s="70">
        <f t="shared" si="68"/>
        <v>15569014</v>
      </c>
      <c r="CI145" s="70">
        <f t="shared" si="68"/>
        <v>6781557</v>
      </c>
      <c r="CJ145" s="408">
        <f t="shared" si="58"/>
        <v>389083936.64499998</v>
      </c>
      <c r="CK145" s="406">
        <f t="shared" si="59"/>
        <v>602807411.25450003</v>
      </c>
      <c r="CL145" s="406">
        <f t="shared" si="60"/>
        <v>380292296.5</v>
      </c>
      <c r="CM145" s="136"/>
    </row>
    <row r="146" spans="1:91" ht="16.5" customHeight="1" x14ac:dyDescent="0.2">
      <c r="A146" s="119" t="s">
        <v>770</v>
      </c>
      <c r="B146" s="119"/>
      <c r="C146" s="129" t="s">
        <v>434</v>
      </c>
      <c r="D146" s="76"/>
      <c r="E146" s="76"/>
      <c r="F146" s="76"/>
      <c r="G146" s="76">
        <v>1</v>
      </c>
      <c r="H146" s="76">
        <v>1</v>
      </c>
      <c r="I146" s="76">
        <v>1</v>
      </c>
      <c r="J146" s="76"/>
      <c r="K146" s="76"/>
      <c r="L146" s="76"/>
      <c r="M146" s="76"/>
      <c r="N146" s="76"/>
      <c r="O146" s="76"/>
      <c r="P146" s="76"/>
      <c r="Q146" s="76"/>
      <c r="R146" s="76"/>
      <c r="S146" s="76">
        <v>8</v>
      </c>
      <c r="T146" s="76">
        <v>7</v>
      </c>
      <c r="U146" s="76">
        <v>6</v>
      </c>
      <c r="V146" s="76"/>
      <c r="W146" s="76"/>
      <c r="X146" s="76"/>
      <c r="Y146" s="76"/>
      <c r="Z146" s="76"/>
      <c r="AA146" s="76"/>
      <c r="AB146" s="76"/>
      <c r="AC146" s="76"/>
      <c r="AD146" s="76"/>
      <c r="AE146" s="77"/>
      <c r="AF146" s="508"/>
      <c r="AG146" s="508"/>
      <c r="AH146" s="77">
        <v>6</v>
      </c>
      <c r="AI146" s="77">
        <v>6</v>
      </c>
      <c r="AJ146" s="77">
        <v>4</v>
      </c>
      <c r="AK146" s="76"/>
      <c r="AL146" s="466">
        <v>2.2000000000000002</v>
      </c>
      <c r="AM146" s="466">
        <v>1</v>
      </c>
      <c r="AN146" s="76"/>
      <c r="AO146" s="76"/>
      <c r="AP146" s="76"/>
      <c r="AQ146" s="76"/>
      <c r="AR146" s="76"/>
      <c r="AS146" s="76"/>
      <c r="AT146" s="76">
        <v>1</v>
      </c>
      <c r="AU146" s="466">
        <v>1.2</v>
      </c>
      <c r="AV146" s="466">
        <v>1</v>
      </c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7">
        <v>1</v>
      </c>
      <c r="BJ146" s="77">
        <v>1</v>
      </c>
      <c r="BK146" s="77">
        <v>1</v>
      </c>
      <c r="BL146" s="76"/>
      <c r="BM146" s="76"/>
      <c r="BN146" s="76"/>
      <c r="BO146" s="76"/>
      <c r="BP146" s="76"/>
      <c r="BQ146" s="76"/>
      <c r="BR146" s="76"/>
      <c r="BS146" s="76"/>
      <c r="BT146" s="76"/>
      <c r="BU146" s="76">
        <v>1</v>
      </c>
      <c r="BV146" s="76">
        <v>1</v>
      </c>
      <c r="BW146" s="76">
        <v>1</v>
      </c>
      <c r="BX146" s="77"/>
      <c r="BY146" s="77"/>
      <c r="BZ146" s="77"/>
      <c r="CA146" s="77"/>
      <c r="CB146" s="77"/>
      <c r="CC146" s="77"/>
      <c r="CD146" s="76"/>
      <c r="CE146" s="76"/>
      <c r="CF146" s="76"/>
      <c r="CG146" s="76"/>
      <c r="CH146" s="76"/>
      <c r="CI146" s="469"/>
      <c r="CJ146" s="469">
        <f t="shared" si="58"/>
        <v>18</v>
      </c>
      <c r="CK146" s="466">
        <f t="shared" si="59"/>
        <v>19.399999999999999</v>
      </c>
      <c r="CL146" s="76">
        <f t="shared" si="60"/>
        <v>15</v>
      </c>
    </row>
    <row r="147" spans="1:91" x14ac:dyDescent="0.2"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509"/>
      <c r="AG147" s="509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78"/>
      <c r="CI147" s="78"/>
      <c r="CJ147" s="284"/>
      <c r="CK147" s="284"/>
      <c r="CL147" s="284"/>
    </row>
    <row r="148" spans="1:91" s="138" customFormat="1" ht="24.75" customHeight="1" x14ac:dyDescent="0.2">
      <c r="A148" s="137"/>
      <c r="B148" s="130"/>
      <c r="C148" s="79" t="s">
        <v>435</v>
      </c>
      <c r="D148" s="70">
        <f t="shared" ref="D148:BO148" si="69">D59</f>
        <v>89150000</v>
      </c>
      <c r="E148" s="70">
        <f t="shared" si="69"/>
        <v>81814470</v>
      </c>
      <c r="F148" s="70">
        <f t="shared" si="69"/>
        <v>77438918</v>
      </c>
      <c r="G148" s="70">
        <f t="shared" si="69"/>
        <v>124046756</v>
      </c>
      <c r="H148" s="70">
        <f t="shared" si="69"/>
        <v>142017386</v>
      </c>
      <c r="I148" s="70">
        <f t="shared" si="69"/>
        <v>140282043</v>
      </c>
      <c r="J148" s="70">
        <f t="shared" si="69"/>
        <v>1415228</v>
      </c>
      <c r="K148" s="70">
        <f t="shared" si="69"/>
        <v>1405228</v>
      </c>
      <c r="L148" s="70">
        <f t="shared" si="69"/>
        <v>1381228</v>
      </c>
      <c r="M148" s="70">
        <f t="shared" si="69"/>
        <v>1000000</v>
      </c>
      <c r="N148" s="70">
        <f t="shared" si="69"/>
        <v>126436276</v>
      </c>
      <c r="O148" s="70">
        <f t="shared" si="69"/>
        <v>99097242</v>
      </c>
      <c r="P148" s="70">
        <f t="shared" si="69"/>
        <v>0</v>
      </c>
      <c r="Q148" s="70">
        <f t="shared" si="69"/>
        <v>0</v>
      </c>
      <c r="R148" s="70">
        <f t="shared" si="69"/>
        <v>0</v>
      </c>
      <c r="S148" s="70">
        <f t="shared" si="69"/>
        <v>11131479</v>
      </c>
      <c r="T148" s="70">
        <f t="shared" si="69"/>
        <v>8947668</v>
      </c>
      <c r="U148" s="70">
        <f t="shared" si="69"/>
        <v>8947638</v>
      </c>
      <c r="V148" s="70">
        <f t="shared" si="69"/>
        <v>2887440</v>
      </c>
      <c r="W148" s="70">
        <f t="shared" si="69"/>
        <v>2887440</v>
      </c>
      <c r="X148" s="70">
        <f t="shared" si="69"/>
        <v>2887440</v>
      </c>
      <c r="Y148" s="70">
        <f t="shared" si="69"/>
        <v>20000</v>
      </c>
      <c r="Z148" s="70">
        <f t="shared" si="69"/>
        <v>63500</v>
      </c>
      <c r="AA148" s="70">
        <f t="shared" si="69"/>
        <v>22200</v>
      </c>
      <c r="AB148" s="70">
        <f t="shared" si="69"/>
        <v>1318549</v>
      </c>
      <c r="AC148" s="70">
        <f t="shared" si="69"/>
        <v>1318549</v>
      </c>
      <c r="AD148" s="70">
        <f t="shared" si="69"/>
        <v>1318549</v>
      </c>
      <c r="AE148" s="70">
        <f t="shared" si="69"/>
        <v>0</v>
      </c>
      <c r="AF148" s="70">
        <f t="shared" si="69"/>
        <v>34549231</v>
      </c>
      <c r="AG148" s="70">
        <f t="shared" si="69"/>
        <v>34549231</v>
      </c>
      <c r="AH148" s="70">
        <f t="shared" si="69"/>
        <v>1038000</v>
      </c>
      <c r="AI148" s="70">
        <f t="shared" si="69"/>
        <v>2325201</v>
      </c>
      <c r="AJ148" s="70">
        <f t="shared" si="69"/>
        <v>1385984</v>
      </c>
      <c r="AK148" s="70">
        <f t="shared" si="69"/>
        <v>0</v>
      </c>
      <c r="AL148" s="70">
        <f t="shared" si="69"/>
        <v>12680200</v>
      </c>
      <c r="AM148" s="70">
        <f t="shared" si="69"/>
        <v>12680200</v>
      </c>
      <c r="AN148" s="70">
        <f t="shared" si="69"/>
        <v>0</v>
      </c>
      <c r="AO148" s="70">
        <f t="shared" si="69"/>
        <v>0</v>
      </c>
      <c r="AP148" s="70">
        <f t="shared" si="69"/>
        <v>0</v>
      </c>
      <c r="AQ148" s="70">
        <f t="shared" si="69"/>
        <v>0</v>
      </c>
      <c r="AR148" s="70">
        <f t="shared" si="69"/>
        <v>0</v>
      </c>
      <c r="AS148" s="70">
        <f t="shared" si="69"/>
        <v>0</v>
      </c>
      <c r="AT148" s="70">
        <f t="shared" si="69"/>
        <v>6202800</v>
      </c>
      <c r="AU148" s="70">
        <f t="shared" si="69"/>
        <v>6898800</v>
      </c>
      <c r="AV148" s="70">
        <f t="shared" si="69"/>
        <v>6898800</v>
      </c>
      <c r="AW148" s="70">
        <f t="shared" si="69"/>
        <v>175200</v>
      </c>
      <c r="AX148" s="70">
        <f t="shared" si="69"/>
        <v>175200</v>
      </c>
      <c r="AY148" s="70">
        <f t="shared" si="69"/>
        <v>175200</v>
      </c>
      <c r="AZ148" s="70">
        <f t="shared" si="69"/>
        <v>0</v>
      </c>
      <c r="BA148" s="70">
        <f t="shared" si="69"/>
        <v>0</v>
      </c>
      <c r="BB148" s="70">
        <f t="shared" si="69"/>
        <v>0</v>
      </c>
      <c r="BC148" s="70">
        <f t="shared" si="69"/>
        <v>0</v>
      </c>
      <c r="BD148" s="70">
        <f t="shared" si="69"/>
        <v>0</v>
      </c>
      <c r="BE148" s="70">
        <f t="shared" si="69"/>
        <v>0</v>
      </c>
      <c r="BF148" s="70">
        <f t="shared" si="69"/>
        <v>30680000</v>
      </c>
      <c r="BG148" s="70">
        <f t="shared" si="69"/>
        <v>30680000</v>
      </c>
      <c r="BH148" s="70">
        <f t="shared" si="69"/>
        <v>30680000</v>
      </c>
      <c r="BI148" s="70">
        <f t="shared" si="69"/>
        <v>4577044</v>
      </c>
      <c r="BJ148" s="70">
        <f t="shared" si="69"/>
        <v>4355964</v>
      </c>
      <c r="BK148" s="70">
        <f t="shared" si="69"/>
        <v>4295534</v>
      </c>
      <c r="BL148" s="70">
        <f t="shared" si="69"/>
        <v>0</v>
      </c>
      <c r="BM148" s="70">
        <f t="shared" si="69"/>
        <v>0</v>
      </c>
      <c r="BN148" s="70">
        <f t="shared" si="69"/>
        <v>0</v>
      </c>
      <c r="BO148" s="70">
        <f t="shared" si="69"/>
        <v>42585920</v>
      </c>
      <c r="BP148" s="70">
        <f t="shared" ref="BP148:CL148" si="70">BP59</f>
        <v>46931670</v>
      </c>
      <c r="BQ148" s="70">
        <f t="shared" si="70"/>
        <v>46931670</v>
      </c>
      <c r="BR148" s="70">
        <f t="shared" si="70"/>
        <v>22549824</v>
      </c>
      <c r="BS148" s="70">
        <f t="shared" si="70"/>
        <v>28760563</v>
      </c>
      <c r="BT148" s="70">
        <f t="shared" si="70"/>
        <v>28760563</v>
      </c>
      <c r="BU148" s="70">
        <f t="shared" si="70"/>
        <v>4148311</v>
      </c>
      <c r="BV148" s="70">
        <f t="shared" si="70"/>
        <v>4629803.53</v>
      </c>
      <c r="BW148" s="70">
        <f t="shared" si="70"/>
        <v>5075008</v>
      </c>
      <c r="BX148" s="70">
        <f t="shared" si="70"/>
        <v>25645755</v>
      </c>
      <c r="BY148" s="70">
        <f t="shared" si="70"/>
        <v>32524532</v>
      </c>
      <c r="BZ148" s="70">
        <f t="shared" si="70"/>
        <v>32374653</v>
      </c>
      <c r="CA148" s="70">
        <f t="shared" si="70"/>
        <v>14192059</v>
      </c>
      <c r="CB148" s="70">
        <f t="shared" si="70"/>
        <v>17717805</v>
      </c>
      <c r="CC148" s="70">
        <f t="shared" si="70"/>
        <v>17422480</v>
      </c>
      <c r="CD148" s="70">
        <f t="shared" si="70"/>
        <v>62700</v>
      </c>
      <c r="CE148" s="70">
        <f t="shared" si="70"/>
        <v>78700</v>
      </c>
      <c r="CF148" s="70">
        <f t="shared" si="70"/>
        <v>78429</v>
      </c>
      <c r="CG148" s="70">
        <f t="shared" si="70"/>
        <v>6256872</v>
      </c>
      <c r="CH148" s="70">
        <f t="shared" si="70"/>
        <v>15609225</v>
      </c>
      <c r="CI148" s="70">
        <f t="shared" si="70"/>
        <v>15609225</v>
      </c>
      <c r="CJ148" s="70">
        <f t="shared" si="70"/>
        <v>389083937</v>
      </c>
      <c r="CK148" s="70">
        <f t="shared" si="70"/>
        <v>602807411.52999997</v>
      </c>
      <c r="CL148" s="70">
        <f t="shared" si="70"/>
        <v>568292235</v>
      </c>
    </row>
    <row r="149" spans="1:91" s="138" customFormat="1" ht="24.75" customHeight="1" x14ac:dyDescent="0.2">
      <c r="A149" s="137"/>
      <c r="B149" s="130"/>
      <c r="C149" s="79" t="s">
        <v>436</v>
      </c>
      <c r="D149" s="70">
        <f>D145</f>
        <v>0</v>
      </c>
      <c r="E149" s="70">
        <f t="shared" ref="E149:BP149" si="71">E145</f>
        <v>0</v>
      </c>
      <c r="F149" s="70">
        <f t="shared" si="71"/>
        <v>0</v>
      </c>
      <c r="G149" s="70">
        <f t="shared" si="71"/>
        <v>75533803.924999997</v>
      </c>
      <c r="H149" s="70">
        <f t="shared" si="71"/>
        <v>66978899.100000001</v>
      </c>
      <c r="I149" s="70">
        <f t="shared" si="71"/>
        <v>61200247</v>
      </c>
      <c r="J149" s="70">
        <f t="shared" si="71"/>
        <v>850900</v>
      </c>
      <c r="K149" s="70">
        <f t="shared" si="71"/>
        <v>1158545</v>
      </c>
      <c r="L149" s="70">
        <f t="shared" si="71"/>
        <v>1039027</v>
      </c>
      <c r="M149" s="70">
        <f t="shared" si="71"/>
        <v>79210000</v>
      </c>
      <c r="N149" s="70">
        <f t="shared" si="71"/>
        <v>200898525.14000002</v>
      </c>
      <c r="O149" s="70">
        <f t="shared" si="71"/>
        <v>64409270</v>
      </c>
      <c r="P149" s="70">
        <f t="shared" si="71"/>
        <v>627000</v>
      </c>
      <c r="Q149" s="70">
        <f t="shared" si="71"/>
        <v>1028600</v>
      </c>
      <c r="R149" s="70">
        <f t="shared" si="71"/>
        <v>1014284</v>
      </c>
      <c r="S149" s="70">
        <f t="shared" si="71"/>
        <v>11131478.960000001</v>
      </c>
      <c r="T149" s="70">
        <f t="shared" si="71"/>
        <v>9159850.2300000004</v>
      </c>
      <c r="U149" s="70">
        <f t="shared" si="71"/>
        <v>9036963</v>
      </c>
      <c r="V149" s="70">
        <f t="shared" si="71"/>
        <v>63500</v>
      </c>
      <c r="W149" s="70">
        <f t="shared" si="71"/>
        <v>3457560</v>
      </c>
      <c r="X149" s="70">
        <f t="shared" si="71"/>
        <v>3344190</v>
      </c>
      <c r="Y149" s="70">
        <f t="shared" si="71"/>
        <v>0</v>
      </c>
      <c r="Z149" s="70">
        <f t="shared" si="71"/>
        <v>0</v>
      </c>
      <c r="AA149" s="70">
        <f t="shared" si="71"/>
        <v>0</v>
      </c>
      <c r="AB149" s="70">
        <f t="shared" si="71"/>
        <v>6096000</v>
      </c>
      <c r="AC149" s="70">
        <f t="shared" si="71"/>
        <v>5660120</v>
      </c>
      <c r="AD149" s="70">
        <f t="shared" si="71"/>
        <v>4670286</v>
      </c>
      <c r="AE149" s="70">
        <f t="shared" si="71"/>
        <v>0</v>
      </c>
      <c r="AF149" s="70">
        <f t="shared" si="71"/>
        <v>34549231</v>
      </c>
      <c r="AG149" s="70">
        <f t="shared" si="71"/>
        <v>3518948</v>
      </c>
      <c r="AH149" s="70">
        <f t="shared" si="71"/>
        <v>21609062</v>
      </c>
      <c r="AI149" s="70">
        <f t="shared" si="71"/>
        <v>43588370.197499998</v>
      </c>
      <c r="AJ149" s="70">
        <f t="shared" si="71"/>
        <v>41859681</v>
      </c>
      <c r="AK149" s="70">
        <f t="shared" si="71"/>
        <v>704850</v>
      </c>
      <c r="AL149" s="70">
        <f t="shared" si="71"/>
        <v>13052440.625</v>
      </c>
      <c r="AM149" s="70">
        <f t="shared" si="71"/>
        <v>12095217</v>
      </c>
      <c r="AN149" s="70">
        <f t="shared" si="71"/>
        <v>3438605</v>
      </c>
      <c r="AO149" s="70">
        <f t="shared" si="71"/>
        <v>3502400</v>
      </c>
      <c r="AP149" s="70">
        <f t="shared" si="71"/>
        <v>3474608</v>
      </c>
      <c r="AQ149" s="70">
        <f t="shared" si="71"/>
        <v>110000</v>
      </c>
      <c r="AR149" s="70">
        <f t="shared" si="71"/>
        <v>202400</v>
      </c>
      <c r="AS149" s="70">
        <f t="shared" si="71"/>
        <v>202400</v>
      </c>
      <c r="AT149" s="70">
        <f t="shared" si="71"/>
        <v>7253160.5499999998</v>
      </c>
      <c r="AU149" s="70">
        <f t="shared" si="71"/>
        <v>8327824.9500000002</v>
      </c>
      <c r="AV149" s="70">
        <f t="shared" si="71"/>
        <v>7773992</v>
      </c>
      <c r="AW149" s="70">
        <f t="shared" si="71"/>
        <v>175200</v>
      </c>
      <c r="AX149" s="70">
        <f t="shared" si="71"/>
        <v>175200</v>
      </c>
      <c r="AY149" s="70">
        <f t="shared" si="71"/>
        <v>175200</v>
      </c>
      <c r="AZ149" s="70">
        <f t="shared" si="71"/>
        <v>2939800</v>
      </c>
      <c r="BA149" s="70">
        <f t="shared" si="71"/>
        <v>2961670</v>
      </c>
      <c r="BB149" s="70">
        <f t="shared" si="71"/>
        <v>2565300</v>
      </c>
      <c r="BC149" s="70">
        <f t="shared" si="71"/>
        <v>277800</v>
      </c>
      <c r="BD149" s="70">
        <f t="shared" si="71"/>
        <v>277800</v>
      </c>
      <c r="BE149" s="70">
        <f t="shared" si="71"/>
        <v>276000</v>
      </c>
      <c r="BF149" s="70">
        <f t="shared" si="71"/>
        <v>32075000.059999999</v>
      </c>
      <c r="BG149" s="70">
        <f t="shared" si="71"/>
        <v>30680000.379999999</v>
      </c>
      <c r="BH149" s="70">
        <f t="shared" si="71"/>
        <v>531988</v>
      </c>
      <c r="BI149" s="70">
        <f t="shared" si="71"/>
        <v>18153126.25</v>
      </c>
      <c r="BJ149" s="70">
        <f t="shared" si="71"/>
        <v>15090484.75</v>
      </c>
      <c r="BK149" s="70">
        <f t="shared" si="71"/>
        <v>11493467</v>
      </c>
      <c r="BL149" s="70">
        <f t="shared" si="71"/>
        <v>3000000</v>
      </c>
      <c r="BM149" s="70">
        <f t="shared" si="71"/>
        <v>4950000</v>
      </c>
      <c r="BN149" s="70">
        <f t="shared" si="71"/>
        <v>4950000</v>
      </c>
      <c r="BO149" s="70">
        <f t="shared" si="71"/>
        <v>48543034</v>
      </c>
      <c r="BP149" s="70">
        <f t="shared" si="71"/>
        <v>52001749</v>
      </c>
      <c r="BQ149" s="70">
        <f t="shared" ref="BQ149:CL149" si="72">BQ145</f>
        <v>51949768</v>
      </c>
      <c r="BR149" s="70">
        <f t="shared" si="72"/>
        <v>26049610</v>
      </c>
      <c r="BS149" s="70">
        <f t="shared" si="72"/>
        <v>36189039</v>
      </c>
      <c r="BT149" s="70">
        <f t="shared" si="72"/>
        <v>36096895</v>
      </c>
      <c r="BU149" s="70">
        <f t="shared" si="72"/>
        <v>4148310.9</v>
      </c>
      <c r="BV149" s="70">
        <f t="shared" si="72"/>
        <v>4924813.8819999993</v>
      </c>
      <c r="BW149" s="70">
        <f t="shared" si="72"/>
        <v>5081730</v>
      </c>
      <c r="BX149" s="70">
        <f t="shared" si="72"/>
        <v>25645755</v>
      </c>
      <c r="BY149" s="70">
        <f t="shared" si="72"/>
        <v>28647632</v>
      </c>
      <c r="BZ149" s="70">
        <f t="shared" si="72"/>
        <v>28116765</v>
      </c>
      <c r="CA149" s="70">
        <f t="shared" si="72"/>
        <v>14192059</v>
      </c>
      <c r="CB149" s="70">
        <f t="shared" si="72"/>
        <v>18592756</v>
      </c>
      <c r="CC149" s="70">
        <f t="shared" si="72"/>
        <v>17733537</v>
      </c>
      <c r="CD149" s="70">
        <f t="shared" si="72"/>
        <v>999009</v>
      </c>
      <c r="CE149" s="70">
        <f t="shared" si="72"/>
        <v>1182486</v>
      </c>
      <c r="CF149" s="70">
        <f t="shared" si="72"/>
        <v>900976.5</v>
      </c>
      <c r="CG149" s="70">
        <f t="shared" si="72"/>
        <v>6256872</v>
      </c>
      <c r="CH149" s="70">
        <f t="shared" si="72"/>
        <v>15569014</v>
      </c>
      <c r="CI149" s="70">
        <f t="shared" si="72"/>
        <v>6781557</v>
      </c>
      <c r="CJ149" s="70">
        <f t="shared" si="72"/>
        <v>389083936.64499998</v>
      </c>
      <c r="CK149" s="70">
        <f t="shared" si="72"/>
        <v>602807411.25450003</v>
      </c>
      <c r="CL149" s="70">
        <f t="shared" si="72"/>
        <v>380292296.5</v>
      </c>
    </row>
    <row r="150" spans="1:91" ht="24.75" customHeight="1" x14ac:dyDescent="0.2">
      <c r="A150" s="119"/>
      <c r="B150" s="80"/>
      <c r="C150" s="80" t="s">
        <v>437</v>
      </c>
      <c r="D150" s="69">
        <f>D148-D149</f>
        <v>89150000</v>
      </c>
      <c r="E150" s="69">
        <f t="shared" ref="E150:BP150" si="73">E148-E149</f>
        <v>81814470</v>
      </c>
      <c r="F150" s="69">
        <f t="shared" si="73"/>
        <v>77438918</v>
      </c>
      <c r="G150" s="69">
        <f t="shared" si="73"/>
        <v>48512952.075000003</v>
      </c>
      <c r="H150" s="69">
        <f t="shared" si="73"/>
        <v>75038486.900000006</v>
      </c>
      <c r="I150" s="69">
        <f t="shared" si="73"/>
        <v>79081796</v>
      </c>
      <c r="J150" s="69">
        <f t="shared" si="73"/>
        <v>564328</v>
      </c>
      <c r="K150" s="69">
        <f t="shared" si="73"/>
        <v>246683</v>
      </c>
      <c r="L150" s="69">
        <f t="shared" si="73"/>
        <v>342201</v>
      </c>
      <c r="M150" s="69">
        <f t="shared" si="73"/>
        <v>-78210000</v>
      </c>
      <c r="N150" s="69">
        <f t="shared" si="73"/>
        <v>-74462249.140000015</v>
      </c>
      <c r="O150" s="69">
        <f t="shared" si="73"/>
        <v>34687972</v>
      </c>
      <c r="P150" s="69">
        <f t="shared" si="73"/>
        <v>-627000</v>
      </c>
      <c r="Q150" s="69">
        <f t="shared" si="73"/>
        <v>-1028600</v>
      </c>
      <c r="R150" s="69">
        <f t="shared" si="73"/>
        <v>-1014284</v>
      </c>
      <c r="S150" s="69">
        <f t="shared" si="73"/>
        <v>3.9999999105930328E-2</v>
      </c>
      <c r="T150" s="69">
        <f t="shared" si="73"/>
        <v>-212182.23000000045</v>
      </c>
      <c r="U150" s="69">
        <f t="shared" si="73"/>
        <v>-89325</v>
      </c>
      <c r="V150" s="69">
        <f t="shared" si="73"/>
        <v>2823940</v>
      </c>
      <c r="W150" s="69">
        <f t="shared" si="73"/>
        <v>-570120</v>
      </c>
      <c r="X150" s="69">
        <f t="shared" si="73"/>
        <v>-456750</v>
      </c>
      <c r="Y150" s="69">
        <f t="shared" si="73"/>
        <v>20000</v>
      </c>
      <c r="Z150" s="69">
        <f t="shared" si="73"/>
        <v>63500</v>
      </c>
      <c r="AA150" s="69">
        <f t="shared" si="73"/>
        <v>22200</v>
      </c>
      <c r="AB150" s="69">
        <f t="shared" si="73"/>
        <v>-4777451</v>
      </c>
      <c r="AC150" s="69">
        <f t="shared" si="73"/>
        <v>-4341571</v>
      </c>
      <c r="AD150" s="69">
        <f t="shared" si="73"/>
        <v>-3351737</v>
      </c>
      <c r="AE150" s="69">
        <f t="shared" si="73"/>
        <v>0</v>
      </c>
      <c r="AF150" s="69">
        <f t="shared" si="73"/>
        <v>0</v>
      </c>
      <c r="AG150" s="69">
        <f t="shared" si="73"/>
        <v>31030283</v>
      </c>
      <c r="AH150" s="69">
        <f t="shared" si="73"/>
        <v>-20571062</v>
      </c>
      <c r="AI150" s="69">
        <f t="shared" si="73"/>
        <v>-41263169.197499998</v>
      </c>
      <c r="AJ150" s="69">
        <f t="shared" si="73"/>
        <v>-40473697</v>
      </c>
      <c r="AK150" s="69">
        <f t="shared" si="73"/>
        <v>-704850</v>
      </c>
      <c r="AL150" s="69">
        <f t="shared" si="73"/>
        <v>-372240.625</v>
      </c>
      <c r="AM150" s="69">
        <f t="shared" si="73"/>
        <v>584983</v>
      </c>
      <c r="AN150" s="69">
        <f t="shared" si="73"/>
        <v>-3438605</v>
      </c>
      <c r="AO150" s="69">
        <f t="shared" si="73"/>
        <v>-3502400</v>
      </c>
      <c r="AP150" s="69">
        <f t="shared" si="73"/>
        <v>-3474608</v>
      </c>
      <c r="AQ150" s="69">
        <f t="shared" si="73"/>
        <v>-110000</v>
      </c>
      <c r="AR150" s="69">
        <f t="shared" si="73"/>
        <v>-202400</v>
      </c>
      <c r="AS150" s="69">
        <f t="shared" si="73"/>
        <v>-202400</v>
      </c>
      <c r="AT150" s="69">
        <f t="shared" si="73"/>
        <v>-1050360.5499999998</v>
      </c>
      <c r="AU150" s="69">
        <f t="shared" si="73"/>
        <v>-1429024.9500000002</v>
      </c>
      <c r="AV150" s="69">
        <f t="shared" si="73"/>
        <v>-875192</v>
      </c>
      <c r="AW150" s="69">
        <f t="shared" si="73"/>
        <v>0</v>
      </c>
      <c r="AX150" s="69">
        <f t="shared" si="73"/>
        <v>0</v>
      </c>
      <c r="AY150" s="69">
        <f t="shared" si="73"/>
        <v>0</v>
      </c>
      <c r="AZ150" s="69">
        <f t="shared" si="73"/>
        <v>-2939800</v>
      </c>
      <c r="BA150" s="69">
        <f t="shared" si="73"/>
        <v>-2961670</v>
      </c>
      <c r="BB150" s="69">
        <f t="shared" si="73"/>
        <v>-2565300</v>
      </c>
      <c r="BC150" s="69">
        <f t="shared" si="73"/>
        <v>-277800</v>
      </c>
      <c r="BD150" s="69">
        <f t="shared" si="73"/>
        <v>-277800</v>
      </c>
      <c r="BE150" s="69">
        <f t="shared" si="73"/>
        <v>-276000</v>
      </c>
      <c r="BF150" s="69">
        <f t="shared" si="73"/>
        <v>-1395000.0599999987</v>
      </c>
      <c r="BG150" s="69">
        <f t="shared" si="73"/>
        <v>-0.37999999895691872</v>
      </c>
      <c r="BH150" s="69">
        <f t="shared" si="73"/>
        <v>30148012</v>
      </c>
      <c r="BI150" s="69">
        <f t="shared" si="73"/>
        <v>-13576082.25</v>
      </c>
      <c r="BJ150" s="69">
        <f t="shared" si="73"/>
        <v>-10734520.75</v>
      </c>
      <c r="BK150" s="69">
        <f t="shared" si="73"/>
        <v>-7197933</v>
      </c>
      <c r="BL150" s="69">
        <f t="shared" si="73"/>
        <v>-3000000</v>
      </c>
      <c r="BM150" s="69">
        <f t="shared" si="73"/>
        <v>-4950000</v>
      </c>
      <c r="BN150" s="69">
        <f t="shared" si="73"/>
        <v>-4950000</v>
      </c>
      <c r="BO150" s="69">
        <f t="shared" si="73"/>
        <v>-5957114</v>
      </c>
      <c r="BP150" s="69">
        <f t="shared" si="73"/>
        <v>-5070079</v>
      </c>
      <c r="BQ150" s="69">
        <f t="shared" ref="BQ150:CK150" si="74">BQ148-BQ149</f>
        <v>-5018098</v>
      </c>
      <c r="BR150" s="69">
        <f t="shared" si="74"/>
        <v>-3499786</v>
      </c>
      <c r="BS150" s="69">
        <f t="shared" si="74"/>
        <v>-7428476</v>
      </c>
      <c r="BT150" s="69">
        <f t="shared" si="74"/>
        <v>-7336332</v>
      </c>
      <c r="BU150" s="69">
        <f t="shared" si="74"/>
        <v>0.10000000009313226</v>
      </c>
      <c r="BV150" s="69">
        <f t="shared" si="74"/>
        <v>-295010.35199999902</v>
      </c>
      <c r="BW150" s="69">
        <f t="shared" si="74"/>
        <v>-6722</v>
      </c>
      <c r="BX150" s="69">
        <f t="shared" si="74"/>
        <v>0</v>
      </c>
      <c r="BY150" s="69">
        <f t="shared" si="74"/>
        <v>3876900</v>
      </c>
      <c r="BZ150" s="69">
        <f t="shared" si="74"/>
        <v>4257888</v>
      </c>
      <c r="CA150" s="69">
        <f t="shared" si="74"/>
        <v>0</v>
      </c>
      <c r="CB150" s="69">
        <f t="shared" si="74"/>
        <v>-874951</v>
      </c>
      <c r="CC150" s="69">
        <f t="shared" si="74"/>
        <v>-311057</v>
      </c>
      <c r="CD150" s="69">
        <f t="shared" si="74"/>
        <v>-936309</v>
      </c>
      <c r="CE150" s="69">
        <f t="shared" si="74"/>
        <v>-1103786</v>
      </c>
      <c r="CF150" s="69">
        <f t="shared" si="74"/>
        <v>-822547.5</v>
      </c>
      <c r="CG150" s="69">
        <f t="shared" si="74"/>
        <v>0</v>
      </c>
      <c r="CH150" s="69">
        <f t="shared" si="74"/>
        <v>40211</v>
      </c>
      <c r="CI150" s="69">
        <f t="shared" si="74"/>
        <v>8827668</v>
      </c>
      <c r="CJ150" s="69">
        <f t="shared" si="74"/>
        <v>0.35500001907348633</v>
      </c>
      <c r="CK150" s="69">
        <f t="shared" si="74"/>
        <v>0.27549993991851807</v>
      </c>
      <c r="CL150" s="69">
        <f>CL148-CL149</f>
        <v>187999938.5</v>
      </c>
    </row>
    <row r="153" spans="1:91" x14ac:dyDescent="0.2">
      <c r="S153" s="139"/>
      <c r="T153" s="139"/>
      <c r="U153" s="139"/>
      <c r="BO153" s="139"/>
      <c r="BY153" s="139"/>
      <c r="BZ153" s="139"/>
      <c r="CA153" s="139"/>
    </row>
    <row r="155" spans="1:91" x14ac:dyDescent="0.2">
      <c r="CE155" s="139"/>
      <c r="CF155" s="139"/>
      <c r="CG155" s="139"/>
    </row>
  </sheetData>
  <mergeCells count="354">
    <mergeCell ref="BI66:BK66"/>
    <mergeCell ref="BL66:BN66"/>
    <mergeCell ref="CD65:CF65"/>
    <mergeCell ref="CG65:CI65"/>
    <mergeCell ref="CJ65:CL65"/>
    <mergeCell ref="CJ66:CL66"/>
    <mergeCell ref="BO66:BQ66"/>
    <mergeCell ref="BR66:BT66"/>
    <mergeCell ref="BU66:BW66"/>
    <mergeCell ref="BX66:BZ66"/>
    <mergeCell ref="BI62:BK62"/>
    <mergeCell ref="BL62:BN62"/>
    <mergeCell ref="CA63:CC63"/>
    <mergeCell ref="CD63:CF63"/>
    <mergeCell ref="BR65:BT65"/>
    <mergeCell ref="BU65:BW65"/>
    <mergeCell ref="BX65:BZ65"/>
    <mergeCell ref="CA65:CC65"/>
    <mergeCell ref="BO62:BQ62"/>
    <mergeCell ref="BR62:BT62"/>
    <mergeCell ref="AB67:AD67"/>
    <mergeCell ref="AE67:AG67"/>
    <mergeCell ref="AH66:AJ66"/>
    <mergeCell ref="AK66:AM66"/>
    <mergeCell ref="AN66:AP66"/>
    <mergeCell ref="A65:A68"/>
    <mergeCell ref="B65:B68"/>
    <mergeCell ref="C67:C68"/>
    <mergeCell ref="D66:F66"/>
    <mergeCell ref="G66:I66"/>
    <mergeCell ref="J66:L66"/>
    <mergeCell ref="M66:O66"/>
    <mergeCell ref="V67:X67"/>
    <mergeCell ref="Y67:AA67"/>
    <mergeCell ref="AN62:AP62"/>
    <mergeCell ref="AE63:AG63"/>
    <mergeCell ref="AH63:AJ63"/>
    <mergeCell ref="AK63:AM63"/>
    <mergeCell ref="AN63:AP63"/>
    <mergeCell ref="AE65:AG65"/>
    <mergeCell ref="CA6:CC6"/>
    <mergeCell ref="CA7:CC7"/>
    <mergeCell ref="A9:A12"/>
    <mergeCell ref="B9:B12"/>
    <mergeCell ref="D10:F10"/>
    <mergeCell ref="D11:F11"/>
    <mergeCell ref="M10:O10"/>
    <mergeCell ref="AE6:AG6"/>
    <mergeCell ref="AE7:AG7"/>
    <mergeCell ref="BO8:BQ8"/>
    <mergeCell ref="BO9:BQ9"/>
    <mergeCell ref="BU6:BW6"/>
    <mergeCell ref="BU7:BW7"/>
    <mergeCell ref="BU8:BW8"/>
    <mergeCell ref="BU9:BW9"/>
    <mergeCell ref="BC8:BE8"/>
    <mergeCell ref="BC9:BE9"/>
    <mergeCell ref="BI6:BK6"/>
    <mergeCell ref="BI7:BK7"/>
    <mergeCell ref="BI8:BK8"/>
    <mergeCell ref="AQ8:AS8"/>
    <mergeCell ref="AQ9:AS9"/>
    <mergeCell ref="AW6:AY6"/>
    <mergeCell ref="AW7:AY7"/>
    <mergeCell ref="AW8:AY8"/>
    <mergeCell ref="AW9:AY9"/>
    <mergeCell ref="S9:U9"/>
    <mergeCell ref="Y6:AA6"/>
    <mergeCell ref="Y7:AA7"/>
    <mergeCell ref="Y8:AA8"/>
    <mergeCell ref="Y9:AA9"/>
    <mergeCell ref="AK6:AM6"/>
    <mergeCell ref="AK7:AM7"/>
    <mergeCell ref="AK8:AM8"/>
    <mergeCell ref="AK9:AM9"/>
    <mergeCell ref="S6:U6"/>
    <mergeCell ref="D6:F6"/>
    <mergeCell ref="D7:F7"/>
    <mergeCell ref="D8:F8"/>
    <mergeCell ref="D9:F9"/>
    <mergeCell ref="M6:O6"/>
    <mergeCell ref="M7:O7"/>
    <mergeCell ref="M8:O8"/>
    <mergeCell ref="M9:O9"/>
    <mergeCell ref="G6:I6"/>
    <mergeCell ref="G7:I7"/>
    <mergeCell ref="B6:C6"/>
    <mergeCell ref="B63:C63"/>
    <mergeCell ref="B8:C8"/>
    <mergeCell ref="B59:C59"/>
    <mergeCell ref="B7:C7"/>
    <mergeCell ref="B64:C64"/>
    <mergeCell ref="B62:C62"/>
    <mergeCell ref="G8:I8"/>
    <mergeCell ref="G9:I9"/>
    <mergeCell ref="G10:I10"/>
    <mergeCell ref="G11:I11"/>
    <mergeCell ref="CJ9:CL9"/>
    <mergeCell ref="CJ10:CL10"/>
    <mergeCell ref="CJ11:CL11"/>
    <mergeCell ref="M11:O11"/>
    <mergeCell ref="S10:U10"/>
    <mergeCell ref="S11:U11"/>
    <mergeCell ref="J6:L6"/>
    <mergeCell ref="J7:L7"/>
    <mergeCell ref="J8:L8"/>
    <mergeCell ref="J9:L9"/>
    <mergeCell ref="J10:L10"/>
    <mergeCell ref="J11:L11"/>
    <mergeCell ref="P6:R6"/>
    <mergeCell ref="P7:R7"/>
    <mergeCell ref="P8:R8"/>
    <mergeCell ref="P9:R9"/>
    <mergeCell ref="P10:R10"/>
    <mergeCell ref="P11:R11"/>
    <mergeCell ref="V6:X6"/>
    <mergeCell ref="V7:X7"/>
    <mergeCell ref="V8:X8"/>
    <mergeCell ref="V9:X9"/>
    <mergeCell ref="V10:X10"/>
    <mergeCell ref="V11:X11"/>
    <mergeCell ref="S7:U7"/>
    <mergeCell ref="S8:U8"/>
    <mergeCell ref="Y10:AA10"/>
    <mergeCell ref="Y11:AA11"/>
    <mergeCell ref="AB6:AD6"/>
    <mergeCell ref="AB7:AD7"/>
    <mergeCell ref="AB8:AD8"/>
    <mergeCell ref="AB9:AD9"/>
    <mergeCell ref="AB10:AD10"/>
    <mergeCell ref="AB11:AD11"/>
    <mergeCell ref="AE8:AG8"/>
    <mergeCell ref="AE9:AG9"/>
    <mergeCell ref="AE10:AG10"/>
    <mergeCell ref="AE11:AG11"/>
    <mergeCell ref="AH6:AJ6"/>
    <mergeCell ref="AH7:AJ7"/>
    <mergeCell ref="AH8:AJ8"/>
    <mergeCell ref="AH9:AJ9"/>
    <mergeCell ref="AH10:AJ10"/>
    <mergeCell ref="AH11:AJ11"/>
    <mergeCell ref="AK10:AM10"/>
    <mergeCell ref="AK11:AM11"/>
    <mergeCell ref="AN6:AP6"/>
    <mergeCell ref="AN7:AP7"/>
    <mergeCell ref="AN8:AP8"/>
    <mergeCell ref="AN9:AP9"/>
    <mergeCell ref="AN10:AP10"/>
    <mergeCell ref="AN11:AP11"/>
    <mergeCell ref="AQ10:AS10"/>
    <mergeCell ref="AQ11:AS11"/>
    <mergeCell ref="AT6:AV6"/>
    <mergeCell ref="AT7:AV7"/>
    <mergeCell ref="AT8:AV8"/>
    <mergeCell ref="AT9:AV9"/>
    <mergeCell ref="AT10:AV10"/>
    <mergeCell ref="AT11:AV11"/>
    <mergeCell ref="AQ6:AS6"/>
    <mergeCell ref="AQ7:AS7"/>
    <mergeCell ref="AW10:AY10"/>
    <mergeCell ref="AW11:AY11"/>
    <mergeCell ref="AZ6:BB6"/>
    <mergeCell ref="AZ7:BB7"/>
    <mergeCell ref="AZ8:BB8"/>
    <mergeCell ref="AZ9:BB9"/>
    <mergeCell ref="AZ10:BB10"/>
    <mergeCell ref="AZ11:BB11"/>
    <mergeCell ref="BC10:BE10"/>
    <mergeCell ref="BC11:BE11"/>
    <mergeCell ref="BF6:BH6"/>
    <mergeCell ref="BF7:BH7"/>
    <mergeCell ref="BF8:BH8"/>
    <mergeCell ref="BF9:BH9"/>
    <mergeCell ref="BF10:BH10"/>
    <mergeCell ref="BF11:BH11"/>
    <mergeCell ref="BC6:BE6"/>
    <mergeCell ref="BC7:BE7"/>
    <mergeCell ref="BI10:BK10"/>
    <mergeCell ref="BI11:BK11"/>
    <mergeCell ref="BL6:BN6"/>
    <mergeCell ref="BL7:BN7"/>
    <mergeCell ref="BL8:BN8"/>
    <mergeCell ref="BL9:BN9"/>
    <mergeCell ref="BL10:BN10"/>
    <mergeCell ref="BL11:BN11"/>
    <mergeCell ref="BI9:BK9"/>
    <mergeCell ref="BO10:BQ10"/>
    <mergeCell ref="BO11:BQ11"/>
    <mergeCell ref="BR6:BT6"/>
    <mergeCell ref="BR7:BT7"/>
    <mergeCell ref="BR8:BT8"/>
    <mergeCell ref="BR9:BT9"/>
    <mergeCell ref="BR10:BT10"/>
    <mergeCell ref="BR11:BT11"/>
    <mergeCell ref="BO6:BQ6"/>
    <mergeCell ref="BO7:BQ7"/>
    <mergeCell ref="BU10:BW10"/>
    <mergeCell ref="BU11:BW11"/>
    <mergeCell ref="BX6:BZ6"/>
    <mergeCell ref="BX7:BZ7"/>
    <mergeCell ref="BX8:BZ8"/>
    <mergeCell ref="BX9:BZ9"/>
    <mergeCell ref="BX10:BZ10"/>
    <mergeCell ref="BX11:BZ11"/>
    <mergeCell ref="CA8:CC8"/>
    <mergeCell ref="CA9:CC9"/>
    <mergeCell ref="CA10:CC10"/>
    <mergeCell ref="CA11:CC11"/>
    <mergeCell ref="CD6:CF6"/>
    <mergeCell ref="CD7:CF7"/>
    <mergeCell ref="CD8:CF8"/>
    <mergeCell ref="CD9:CF9"/>
    <mergeCell ref="CD10:CF10"/>
    <mergeCell ref="CD11:CF11"/>
    <mergeCell ref="CG6:CI6"/>
    <mergeCell ref="CG7:CI7"/>
    <mergeCell ref="CG8:CI8"/>
    <mergeCell ref="CG9:CI9"/>
    <mergeCell ref="CG10:CI10"/>
    <mergeCell ref="CG11:CI11"/>
    <mergeCell ref="D62:F62"/>
    <mergeCell ref="G62:I62"/>
    <mergeCell ref="J62:L62"/>
    <mergeCell ref="M62:O62"/>
    <mergeCell ref="P62:R62"/>
    <mergeCell ref="S62:U62"/>
    <mergeCell ref="V62:X62"/>
    <mergeCell ref="Y62:AA62"/>
    <mergeCell ref="AB62:AD62"/>
    <mergeCell ref="AE62:AG62"/>
    <mergeCell ref="AH62:AJ62"/>
    <mergeCell ref="AK62:AM62"/>
    <mergeCell ref="AQ62:AS62"/>
    <mergeCell ref="AT62:AV62"/>
    <mergeCell ref="AW62:AY62"/>
    <mergeCell ref="AZ62:BB62"/>
    <mergeCell ref="BC62:BE62"/>
    <mergeCell ref="BF62:BH62"/>
    <mergeCell ref="BU62:BW62"/>
    <mergeCell ref="BX62:BZ62"/>
    <mergeCell ref="CA62:CC62"/>
    <mergeCell ref="CD62:CF62"/>
    <mergeCell ref="CG62:CI62"/>
    <mergeCell ref="D63:F63"/>
    <mergeCell ref="G63:I63"/>
    <mergeCell ref="J63:L63"/>
    <mergeCell ref="M63:O63"/>
    <mergeCell ref="P63:R63"/>
    <mergeCell ref="S63:U63"/>
    <mergeCell ref="V63:X63"/>
    <mergeCell ref="Y63:AA63"/>
    <mergeCell ref="AB63:AD63"/>
    <mergeCell ref="AQ63:AS63"/>
    <mergeCell ref="AT63:AV63"/>
    <mergeCell ref="AW63:AY63"/>
    <mergeCell ref="AZ63:BB63"/>
    <mergeCell ref="BC63:BE63"/>
    <mergeCell ref="BF63:BH63"/>
    <mergeCell ref="BI63:BK63"/>
    <mergeCell ref="BL63:BN63"/>
    <mergeCell ref="BO63:BQ63"/>
    <mergeCell ref="BR63:BT63"/>
    <mergeCell ref="BU63:BW63"/>
    <mergeCell ref="BX63:BZ63"/>
    <mergeCell ref="CG63:CI63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AE64:AG64"/>
    <mergeCell ref="AH64:AJ64"/>
    <mergeCell ref="AK64:AM64"/>
    <mergeCell ref="AN64:AP64"/>
    <mergeCell ref="AQ64:AS64"/>
    <mergeCell ref="AT64:AV64"/>
    <mergeCell ref="AW64:AY64"/>
    <mergeCell ref="AZ64:BB64"/>
    <mergeCell ref="BC64:BE64"/>
    <mergeCell ref="BF64:BH64"/>
    <mergeCell ref="BI64:BK64"/>
    <mergeCell ref="BL64:BN64"/>
    <mergeCell ref="BO64:BQ64"/>
    <mergeCell ref="BR64:BT64"/>
    <mergeCell ref="BU64:BW64"/>
    <mergeCell ref="BX64:BZ64"/>
    <mergeCell ref="CA64:CC64"/>
    <mergeCell ref="CD64:CF64"/>
    <mergeCell ref="CG64:CI64"/>
    <mergeCell ref="D65:F65"/>
    <mergeCell ref="G65:I65"/>
    <mergeCell ref="J65:L65"/>
    <mergeCell ref="M65:O65"/>
    <mergeCell ref="P65:R65"/>
    <mergeCell ref="BC65:BE65"/>
    <mergeCell ref="S65:U65"/>
    <mergeCell ref="V65:X65"/>
    <mergeCell ref="Y65:AA65"/>
    <mergeCell ref="AB65:AD65"/>
    <mergeCell ref="AH65:AJ65"/>
    <mergeCell ref="AK65:AM65"/>
    <mergeCell ref="AE66:AG66"/>
    <mergeCell ref="AN65:AP65"/>
    <mergeCell ref="AQ65:AS65"/>
    <mergeCell ref="AT65:AV65"/>
    <mergeCell ref="AW65:AY65"/>
    <mergeCell ref="AZ65:BB65"/>
    <mergeCell ref="BF66:BH66"/>
    <mergeCell ref="BF65:BH65"/>
    <mergeCell ref="BI65:BK65"/>
    <mergeCell ref="BL65:BN65"/>
    <mergeCell ref="BO65:BQ65"/>
    <mergeCell ref="P66:R66"/>
    <mergeCell ref="S66:U66"/>
    <mergeCell ref="V66:X66"/>
    <mergeCell ref="Y66:AA66"/>
    <mergeCell ref="AB66:AD66"/>
    <mergeCell ref="AH67:AJ67"/>
    <mergeCell ref="AQ66:AS66"/>
    <mergeCell ref="AT66:AV66"/>
    <mergeCell ref="AW66:AY66"/>
    <mergeCell ref="AZ66:BB66"/>
    <mergeCell ref="BC66:BE66"/>
    <mergeCell ref="AZ67:BB67"/>
    <mergeCell ref="CA66:CC66"/>
    <mergeCell ref="CD66:CF66"/>
    <mergeCell ref="CG66:CI66"/>
    <mergeCell ref="D67:F67"/>
    <mergeCell ref="G67:I67"/>
    <mergeCell ref="J67:L67"/>
    <mergeCell ref="M67:O67"/>
    <mergeCell ref="P67:R67"/>
    <mergeCell ref="S67:U67"/>
    <mergeCell ref="CD67:CF67"/>
    <mergeCell ref="CJ67:CL67"/>
    <mergeCell ref="BR67:BT67"/>
    <mergeCell ref="BU67:BW67"/>
    <mergeCell ref="BX67:BZ67"/>
    <mergeCell ref="CA67:CC67"/>
    <mergeCell ref="AK67:AM67"/>
    <mergeCell ref="AN67:AP67"/>
    <mergeCell ref="AQ67:AS67"/>
    <mergeCell ref="AT67:AV67"/>
    <mergeCell ref="AW67:AY67"/>
    <mergeCell ref="CG67:CI67"/>
    <mergeCell ref="BC67:BE67"/>
    <mergeCell ref="BF67:BH67"/>
    <mergeCell ref="BI67:BK67"/>
    <mergeCell ref="BL67:BN67"/>
    <mergeCell ref="BO67:BQ67"/>
  </mergeCells>
  <phoneticPr fontId="25" type="noConversion"/>
  <pageMargins left="0.70866141732283472" right="0.70866141732283472" top="0.74803149606299213" bottom="0.74803149606299213" header="0.31496062992125984" footer="0.31496062992125984"/>
  <pageSetup paperSize="8" scale="53" orientation="landscape" r:id="rId1"/>
  <rowBreaks count="1" manualBreakCount="1">
    <brk id="59" max="16383" man="1"/>
  </rowBreaks>
  <colBreaks count="2" manualBreakCount="2">
    <brk id="24" max="149" man="1"/>
    <brk id="51" max="149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view="pageBreakPreview" zoomScaleNormal="100" zoomScaleSheetLayoutView="100" workbookViewId="0">
      <pane xSplit="3" ySplit="11" topLeftCell="G87" activePane="bottomRight" state="frozen"/>
      <selection pane="topRight" activeCell="D1" sqref="D1"/>
      <selection pane="bottomLeft" activeCell="A11" sqref="A11"/>
      <selection pane="bottomRight" activeCell="I18" sqref="I18"/>
    </sheetView>
  </sheetViews>
  <sheetFormatPr defaultRowHeight="15" x14ac:dyDescent="0.2"/>
  <cols>
    <col min="1" max="1" width="7" style="101" customWidth="1"/>
    <col min="2" max="2" width="10.42578125" style="101" bestFit="1" customWidth="1"/>
    <col min="3" max="3" width="60.5703125" style="102" bestFit="1" customWidth="1"/>
    <col min="4" max="15" width="13.7109375" style="102" customWidth="1"/>
    <col min="16" max="16384" width="9.140625" style="103"/>
  </cols>
  <sheetData>
    <row r="1" spans="1:15" x14ac:dyDescent="0.2">
      <c r="A1" s="199" t="s">
        <v>776</v>
      </c>
      <c r="B1" s="199"/>
      <c r="C1" s="199"/>
    </row>
    <row r="2" spans="1:15" ht="18" x14ac:dyDescent="0.2">
      <c r="A2" s="100" t="s">
        <v>848</v>
      </c>
    </row>
    <row r="3" spans="1:15" ht="18" x14ac:dyDescent="0.2">
      <c r="A3" s="290" t="s">
        <v>597</v>
      </c>
    </row>
    <row r="5" spans="1:15" ht="15.75" x14ac:dyDescent="0.2">
      <c r="A5" s="104" t="s">
        <v>132</v>
      </c>
      <c r="B5" s="104"/>
      <c r="C5" s="104"/>
    </row>
    <row r="6" spans="1:15" s="131" customFormat="1" ht="13.5" x14ac:dyDescent="0.2">
      <c r="A6" s="105"/>
      <c r="B6" s="1109"/>
      <c r="C6" s="1109"/>
      <c r="D6" s="1097" t="s">
        <v>149</v>
      </c>
      <c r="E6" s="1098"/>
      <c r="F6" s="1099"/>
      <c r="G6" s="1097" t="s">
        <v>438</v>
      </c>
      <c r="H6" s="1098"/>
      <c r="I6" s="1099"/>
      <c r="J6" s="1097" t="s">
        <v>153</v>
      </c>
      <c r="K6" s="1098"/>
      <c r="L6" s="1099"/>
      <c r="M6" s="1097"/>
      <c r="N6" s="1098"/>
      <c r="O6" s="1099"/>
    </row>
    <row r="7" spans="1:15" s="131" customFormat="1" ht="13.5" x14ac:dyDescent="0.2">
      <c r="A7" s="105"/>
      <c r="B7" s="1114" t="s">
        <v>154</v>
      </c>
      <c r="C7" s="1115"/>
      <c r="D7" s="1094" t="s">
        <v>439</v>
      </c>
      <c r="E7" s="1095"/>
      <c r="F7" s="1096"/>
      <c r="G7" s="1094" t="s">
        <v>439</v>
      </c>
      <c r="H7" s="1095"/>
      <c r="I7" s="1096"/>
      <c r="J7" s="1094" t="s">
        <v>177</v>
      </c>
      <c r="K7" s="1095"/>
      <c r="L7" s="1096"/>
      <c r="M7" s="1094"/>
      <c r="N7" s="1095"/>
      <c r="O7" s="1096"/>
    </row>
    <row r="8" spans="1:15" s="131" customFormat="1" ht="13.5" x14ac:dyDescent="0.2">
      <c r="A8" s="105"/>
      <c r="B8" s="1088"/>
      <c r="C8" s="1090"/>
      <c r="D8" s="1088" t="s">
        <v>440</v>
      </c>
      <c r="E8" s="1089"/>
      <c r="F8" s="1090"/>
      <c r="G8" s="1088" t="s">
        <v>441</v>
      </c>
      <c r="H8" s="1089"/>
      <c r="I8" s="1090"/>
      <c r="J8" s="1125" t="s">
        <v>442</v>
      </c>
      <c r="K8" s="1126"/>
      <c r="L8" s="1127"/>
      <c r="M8" s="1128" t="s">
        <v>443</v>
      </c>
      <c r="N8" s="1129"/>
      <c r="O8" s="1130"/>
    </row>
    <row r="9" spans="1:15" ht="15" customHeight="1" x14ac:dyDescent="0.2">
      <c r="A9" s="1117" t="s">
        <v>195</v>
      </c>
      <c r="B9" s="1120" t="s">
        <v>196</v>
      </c>
      <c r="C9" s="106"/>
      <c r="D9" s="1073" t="s">
        <v>128</v>
      </c>
      <c r="E9" s="1074"/>
      <c r="F9" s="1075"/>
      <c r="G9" s="1073" t="s">
        <v>444</v>
      </c>
      <c r="H9" s="1074"/>
      <c r="I9" s="1075"/>
      <c r="J9" s="1076" t="s">
        <v>206</v>
      </c>
      <c r="K9" s="1077"/>
      <c r="L9" s="1078"/>
      <c r="M9" s="1076" t="s">
        <v>128</v>
      </c>
      <c r="N9" s="1077"/>
      <c r="O9" s="1078"/>
    </row>
    <row r="10" spans="1:15" s="122" customFormat="1" x14ac:dyDescent="0.2">
      <c r="A10" s="1118"/>
      <c r="B10" s="1121"/>
      <c r="C10" s="108" t="s">
        <v>1</v>
      </c>
      <c r="D10" s="1070" t="s">
        <v>440</v>
      </c>
      <c r="E10" s="1071"/>
      <c r="F10" s="1072"/>
      <c r="G10" s="1070" t="s">
        <v>441</v>
      </c>
      <c r="H10" s="1071"/>
      <c r="I10" s="1072"/>
      <c r="J10" s="1070" t="s">
        <v>453</v>
      </c>
      <c r="K10" s="1071"/>
      <c r="L10" s="1072"/>
      <c r="M10" s="1070" t="s">
        <v>179</v>
      </c>
      <c r="N10" s="1071"/>
      <c r="O10" s="1072"/>
    </row>
    <row r="11" spans="1:15" s="122" customFormat="1" ht="25.5" x14ac:dyDescent="0.2">
      <c r="A11" s="1119"/>
      <c r="B11" s="1122"/>
      <c r="C11" s="109"/>
      <c r="D11" s="378" t="s">
        <v>673</v>
      </c>
      <c r="E11" s="378" t="s">
        <v>674</v>
      </c>
      <c r="F11" s="378" t="s">
        <v>845</v>
      </c>
      <c r="G11" s="378" t="s">
        <v>673</v>
      </c>
      <c r="H11" s="378" t="s">
        <v>674</v>
      </c>
      <c r="I11" s="378" t="s">
        <v>845</v>
      </c>
      <c r="J11" s="378" t="s">
        <v>673</v>
      </c>
      <c r="K11" s="378" t="s">
        <v>674</v>
      </c>
      <c r="L11" s="378" t="s">
        <v>845</v>
      </c>
      <c r="M11" s="377" t="s">
        <v>673</v>
      </c>
      <c r="N11" s="377" t="s">
        <v>674</v>
      </c>
      <c r="O11" s="378" t="s">
        <v>845</v>
      </c>
    </row>
    <row r="12" spans="1:15" s="132" customFormat="1" x14ac:dyDescent="0.2">
      <c r="A12" s="107" t="s">
        <v>0</v>
      </c>
      <c r="B12" s="110" t="s">
        <v>234</v>
      </c>
      <c r="C12" s="111" t="s">
        <v>235</v>
      </c>
      <c r="D12" s="87"/>
      <c r="E12" s="87"/>
      <c r="F12" s="87"/>
      <c r="G12" s="87"/>
      <c r="H12" s="87"/>
      <c r="I12" s="87"/>
      <c r="J12" s="87"/>
      <c r="K12" s="92"/>
      <c r="L12" s="92"/>
      <c r="M12" s="88">
        <f t="shared" ref="M12:O14" si="0">D12+G12+J12</f>
        <v>0</v>
      </c>
      <c r="N12" s="88">
        <f t="shared" si="0"/>
        <v>0</v>
      </c>
      <c r="O12" s="88">
        <f t="shared" si="0"/>
        <v>0</v>
      </c>
    </row>
    <row r="13" spans="1:15" s="132" customFormat="1" x14ac:dyDescent="0.2">
      <c r="A13" s="107" t="s">
        <v>6</v>
      </c>
      <c r="B13" s="110" t="s">
        <v>244</v>
      </c>
      <c r="C13" s="111" t="s">
        <v>245</v>
      </c>
      <c r="D13" s="87"/>
      <c r="E13" s="87"/>
      <c r="F13" s="87"/>
      <c r="G13" s="87"/>
      <c r="H13" s="87"/>
      <c r="I13" s="87"/>
      <c r="J13" s="87"/>
      <c r="K13" s="92"/>
      <c r="L13" s="92"/>
      <c r="M13" s="88">
        <f t="shared" si="0"/>
        <v>0</v>
      </c>
      <c r="N13" s="88">
        <f t="shared" si="0"/>
        <v>0</v>
      </c>
      <c r="O13" s="88">
        <f t="shared" si="0"/>
        <v>0</v>
      </c>
    </row>
    <row r="14" spans="1:15" s="102" customFormat="1" x14ac:dyDescent="0.2">
      <c r="A14" s="107" t="s">
        <v>14</v>
      </c>
      <c r="B14" s="107" t="s">
        <v>256</v>
      </c>
      <c r="C14" s="112" t="s">
        <v>257</v>
      </c>
      <c r="D14" s="89"/>
      <c r="E14" s="89"/>
      <c r="F14" s="89"/>
      <c r="G14" s="89"/>
      <c r="H14" s="89"/>
      <c r="I14" s="89"/>
      <c r="J14" s="89"/>
      <c r="K14" s="90"/>
      <c r="L14" s="90"/>
      <c r="M14" s="90">
        <f t="shared" si="0"/>
        <v>0</v>
      </c>
      <c r="N14" s="90">
        <f t="shared" si="0"/>
        <v>0</v>
      </c>
      <c r="O14" s="90">
        <f t="shared" si="0"/>
        <v>0</v>
      </c>
    </row>
    <row r="15" spans="1:15" s="102" customFormat="1" x14ac:dyDescent="0.2">
      <c r="A15" s="107" t="s">
        <v>17</v>
      </c>
      <c r="B15" s="107" t="s">
        <v>260</v>
      </c>
      <c r="C15" s="112" t="s">
        <v>261</v>
      </c>
      <c r="D15" s="89"/>
      <c r="E15" s="89"/>
      <c r="F15" s="89"/>
      <c r="G15" s="89"/>
      <c r="H15" s="89"/>
      <c r="I15" s="89"/>
      <c r="J15" s="89"/>
      <c r="K15" s="90"/>
      <c r="L15" s="90"/>
      <c r="M15" s="90">
        <f t="shared" ref="M15:M33" si="1">D15+G15+J15</f>
        <v>0</v>
      </c>
      <c r="N15" s="90">
        <f t="shared" ref="N15:N33" si="2">E15+H15+K15</f>
        <v>0</v>
      </c>
      <c r="O15" s="90">
        <f t="shared" ref="O15:O33" si="3">F15+I15+L15</f>
        <v>0</v>
      </c>
    </row>
    <row r="16" spans="1:15" s="102" customFormat="1" x14ac:dyDescent="0.2">
      <c r="A16" s="107" t="s">
        <v>33</v>
      </c>
      <c r="B16" s="107" t="s">
        <v>264</v>
      </c>
      <c r="C16" s="112" t="s">
        <v>265</v>
      </c>
      <c r="D16" s="89"/>
      <c r="E16" s="89"/>
      <c r="F16" s="89"/>
      <c r="G16" s="89"/>
      <c r="H16" s="89"/>
      <c r="I16" s="89"/>
      <c r="J16" s="89"/>
      <c r="K16" s="90"/>
      <c r="L16" s="90"/>
      <c r="M16" s="90">
        <f t="shared" si="1"/>
        <v>0</v>
      </c>
      <c r="N16" s="90">
        <f t="shared" si="2"/>
        <v>0</v>
      </c>
      <c r="O16" s="90">
        <f t="shared" si="3"/>
        <v>0</v>
      </c>
    </row>
    <row r="17" spans="1:15" s="102" customFormat="1" x14ac:dyDescent="0.2">
      <c r="A17" s="107" t="s">
        <v>35</v>
      </c>
      <c r="B17" s="107" t="s">
        <v>268</v>
      </c>
      <c r="C17" s="112" t="s">
        <v>269</v>
      </c>
      <c r="D17" s="89"/>
      <c r="E17" s="89"/>
      <c r="F17" s="89"/>
      <c r="G17" s="89">
        <v>100</v>
      </c>
      <c r="H17" s="89">
        <v>100</v>
      </c>
      <c r="I17" s="89">
        <v>2</v>
      </c>
      <c r="J17" s="89"/>
      <c r="K17" s="90"/>
      <c r="L17" s="90"/>
      <c r="M17" s="90">
        <f t="shared" si="1"/>
        <v>100</v>
      </c>
      <c r="N17" s="90">
        <f t="shared" si="2"/>
        <v>100</v>
      </c>
      <c r="O17" s="90">
        <f t="shared" si="3"/>
        <v>2</v>
      </c>
    </row>
    <row r="18" spans="1:15" s="102" customFormat="1" x14ac:dyDescent="0.2">
      <c r="A18" s="107" t="s">
        <v>30</v>
      </c>
      <c r="B18" s="107" t="s">
        <v>270</v>
      </c>
      <c r="C18" s="112" t="s">
        <v>271</v>
      </c>
      <c r="D18" s="89"/>
      <c r="E18" s="89"/>
      <c r="F18" s="89"/>
      <c r="G18" s="89"/>
      <c r="H18" s="89"/>
      <c r="I18" s="89"/>
      <c r="J18" s="89"/>
      <c r="K18" s="90"/>
      <c r="L18" s="90"/>
      <c r="M18" s="90">
        <f t="shared" si="1"/>
        <v>0</v>
      </c>
      <c r="N18" s="90">
        <f t="shared" si="2"/>
        <v>0</v>
      </c>
      <c r="O18" s="90">
        <f t="shared" si="3"/>
        <v>0</v>
      </c>
    </row>
    <row r="19" spans="1:15" s="102" customFormat="1" x14ac:dyDescent="0.2">
      <c r="A19" s="107" t="s">
        <v>18</v>
      </c>
      <c r="B19" s="107" t="s">
        <v>272</v>
      </c>
      <c r="C19" s="112" t="s">
        <v>273</v>
      </c>
      <c r="D19" s="89"/>
      <c r="E19" s="89"/>
      <c r="F19" s="89"/>
      <c r="G19" s="89">
        <v>50</v>
      </c>
      <c r="H19" s="89">
        <v>50</v>
      </c>
      <c r="I19" s="89">
        <v>0</v>
      </c>
      <c r="J19" s="89"/>
      <c r="K19" s="90"/>
      <c r="L19" s="90"/>
      <c r="M19" s="90">
        <f t="shared" si="1"/>
        <v>50</v>
      </c>
      <c r="N19" s="90">
        <f t="shared" si="2"/>
        <v>50</v>
      </c>
      <c r="O19" s="90">
        <f t="shared" si="3"/>
        <v>0</v>
      </c>
    </row>
    <row r="20" spans="1:15" s="132" customFormat="1" x14ac:dyDescent="0.2">
      <c r="A20" s="107" t="s">
        <v>19</v>
      </c>
      <c r="B20" s="110" t="s">
        <v>274</v>
      </c>
      <c r="C20" s="113" t="s">
        <v>2</v>
      </c>
      <c r="D20" s="87">
        <f t="shared" ref="D20:L20" si="4">SUM(D14:D19)</f>
        <v>0</v>
      </c>
      <c r="E20" s="87">
        <f t="shared" si="4"/>
        <v>0</v>
      </c>
      <c r="F20" s="87">
        <f t="shared" si="4"/>
        <v>0</v>
      </c>
      <c r="G20" s="87">
        <f t="shared" si="4"/>
        <v>150</v>
      </c>
      <c r="H20" s="87">
        <f t="shared" si="4"/>
        <v>150</v>
      </c>
      <c r="I20" s="87">
        <f t="shared" si="4"/>
        <v>2</v>
      </c>
      <c r="J20" s="87">
        <f t="shared" si="4"/>
        <v>0</v>
      </c>
      <c r="K20" s="87">
        <f t="shared" si="4"/>
        <v>0</v>
      </c>
      <c r="L20" s="87">
        <f t="shared" si="4"/>
        <v>0</v>
      </c>
      <c r="M20" s="413">
        <f t="shared" si="1"/>
        <v>150</v>
      </c>
      <c r="N20" s="413">
        <f t="shared" si="2"/>
        <v>150</v>
      </c>
      <c r="O20" s="413">
        <f t="shared" si="3"/>
        <v>2</v>
      </c>
    </row>
    <row r="21" spans="1:15" s="102" customFormat="1" x14ac:dyDescent="0.2">
      <c r="A21" s="107" t="s">
        <v>20</v>
      </c>
      <c r="B21" s="107" t="s">
        <v>277</v>
      </c>
      <c r="C21" s="112" t="s">
        <v>278</v>
      </c>
      <c r="D21" s="89"/>
      <c r="E21" s="89"/>
      <c r="F21" s="89"/>
      <c r="G21" s="89"/>
      <c r="H21" s="89"/>
      <c r="I21" s="89"/>
      <c r="J21" s="89"/>
      <c r="K21" s="90"/>
      <c r="L21" s="90"/>
      <c r="M21" s="90">
        <f t="shared" si="1"/>
        <v>0</v>
      </c>
      <c r="N21" s="90">
        <f t="shared" si="2"/>
        <v>0</v>
      </c>
      <c r="O21" s="90">
        <f t="shared" si="3"/>
        <v>0</v>
      </c>
    </row>
    <row r="22" spans="1:15" s="132" customFormat="1" x14ac:dyDescent="0.2">
      <c r="A22" s="107" t="s">
        <v>21</v>
      </c>
      <c r="B22" s="110" t="s">
        <v>279</v>
      </c>
      <c r="C22" s="111" t="s">
        <v>3</v>
      </c>
      <c r="D22" s="87">
        <f t="shared" ref="D22:L22" si="5">SUM(D21:D21)</f>
        <v>0</v>
      </c>
      <c r="E22" s="87">
        <f t="shared" si="5"/>
        <v>0</v>
      </c>
      <c r="F22" s="87">
        <f t="shared" si="5"/>
        <v>0</v>
      </c>
      <c r="G22" s="87">
        <f t="shared" si="5"/>
        <v>0</v>
      </c>
      <c r="H22" s="87">
        <f t="shared" si="5"/>
        <v>0</v>
      </c>
      <c r="I22" s="87">
        <f t="shared" si="5"/>
        <v>0</v>
      </c>
      <c r="J22" s="87">
        <f t="shared" si="5"/>
        <v>0</v>
      </c>
      <c r="K22" s="87">
        <f t="shared" si="5"/>
        <v>0</v>
      </c>
      <c r="L22" s="87">
        <f t="shared" si="5"/>
        <v>0</v>
      </c>
      <c r="M22" s="413">
        <f t="shared" si="1"/>
        <v>0</v>
      </c>
      <c r="N22" s="413">
        <f t="shared" si="2"/>
        <v>0</v>
      </c>
      <c r="O22" s="413">
        <f t="shared" si="3"/>
        <v>0</v>
      </c>
    </row>
    <row r="23" spans="1:15" s="102" customFormat="1" x14ac:dyDescent="0.2">
      <c r="A23" s="107" t="s">
        <v>31</v>
      </c>
      <c r="B23" s="107" t="s">
        <v>280</v>
      </c>
      <c r="C23" s="112" t="s">
        <v>281</v>
      </c>
      <c r="D23" s="89"/>
      <c r="E23" s="89"/>
      <c r="F23" s="89"/>
      <c r="G23" s="89"/>
      <c r="H23" s="89"/>
      <c r="I23" s="89"/>
      <c r="J23" s="89"/>
      <c r="K23" s="90"/>
      <c r="L23" s="90"/>
      <c r="M23" s="90">
        <f t="shared" si="1"/>
        <v>0</v>
      </c>
      <c r="N23" s="90">
        <f t="shared" si="2"/>
        <v>0</v>
      </c>
      <c r="O23" s="90">
        <f t="shared" si="3"/>
        <v>0</v>
      </c>
    </row>
    <row r="24" spans="1:15" s="102" customFormat="1" x14ac:dyDescent="0.2">
      <c r="A24" s="107" t="s">
        <v>22</v>
      </c>
      <c r="B24" s="107" t="s">
        <v>282</v>
      </c>
      <c r="C24" s="112" t="s">
        <v>283</v>
      </c>
      <c r="D24" s="89"/>
      <c r="E24" s="89"/>
      <c r="F24" s="89"/>
      <c r="G24" s="89"/>
      <c r="H24" s="89"/>
      <c r="I24" s="89"/>
      <c r="J24" s="89"/>
      <c r="K24" s="90"/>
      <c r="L24" s="90"/>
      <c r="M24" s="90">
        <f t="shared" si="1"/>
        <v>0</v>
      </c>
      <c r="N24" s="90">
        <f t="shared" si="2"/>
        <v>0</v>
      </c>
      <c r="O24" s="90">
        <f t="shared" si="3"/>
        <v>0</v>
      </c>
    </row>
    <row r="25" spans="1:15" s="132" customFormat="1" x14ac:dyDescent="0.2">
      <c r="A25" s="107" t="s">
        <v>24</v>
      </c>
      <c r="B25" s="110" t="s">
        <v>284</v>
      </c>
      <c r="C25" s="113" t="s">
        <v>285</v>
      </c>
      <c r="D25" s="87">
        <f t="shared" ref="D25:L25" si="6">SUM(D23:D24)</f>
        <v>0</v>
      </c>
      <c r="E25" s="87">
        <f t="shared" si="6"/>
        <v>0</v>
      </c>
      <c r="F25" s="87">
        <f t="shared" si="6"/>
        <v>0</v>
      </c>
      <c r="G25" s="87">
        <f t="shared" si="6"/>
        <v>0</v>
      </c>
      <c r="H25" s="87">
        <f t="shared" si="6"/>
        <v>0</v>
      </c>
      <c r="I25" s="87">
        <f t="shared" si="6"/>
        <v>0</v>
      </c>
      <c r="J25" s="87">
        <f t="shared" si="6"/>
        <v>0</v>
      </c>
      <c r="K25" s="87">
        <f t="shared" si="6"/>
        <v>0</v>
      </c>
      <c r="L25" s="87">
        <f t="shared" si="6"/>
        <v>0</v>
      </c>
      <c r="M25" s="413">
        <f t="shared" si="1"/>
        <v>0</v>
      </c>
      <c r="N25" s="413">
        <f t="shared" si="2"/>
        <v>0</v>
      </c>
      <c r="O25" s="413">
        <f t="shared" si="3"/>
        <v>0</v>
      </c>
    </row>
    <row r="26" spans="1:15" s="102" customFormat="1" x14ac:dyDescent="0.2">
      <c r="A26" s="107" t="s">
        <v>39</v>
      </c>
      <c r="B26" s="107" t="s">
        <v>286</v>
      </c>
      <c r="C26" s="112" t="s">
        <v>287</v>
      </c>
      <c r="D26" s="89"/>
      <c r="E26" s="89"/>
      <c r="F26" s="89"/>
      <c r="G26" s="89"/>
      <c r="H26" s="89"/>
      <c r="I26" s="89"/>
      <c r="J26" s="89"/>
      <c r="K26" s="90"/>
      <c r="L26" s="90"/>
      <c r="M26" s="90">
        <f t="shared" si="1"/>
        <v>0</v>
      </c>
      <c r="N26" s="90">
        <f t="shared" si="2"/>
        <v>0</v>
      </c>
      <c r="O26" s="90">
        <f t="shared" si="3"/>
        <v>0</v>
      </c>
    </row>
    <row r="27" spans="1:15" s="102" customFormat="1" x14ac:dyDescent="0.2">
      <c r="A27" s="107" t="s">
        <v>40</v>
      </c>
      <c r="B27" s="107" t="s">
        <v>288</v>
      </c>
      <c r="C27" s="112" t="s">
        <v>289</v>
      </c>
      <c r="D27" s="89"/>
      <c r="E27" s="89"/>
      <c r="F27" s="89"/>
      <c r="G27" s="89"/>
      <c r="H27" s="89"/>
      <c r="I27" s="89"/>
      <c r="J27" s="89"/>
      <c r="K27" s="90"/>
      <c r="L27" s="90"/>
      <c r="M27" s="90">
        <f t="shared" si="1"/>
        <v>0</v>
      </c>
      <c r="N27" s="90">
        <f t="shared" si="2"/>
        <v>0</v>
      </c>
      <c r="O27" s="90">
        <f t="shared" si="3"/>
        <v>0</v>
      </c>
    </row>
    <row r="28" spans="1:15" s="132" customFormat="1" x14ac:dyDescent="0.2">
      <c r="A28" s="107" t="s">
        <v>41</v>
      </c>
      <c r="B28" s="110" t="s">
        <v>290</v>
      </c>
      <c r="C28" s="113" t="s">
        <v>291</v>
      </c>
      <c r="D28" s="87">
        <f t="shared" ref="D28:L28" si="7">SUM(D26:D27)</f>
        <v>0</v>
      </c>
      <c r="E28" s="87">
        <f t="shared" si="7"/>
        <v>0</v>
      </c>
      <c r="F28" s="87">
        <f t="shared" si="7"/>
        <v>0</v>
      </c>
      <c r="G28" s="87">
        <f t="shared" si="7"/>
        <v>0</v>
      </c>
      <c r="H28" s="87">
        <f t="shared" si="7"/>
        <v>0</v>
      </c>
      <c r="I28" s="87">
        <f t="shared" si="7"/>
        <v>0</v>
      </c>
      <c r="J28" s="87">
        <f t="shared" si="7"/>
        <v>0</v>
      </c>
      <c r="K28" s="87">
        <f t="shared" si="7"/>
        <v>0</v>
      </c>
      <c r="L28" s="87">
        <f t="shared" si="7"/>
        <v>0</v>
      </c>
      <c r="M28" s="413">
        <f t="shared" si="1"/>
        <v>0</v>
      </c>
      <c r="N28" s="413">
        <f t="shared" si="2"/>
        <v>0</v>
      </c>
      <c r="O28" s="413">
        <f t="shared" si="3"/>
        <v>0</v>
      </c>
    </row>
    <row r="29" spans="1:15" s="122" customFormat="1" x14ac:dyDescent="0.2">
      <c r="A29" s="107" t="s">
        <v>42</v>
      </c>
      <c r="B29" s="107" t="s">
        <v>292</v>
      </c>
      <c r="C29" s="112" t="s">
        <v>293</v>
      </c>
      <c r="D29" s="89"/>
      <c r="E29" s="89"/>
      <c r="F29" s="89"/>
      <c r="G29" s="89"/>
      <c r="H29" s="89"/>
      <c r="I29" s="89"/>
      <c r="J29" s="89"/>
      <c r="K29" s="90"/>
      <c r="L29" s="90"/>
      <c r="M29" s="90">
        <f t="shared" si="1"/>
        <v>0</v>
      </c>
      <c r="N29" s="90">
        <f t="shared" si="2"/>
        <v>0</v>
      </c>
      <c r="O29" s="90">
        <f t="shared" si="3"/>
        <v>0</v>
      </c>
    </row>
    <row r="30" spans="1:15" s="122" customFormat="1" x14ac:dyDescent="0.2">
      <c r="A30" s="107" t="s">
        <v>43</v>
      </c>
      <c r="B30" s="107" t="s">
        <v>294</v>
      </c>
      <c r="C30" s="112" t="s">
        <v>295</v>
      </c>
      <c r="D30" s="89"/>
      <c r="E30" s="89"/>
      <c r="F30" s="89"/>
      <c r="G30" s="89">
        <v>30129</v>
      </c>
      <c r="H30" s="89">
        <v>30129</v>
      </c>
      <c r="I30" s="89">
        <v>30129</v>
      </c>
      <c r="J30" s="89"/>
      <c r="K30" s="90"/>
      <c r="L30" s="90"/>
      <c r="M30" s="90">
        <f t="shared" si="1"/>
        <v>30129</v>
      </c>
      <c r="N30" s="90">
        <f t="shared" si="2"/>
        <v>30129</v>
      </c>
      <c r="O30" s="90">
        <f t="shared" si="3"/>
        <v>30129</v>
      </c>
    </row>
    <row r="31" spans="1:15" s="122" customFormat="1" x14ac:dyDescent="0.2">
      <c r="A31" s="107" t="s">
        <v>44</v>
      </c>
      <c r="B31" s="107" t="s">
        <v>445</v>
      </c>
      <c r="C31" s="112" t="s">
        <v>446</v>
      </c>
      <c r="D31" s="89"/>
      <c r="E31" s="89"/>
      <c r="F31" s="89"/>
      <c r="G31" s="89"/>
      <c r="H31" s="89"/>
      <c r="I31" s="89"/>
      <c r="J31" s="89">
        <f>'18.m. Önk. rovat+cofog'!BO143</f>
        <v>43535034</v>
      </c>
      <c r="K31" s="89">
        <f>'18.m. Önk. rovat+cofog'!BP143</f>
        <v>44282799</v>
      </c>
      <c r="L31" s="90">
        <v>44282799</v>
      </c>
      <c r="M31" s="90">
        <f t="shared" si="1"/>
        <v>43535034</v>
      </c>
      <c r="N31" s="90">
        <f t="shared" si="2"/>
        <v>44282799</v>
      </c>
      <c r="O31" s="90">
        <f t="shared" si="3"/>
        <v>44282799</v>
      </c>
    </row>
    <row r="32" spans="1:15" s="132" customFormat="1" x14ac:dyDescent="0.2">
      <c r="A32" s="107" t="s">
        <v>45</v>
      </c>
      <c r="B32" s="110" t="s">
        <v>296</v>
      </c>
      <c r="C32" s="113" t="s">
        <v>297</v>
      </c>
      <c r="D32" s="87">
        <f t="shared" ref="D32:L32" si="8">SUM(D29:D31)</f>
        <v>0</v>
      </c>
      <c r="E32" s="87">
        <f t="shared" si="8"/>
        <v>0</v>
      </c>
      <c r="F32" s="87">
        <f t="shared" si="8"/>
        <v>0</v>
      </c>
      <c r="G32" s="87">
        <f t="shared" si="8"/>
        <v>30129</v>
      </c>
      <c r="H32" s="87">
        <f t="shared" si="8"/>
        <v>30129</v>
      </c>
      <c r="I32" s="87">
        <f t="shared" si="8"/>
        <v>30129</v>
      </c>
      <c r="J32" s="87">
        <f t="shared" si="8"/>
        <v>43535034</v>
      </c>
      <c r="K32" s="87">
        <f t="shared" si="8"/>
        <v>44282799</v>
      </c>
      <c r="L32" s="87">
        <f t="shared" si="8"/>
        <v>44282799</v>
      </c>
      <c r="M32" s="413">
        <f t="shared" si="1"/>
        <v>43565163</v>
      </c>
      <c r="N32" s="413">
        <f t="shared" si="2"/>
        <v>44312928</v>
      </c>
      <c r="O32" s="413">
        <f t="shared" si="3"/>
        <v>44312928</v>
      </c>
    </row>
    <row r="33" spans="1:15" s="132" customFormat="1" ht="24.75" customHeight="1" x14ac:dyDescent="0.2">
      <c r="A33" s="80"/>
      <c r="B33" s="1112" t="s">
        <v>298</v>
      </c>
      <c r="C33" s="1113"/>
      <c r="D33" s="87">
        <f t="shared" ref="D33:L33" si="9">D12+D13+D20+D22+D25+D28+D32</f>
        <v>0</v>
      </c>
      <c r="E33" s="87">
        <f t="shared" si="9"/>
        <v>0</v>
      </c>
      <c r="F33" s="87">
        <f t="shared" si="9"/>
        <v>0</v>
      </c>
      <c r="G33" s="87">
        <f t="shared" si="9"/>
        <v>30279</v>
      </c>
      <c r="H33" s="87">
        <f t="shared" si="9"/>
        <v>30279</v>
      </c>
      <c r="I33" s="87">
        <f t="shared" si="9"/>
        <v>30131</v>
      </c>
      <c r="J33" s="87">
        <f t="shared" si="9"/>
        <v>43535034</v>
      </c>
      <c r="K33" s="87">
        <f t="shared" si="9"/>
        <v>44282799</v>
      </c>
      <c r="L33" s="87">
        <f t="shared" si="9"/>
        <v>44282799</v>
      </c>
      <c r="M33" s="413">
        <f t="shared" si="1"/>
        <v>43565313</v>
      </c>
      <c r="N33" s="413">
        <f t="shared" si="2"/>
        <v>44313078</v>
      </c>
      <c r="O33" s="413">
        <f t="shared" si="3"/>
        <v>44312930</v>
      </c>
    </row>
    <row r="34" spans="1:15" s="102" customFormat="1" x14ac:dyDescent="0.2">
      <c r="A34" s="101"/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</row>
    <row r="35" spans="1:15" s="102" customFormat="1" ht="13.5" customHeight="1" x14ac:dyDescent="0.2">
      <c r="A35" s="104" t="s">
        <v>299</v>
      </c>
      <c r="B35" s="104"/>
      <c r="C35" s="104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</row>
    <row r="36" spans="1:15" s="133" customFormat="1" ht="14.25" customHeight="1" x14ac:dyDescent="0.2">
      <c r="A36" s="117"/>
      <c r="B36" s="1116"/>
      <c r="C36" s="1116"/>
      <c r="D36" s="1097" t="s">
        <v>149</v>
      </c>
      <c r="E36" s="1098"/>
      <c r="F36" s="1099"/>
      <c r="G36" s="1097" t="s">
        <v>438</v>
      </c>
      <c r="H36" s="1098"/>
      <c r="I36" s="1099"/>
      <c r="J36" s="1097" t="s">
        <v>153</v>
      </c>
      <c r="K36" s="1098"/>
      <c r="L36" s="1099"/>
      <c r="M36" s="1097"/>
      <c r="N36" s="1098"/>
      <c r="O36" s="1099"/>
    </row>
    <row r="37" spans="1:15" s="131" customFormat="1" ht="14.25" customHeight="1" x14ac:dyDescent="0.2">
      <c r="A37" s="105"/>
      <c r="B37" s="1110" t="s">
        <v>154</v>
      </c>
      <c r="C37" s="1111"/>
      <c r="D37" s="1094" t="s">
        <v>439</v>
      </c>
      <c r="E37" s="1095"/>
      <c r="F37" s="1096"/>
      <c r="G37" s="1094" t="s">
        <v>439</v>
      </c>
      <c r="H37" s="1095"/>
      <c r="I37" s="1096"/>
      <c r="J37" s="1094" t="s">
        <v>177</v>
      </c>
      <c r="K37" s="1095"/>
      <c r="L37" s="1096"/>
      <c r="M37" s="1094"/>
      <c r="N37" s="1095"/>
      <c r="O37" s="1096"/>
    </row>
    <row r="38" spans="1:15" s="131" customFormat="1" ht="14.25" customHeight="1" x14ac:dyDescent="0.2">
      <c r="A38" s="105"/>
      <c r="B38" s="1085"/>
      <c r="C38" s="1087"/>
      <c r="D38" s="1088" t="s">
        <v>440</v>
      </c>
      <c r="E38" s="1089"/>
      <c r="F38" s="1090"/>
      <c r="G38" s="1088" t="s">
        <v>441</v>
      </c>
      <c r="H38" s="1089"/>
      <c r="I38" s="1090"/>
      <c r="J38" s="1125" t="s">
        <v>442</v>
      </c>
      <c r="K38" s="1126"/>
      <c r="L38" s="1127"/>
      <c r="M38" s="1128" t="s">
        <v>443</v>
      </c>
      <c r="N38" s="1129"/>
      <c r="O38" s="1130"/>
    </row>
    <row r="39" spans="1:15" s="102" customFormat="1" ht="15" customHeight="1" x14ac:dyDescent="0.2">
      <c r="A39" s="1117" t="s">
        <v>195</v>
      </c>
      <c r="B39" s="1131" t="s">
        <v>196</v>
      </c>
      <c r="C39" s="118"/>
      <c r="D39" s="1073" t="s">
        <v>128</v>
      </c>
      <c r="E39" s="1074"/>
      <c r="F39" s="1075"/>
      <c r="G39" s="1073" t="s">
        <v>444</v>
      </c>
      <c r="H39" s="1074"/>
      <c r="I39" s="1075"/>
      <c r="J39" s="1076" t="s">
        <v>206</v>
      </c>
      <c r="K39" s="1077"/>
      <c r="L39" s="1078"/>
      <c r="M39" s="1076" t="s">
        <v>128</v>
      </c>
      <c r="N39" s="1077"/>
      <c r="O39" s="1078"/>
    </row>
    <row r="40" spans="1:15" s="122" customFormat="1" ht="15.75" customHeight="1" x14ac:dyDescent="0.2">
      <c r="A40" s="1118"/>
      <c r="B40" s="1131"/>
      <c r="C40" s="108" t="s">
        <v>1</v>
      </c>
      <c r="D40" s="1070" t="s">
        <v>440</v>
      </c>
      <c r="E40" s="1071"/>
      <c r="F40" s="1072"/>
      <c r="G40" s="1070" t="s">
        <v>441</v>
      </c>
      <c r="H40" s="1071"/>
      <c r="I40" s="1072"/>
      <c r="J40" s="1070" t="s">
        <v>453</v>
      </c>
      <c r="K40" s="1071"/>
      <c r="L40" s="1072"/>
      <c r="M40" s="1070" t="s">
        <v>179</v>
      </c>
      <c r="N40" s="1071"/>
      <c r="O40" s="1072"/>
    </row>
    <row r="41" spans="1:15" s="122" customFormat="1" ht="25.5" x14ac:dyDescent="0.2">
      <c r="A41" s="1119"/>
      <c r="B41" s="1131"/>
      <c r="C41" s="109"/>
      <c r="D41" s="378" t="s">
        <v>673</v>
      </c>
      <c r="E41" s="378" t="s">
        <v>674</v>
      </c>
      <c r="F41" s="378" t="s">
        <v>845</v>
      </c>
      <c r="G41" s="378" t="s">
        <v>673</v>
      </c>
      <c r="H41" s="378" t="s">
        <v>674</v>
      </c>
      <c r="I41" s="378" t="s">
        <v>845</v>
      </c>
      <c r="J41" s="378" t="s">
        <v>673</v>
      </c>
      <c r="K41" s="378" t="s">
        <v>674</v>
      </c>
      <c r="L41" s="378" t="s">
        <v>845</v>
      </c>
      <c r="M41" s="377" t="s">
        <v>673</v>
      </c>
      <c r="N41" s="377" t="s">
        <v>674</v>
      </c>
      <c r="O41" s="378" t="s">
        <v>845</v>
      </c>
    </row>
    <row r="42" spans="1:15" s="102" customFormat="1" ht="14.25" customHeight="1" x14ac:dyDescent="0.2">
      <c r="A42" s="119" t="s">
        <v>0</v>
      </c>
      <c r="B42" s="119" t="s">
        <v>300</v>
      </c>
      <c r="C42" s="120" t="s">
        <v>301</v>
      </c>
      <c r="D42" s="93">
        <f>'aládolgozó számítások'!N89-500000</f>
        <v>30867005</v>
      </c>
      <c r="E42" s="93">
        <f>'aládolgozó számítások'!O101-1397088</f>
        <v>30947592</v>
      </c>
      <c r="F42" s="93">
        <v>30865909</v>
      </c>
      <c r="G42" s="93"/>
      <c r="H42" s="93"/>
      <c r="I42" s="93"/>
      <c r="J42" s="93"/>
      <c r="K42" s="94"/>
      <c r="L42" s="410"/>
      <c r="M42" s="410">
        <f>D42+G42+J42</f>
        <v>30867005</v>
      </c>
      <c r="N42" s="93">
        <f>E42+H42+K42</f>
        <v>30947592</v>
      </c>
      <c r="O42" s="93">
        <f>F42+I42+L42</f>
        <v>30865909</v>
      </c>
    </row>
    <row r="43" spans="1:15" s="102" customFormat="1" ht="14.25" customHeight="1" x14ac:dyDescent="0.2">
      <c r="A43" s="119" t="s">
        <v>6</v>
      </c>
      <c r="B43" s="119" t="s">
        <v>648</v>
      </c>
      <c r="C43" s="120" t="s">
        <v>649</v>
      </c>
      <c r="D43" s="93">
        <v>0</v>
      </c>
      <c r="E43" s="93">
        <v>652726</v>
      </c>
      <c r="F43" s="93">
        <v>652726</v>
      </c>
      <c r="G43" s="93"/>
      <c r="H43" s="93"/>
      <c r="I43" s="93"/>
      <c r="J43" s="93"/>
      <c r="K43" s="94"/>
      <c r="L43" s="410"/>
      <c r="M43" s="410">
        <f t="shared" ref="M43:M99" si="10">D43+G43+J43</f>
        <v>0</v>
      </c>
      <c r="N43" s="93">
        <f t="shared" ref="N43:O99" si="11">E43+H43+K43</f>
        <v>652726</v>
      </c>
      <c r="O43" s="93">
        <f t="shared" ref="O43:O95" si="12">F43+I43+L43</f>
        <v>652726</v>
      </c>
    </row>
    <row r="44" spans="1:15" s="102" customFormat="1" ht="14.25" customHeight="1" x14ac:dyDescent="0.2">
      <c r="A44" s="119" t="s">
        <v>14</v>
      </c>
      <c r="B44" s="119" t="s">
        <v>302</v>
      </c>
      <c r="C44" s="120" t="s">
        <v>303</v>
      </c>
      <c r="D44" s="93">
        <f>'aládolgozó számítások'!N91</f>
        <v>0</v>
      </c>
      <c r="E44" s="93">
        <f>'aládolgozó számítások'!O103</f>
        <v>0</v>
      </c>
      <c r="F44" s="93">
        <v>0</v>
      </c>
      <c r="G44" s="93"/>
      <c r="H44" s="93"/>
      <c r="I44" s="93"/>
      <c r="J44" s="93"/>
      <c r="K44" s="94"/>
      <c r="L44" s="410"/>
      <c r="M44" s="410">
        <f t="shared" si="10"/>
        <v>0</v>
      </c>
      <c r="N44" s="93">
        <f t="shared" si="11"/>
        <v>0</v>
      </c>
      <c r="O44" s="93">
        <f t="shared" si="12"/>
        <v>0</v>
      </c>
    </row>
    <row r="45" spans="1:15" s="102" customFormat="1" ht="14.25" customHeight="1" x14ac:dyDescent="0.2">
      <c r="A45" s="119" t="s">
        <v>17</v>
      </c>
      <c r="B45" s="119" t="s">
        <v>304</v>
      </c>
      <c r="C45" s="120" t="s">
        <v>305</v>
      </c>
      <c r="D45" s="93">
        <f>'aládolgozó számítások'!N92</f>
        <v>1013985</v>
      </c>
      <c r="E45" s="93">
        <f>'aládolgozó számítások'!O104</f>
        <v>1115385</v>
      </c>
      <c r="F45" s="93">
        <v>1115385</v>
      </c>
      <c r="G45" s="93"/>
      <c r="H45" s="93"/>
      <c r="I45" s="93"/>
      <c r="J45" s="93"/>
      <c r="K45" s="94"/>
      <c r="L45" s="410"/>
      <c r="M45" s="410">
        <f t="shared" si="10"/>
        <v>1013985</v>
      </c>
      <c r="N45" s="93">
        <f t="shared" si="11"/>
        <v>1115385</v>
      </c>
      <c r="O45" s="93">
        <f t="shared" si="12"/>
        <v>1115385</v>
      </c>
    </row>
    <row r="46" spans="1:15" s="102" customFormat="1" ht="14.25" customHeight="1" x14ac:dyDescent="0.2">
      <c r="A46" s="119" t="s">
        <v>33</v>
      </c>
      <c r="B46" s="119" t="s">
        <v>306</v>
      </c>
      <c r="C46" s="120" t="s">
        <v>607</v>
      </c>
      <c r="D46" s="93">
        <f>'aládolgozó számítások'!N93</f>
        <v>0</v>
      </c>
      <c r="E46" s="93">
        <f>'aládolgozó számítások'!O105</f>
        <v>0</v>
      </c>
      <c r="F46" s="93">
        <v>0</v>
      </c>
      <c r="G46" s="93"/>
      <c r="H46" s="93"/>
      <c r="I46" s="93"/>
      <c r="J46" s="93"/>
      <c r="K46" s="94"/>
      <c r="L46" s="410"/>
      <c r="M46" s="410">
        <f t="shared" si="10"/>
        <v>0</v>
      </c>
      <c r="N46" s="93">
        <f t="shared" si="11"/>
        <v>0</v>
      </c>
      <c r="O46" s="93">
        <f t="shared" si="12"/>
        <v>0</v>
      </c>
    </row>
    <row r="47" spans="1:15" s="102" customFormat="1" ht="14.25" customHeight="1" x14ac:dyDescent="0.2">
      <c r="A47" s="119" t="s">
        <v>35</v>
      </c>
      <c r="B47" s="119" t="s">
        <v>307</v>
      </c>
      <c r="C47" s="120" t="s">
        <v>308</v>
      </c>
      <c r="D47" s="93">
        <f>'aládolgozó számítások'!N94</f>
        <v>495000</v>
      </c>
      <c r="E47" s="93">
        <f>'aládolgozó számítások'!O106-55400</f>
        <v>309600</v>
      </c>
      <c r="F47" s="93">
        <v>259500</v>
      </c>
      <c r="G47" s="93"/>
      <c r="H47" s="93"/>
      <c r="I47" s="93"/>
      <c r="J47" s="93"/>
      <c r="K47" s="94"/>
      <c r="L47" s="410"/>
      <c r="M47" s="410">
        <f t="shared" si="10"/>
        <v>495000</v>
      </c>
      <c r="N47" s="93">
        <f t="shared" si="11"/>
        <v>309600</v>
      </c>
      <c r="O47" s="93">
        <f t="shared" si="12"/>
        <v>259500</v>
      </c>
    </row>
    <row r="48" spans="1:15" s="102" customFormat="1" ht="14.25" customHeight="1" x14ac:dyDescent="0.2">
      <c r="A48" s="119" t="s">
        <v>30</v>
      </c>
      <c r="B48" s="119" t="s">
        <v>309</v>
      </c>
      <c r="C48" s="120" t="s">
        <v>310</v>
      </c>
      <c r="D48" s="93">
        <f>'aládolgozó számítások'!N95</f>
        <v>0</v>
      </c>
      <c r="E48" s="93">
        <f>'aládolgozó számítások'!O107</f>
        <v>0</v>
      </c>
      <c r="F48" s="93">
        <v>0</v>
      </c>
      <c r="G48" s="93"/>
      <c r="H48" s="93"/>
      <c r="I48" s="93"/>
      <c r="J48" s="93"/>
      <c r="K48" s="94"/>
      <c r="L48" s="410"/>
      <c r="M48" s="410">
        <f t="shared" si="10"/>
        <v>0</v>
      </c>
      <c r="N48" s="93">
        <f t="shared" si="11"/>
        <v>0</v>
      </c>
      <c r="O48" s="93">
        <f t="shared" si="12"/>
        <v>0</v>
      </c>
    </row>
    <row r="49" spans="1:15" s="102" customFormat="1" ht="14.25" customHeight="1" x14ac:dyDescent="0.2">
      <c r="A49" s="119" t="s">
        <v>18</v>
      </c>
      <c r="B49" s="119" t="s">
        <v>311</v>
      </c>
      <c r="C49" s="120" t="s">
        <v>605</v>
      </c>
      <c r="D49" s="93">
        <v>500000</v>
      </c>
      <c r="E49" s="93">
        <v>598452</v>
      </c>
      <c r="F49" s="93">
        <v>598452</v>
      </c>
      <c r="G49" s="93"/>
      <c r="H49" s="93"/>
      <c r="I49" s="93"/>
      <c r="J49" s="93"/>
      <c r="K49" s="94"/>
      <c r="L49" s="410"/>
      <c r="M49" s="410">
        <f t="shared" si="10"/>
        <v>500000</v>
      </c>
      <c r="N49" s="93">
        <f t="shared" si="11"/>
        <v>598452</v>
      </c>
      <c r="O49" s="93">
        <f t="shared" si="12"/>
        <v>598452</v>
      </c>
    </row>
    <row r="50" spans="1:15" s="102" customFormat="1" ht="14.25" customHeight="1" x14ac:dyDescent="0.2">
      <c r="A50" s="119" t="s">
        <v>19</v>
      </c>
      <c r="B50" s="110" t="s">
        <v>458</v>
      </c>
      <c r="C50" s="111" t="s">
        <v>459</v>
      </c>
      <c r="D50" s="70">
        <f t="shared" ref="D50:L50" si="13">SUM(D42:D49)</f>
        <v>32875990</v>
      </c>
      <c r="E50" s="70">
        <f t="shared" si="13"/>
        <v>33623755</v>
      </c>
      <c r="F50" s="70">
        <f t="shared" si="13"/>
        <v>33491972</v>
      </c>
      <c r="G50" s="70">
        <f t="shared" si="13"/>
        <v>0</v>
      </c>
      <c r="H50" s="70">
        <f t="shared" si="13"/>
        <v>0</v>
      </c>
      <c r="I50" s="70">
        <f t="shared" si="13"/>
        <v>0</v>
      </c>
      <c r="J50" s="70">
        <f t="shared" si="13"/>
        <v>0</v>
      </c>
      <c r="K50" s="70">
        <f t="shared" si="13"/>
        <v>0</v>
      </c>
      <c r="L50" s="70">
        <f t="shared" si="13"/>
        <v>0</v>
      </c>
      <c r="M50" s="412">
        <f t="shared" si="10"/>
        <v>32875990</v>
      </c>
      <c r="N50" s="416">
        <f t="shared" si="11"/>
        <v>33623755</v>
      </c>
      <c r="O50" s="416">
        <f t="shared" si="12"/>
        <v>33491972</v>
      </c>
    </row>
    <row r="51" spans="1:15" s="102" customFormat="1" ht="14.25" customHeight="1" x14ac:dyDescent="0.2">
      <c r="A51" s="119" t="s">
        <v>20</v>
      </c>
      <c r="B51" s="119" t="s">
        <v>314</v>
      </c>
      <c r="C51" s="120" t="s">
        <v>315</v>
      </c>
      <c r="D51" s="93"/>
      <c r="E51" s="93"/>
      <c r="F51" s="93"/>
      <c r="G51" s="93"/>
      <c r="H51" s="93"/>
      <c r="I51" s="93"/>
      <c r="J51" s="93"/>
      <c r="K51" s="94"/>
      <c r="L51" s="410"/>
      <c r="M51" s="410">
        <f t="shared" si="10"/>
        <v>0</v>
      </c>
      <c r="N51" s="93">
        <f t="shared" si="11"/>
        <v>0</v>
      </c>
      <c r="O51" s="93">
        <f t="shared" si="12"/>
        <v>0</v>
      </c>
    </row>
    <row r="52" spans="1:15" s="102" customFormat="1" ht="14.25" customHeight="1" x14ac:dyDescent="0.2">
      <c r="A52" s="119" t="s">
        <v>21</v>
      </c>
      <c r="B52" s="119" t="s">
        <v>316</v>
      </c>
      <c r="C52" s="120" t="s">
        <v>317</v>
      </c>
      <c r="D52" s="93"/>
      <c r="E52" s="93"/>
      <c r="F52" s="93"/>
      <c r="G52" s="93"/>
      <c r="H52" s="93"/>
      <c r="I52" s="93"/>
      <c r="J52" s="93"/>
      <c r="K52" s="94"/>
      <c r="L52" s="410"/>
      <c r="M52" s="410">
        <f t="shared" si="10"/>
        <v>0</v>
      </c>
      <c r="N52" s="93">
        <f t="shared" si="11"/>
        <v>0</v>
      </c>
      <c r="O52" s="93">
        <f t="shared" si="12"/>
        <v>0</v>
      </c>
    </row>
    <row r="53" spans="1:15" s="102" customFormat="1" ht="14.25" customHeight="1" x14ac:dyDescent="0.2">
      <c r="A53" s="119" t="s">
        <v>31</v>
      </c>
      <c r="B53" s="110" t="s">
        <v>460</v>
      </c>
      <c r="C53" s="111" t="s">
        <v>461</v>
      </c>
      <c r="D53" s="70">
        <f t="shared" ref="D53:L53" si="14">SUM(D51:D52)</f>
        <v>0</v>
      </c>
      <c r="E53" s="70">
        <f t="shared" si="14"/>
        <v>0</v>
      </c>
      <c r="F53" s="70">
        <f t="shared" si="14"/>
        <v>0</v>
      </c>
      <c r="G53" s="70">
        <f t="shared" si="14"/>
        <v>0</v>
      </c>
      <c r="H53" s="70">
        <f t="shared" si="14"/>
        <v>0</v>
      </c>
      <c r="I53" s="70">
        <f t="shared" si="14"/>
        <v>0</v>
      </c>
      <c r="J53" s="70">
        <f t="shared" si="14"/>
        <v>0</v>
      </c>
      <c r="K53" s="70">
        <f t="shared" si="14"/>
        <v>0</v>
      </c>
      <c r="L53" s="70">
        <f t="shared" si="14"/>
        <v>0</v>
      </c>
      <c r="M53" s="412">
        <f t="shared" si="10"/>
        <v>0</v>
      </c>
      <c r="N53" s="416">
        <f t="shared" si="11"/>
        <v>0</v>
      </c>
      <c r="O53" s="416">
        <f t="shared" si="12"/>
        <v>0</v>
      </c>
    </row>
    <row r="54" spans="1:15" s="132" customFormat="1" ht="14.25" customHeight="1" x14ac:dyDescent="0.2">
      <c r="A54" s="119" t="s">
        <v>22</v>
      </c>
      <c r="B54" s="110" t="s">
        <v>318</v>
      </c>
      <c r="C54" s="111" t="s">
        <v>319</v>
      </c>
      <c r="D54" s="87">
        <f t="shared" ref="D54:L54" si="15">D50+D53</f>
        <v>32875990</v>
      </c>
      <c r="E54" s="87">
        <f t="shared" si="15"/>
        <v>33623755</v>
      </c>
      <c r="F54" s="87">
        <f t="shared" si="15"/>
        <v>33491972</v>
      </c>
      <c r="G54" s="87">
        <f t="shared" si="15"/>
        <v>0</v>
      </c>
      <c r="H54" s="87">
        <f t="shared" si="15"/>
        <v>0</v>
      </c>
      <c r="I54" s="87">
        <f t="shared" si="15"/>
        <v>0</v>
      </c>
      <c r="J54" s="87">
        <f t="shared" si="15"/>
        <v>0</v>
      </c>
      <c r="K54" s="87">
        <f t="shared" si="15"/>
        <v>0</v>
      </c>
      <c r="L54" s="87">
        <f t="shared" si="15"/>
        <v>0</v>
      </c>
      <c r="M54" s="412">
        <f t="shared" si="10"/>
        <v>32875990</v>
      </c>
      <c r="N54" s="416">
        <f t="shared" si="11"/>
        <v>33623755</v>
      </c>
      <c r="O54" s="416">
        <f t="shared" si="12"/>
        <v>33491972</v>
      </c>
    </row>
    <row r="55" spans="1:15" s="122" customFormat="1" ht="14.25" customHeight="1" x14ac:dyDescent="0.2">
      <c r="A55" s="119" t="s">
        <v>24</v>
      </c>
      <c r="B55" s="107" t="s">
        <v>320</v>
      </c>
      <c r="C55" s="121" t="s">
        <v>769</v>
      </c>
      <c r="D55" s="69">
        <f>(D42+D49+D45)*0.175</f>
        <v>5666673.25</v>
      </c>
      <c r="E55" s="69">
        <f>'aládolgozó számítások'!P101*0.175+('aládolgozó számítások'!Q101+'aládolgozó számítások'!O104)*0.155+E49*0.165-31493</f>
        <v>5616673.1550000003</v>
      </c>
      <c r="F55" s="69">
        <v>5379521</v>
      </c>
      <c r="G55" s="69"/>
      <c r="H55" s="69"/>
      <c r="I55" s="69"/>
      <c r="J55" s="85"/>
      <c r="K55" s="409"/>
      <c r="L55" s="514"/>
      <c r="M55" s="410">
        <f t="shared" si="10"/>
        <v>5666673.25</v>
      </c>
      <c r="N55" s="93">
        <f t="shared" si="11"/>
        <v>5616673.1550000003</v>
      </c>
      <c r="O55" s="93">
        <f t="shared" si="12"/>
        <v>5379521</v>
      </c>
    </row>
    <row r="56" spans="1:15" s="122" customFormat="1" ht="14.25" customHeight="1" x14ac:dyDescent="0.2">
      <c r="A56" s="119" t="s">
        <v>39</v>
      </c>
      <c r="B56" s="107" t="s">
        <v>320</v>
      </c>
      <c r="C56" s="121" t="s">
        <v>714</v>
      </c>
      <c r="D56" s="69">
        <f>D46*1.18*0.14</f>
        <v>0</v>
      </c>
      <c r="E56" s="69">
        <v>50000</v>
      </c>
      <c r="F56" s="69">
        <v>24317</v>
      </c>
      <c r="G56" s="69"/>
      <c r="H56" s="69"/>
      <c r="I56" s="69"/>
      <c r="J56" s="85"/>
      <c r="K56" s="409"/>
      <c r="L56" s="514"/>
      <c r="M56" s="410">
        <f t="shared" si="10"/>
        <v>0</v>
      </c>
      <c r="N56" s="93">
        <f t="shared" si="11"/>
        <v>50000</v>
      </c>
      <c r="O56" s="93">
        <f t="shared" si="12"/>
        <v>24317</v>
      </c>
    </row>
    <row r="57" spans="1:15" s="122" customFormat="1" ht="14.25" customHeight="1" x14ac:dyDescent="0.2">
      <c r="A57" s="119" t="s">
        <v>40</v>
      </c>
      <c r="B57" s="107" t="s">
        <v>320</v>
      </c>
      <c r="C57" s="121" t="s">
        <v>495</v>
      </c>
      <c r="D57" s="69">
        <f>D46*1.18*0.15</f>
        <v>0</v>
      </c>
      <c r="E57" s="69"/>
      <c r="F57" s="69"/>
      <c r="G57" s="69"/>
      <c r="H57" s="69"/>
      <c r="I57" s="69"/>
      <c r="J57" s="85"/>
      <c r="K57" s="409"/>
      <c r="L57" s="514"/>
      <c r="M57" s="410">
        <f t="shared" si="10"/>
        <v>0</v>
      </c>
      <c r="N57" s="93">
        <f t="shared" si="11"/>
        <v>0</v>
      </c>
      <c r="O57" s="93">
        <f t="shared" si="12"/>
        <v>0</v>
      </c>
    </row>
    <row r="58" spans="1:15" s="132" customFormat="1" ht="14.25" customHeight="1" x14ac:dyDescent="0.2">
      <c r="A58" s="119" t="s">
        <v>41</v>
      </c>
      <c r="B58" s="110" t="s">
        <v>320</v>
      </c>
      <c r="C58" s="111" t="s">
        <v>321</v>
      </c>
      <c r="D58" s="87">
        <f t="shared" ref="D58:L58" si="16">SUM(D55:D57)</f>
        <v>5666673.25</v>
      </c>
      <c r="E58" s="87">
        <f t="shared" si="16"/>
        <v>5666673.1550000003</v>
      </c>
      <c r="F58" s="87">
        <f t="shared" si="16"/>
        <v>5403838</v>
      </c>
      <c r="G58" s="87">
        <f t="shared" si="16"/>
        <v>0</v>
      </c>
      <c r="H58" s="87">
        <f t="shared" si="16"/>
        <v>0</v>
      </c>
      <c r="I58" s="87">
        <f t="shared" si="16"/>
        <v>0</v>
      </c>
      <c r="J58" s="87">
        <f t="shared" si="16"/>
        <v>0</v>
      </c>
      <c r="K58" s="87">
        <f t="shared" si="16"/>
        <v>0</v>
      </c>
      <c r="L58" s="87">
        <f t="shared" si="16"/>
        <v>0</v>
      </c>
      <c r="M58" s="412">
        <f t="shared" si="10"/>
        <v>5666673.25</v>
      </c>
      <c r="N58" s="416">
        <f t="shared" si="11"/>
        <v>5666673.1550000003</v>
      </c>
      <c r="O58" s="416">
        <f t="shared" si="12"/>
        <v>5403838</v>
      </c>
    </row>
    <row r="59" spans="1:15" s="102" customFormat="1" ht="14.25" customHeight="1" x14ac:dyDescent="0.2">
      <c r="A59" s="119" t="s">
        <v>42</v>
      </c>
      <c r="B59" s="119" t="s">
        <v>322</v>
      </c>
      <c r="C59" s="120" t="s">
        <v>323</v>
      </c>
      <c r="D59" s="93">
        <v>100000</v>
      </c>
      <c r="E59" s="93">
        <v>100000</v>
      </c>
      <c r="F59" s="93">
        <v>33709</v>
      </c>
      <c r="G59" s="93"/>
      <c r="H59" s="93"/>
      <c r="I59" s="93"/>
      <c r="J59" s="93"/>
      <c r="K59" s="94"/>
      <c r="L59" s="410"/>
      <c r="M59" s="410">
        <f t="shared" si="10"/>
        <v>100000</v>
      </c>
      <c r="N59" s="93">
        <f t="shared" si="11"/>
        <v>100000</v>
      </c>
      <c r="O59" s="93">
        <f t="shared" si="12"/>
        <v>33709</v>
      </c>
    </row>
    <row r="60" spans="1:15" s="102" customFormat="1" ht="14.25" customHeight="1" x14ac:dyDescent="0.2">
      <c r="A60" s="119" t="s">
        <v>43</v>
      </c>
      <c r="B60" s="119" t="s">
        <v>324</v>
      </c>
      <c r="C60" s="120" t="s">
        <v>325</v>
      </c>
      <c r="D60" s="93">
        <v>200000</v>
      </c>
      <c r="E60" s="93"/>
      <c r="F60" s="93"/>
      <c r="G60" s="93">
        <v>1100000</v>
      </c>
      <c r="H60" s="93">
        <v>950000</v>
      </c>
      <c r="I60" s="93">
        <v>945015</v>
      </c>
      <c r="J60" s="93"/>
      <c r="K60" s="94"/>
      <c r="L60" s="410"/>
      <c r="M60" s="410">
        <f t="shared" si="10"/>
        <v>1300000</v>
      </c>
      <c r="N60" s="93">
        <f t="shared" si="11"/>
        <v>950000</v>
      </c>
      <c r="O60" s="93">
        <f t="shared" si="12"/>
        <v>945015</v>
      </c>
    </row>
    <row r="61" spans="1:15" s="132" customFormat="1" ht="14.25" customHeight="1" x14ac:dyDescent="0.2">
      <c r="A61" s="119" t="s">
        <v>44</v>
      </c>
      <c r="B61" s="110" t="s">
        <v>328</v>
      </c>
      <c r="C61" s="111" t="s">
        <v>329</v>
      </c>
      <c r="D61" s="87">
        <f>SUM(D59:D60)</f>
        <v>300000</v>
      </c>
      <c r="E61" s="87">
        <f>SUM(E59:E60)</f>
        <v>100000</v>
      </c>
      <c r="F61" s="87">
        <f t="shared" ref="F61:L61" si="17">SUM(F59:F60)</f>
        <v>33709</v>
      </c>
      <c r="G61" s="87">
        <f t="shared" si="17"/>
        <v>1100000</v>
      </c>
      <c r="H61" s="87">
        <f t="shared" si="17"/>
        <v>950000</v>
      </c>
      <c r="I61" s="87">
        <f t="shared" si="17"/>
        <v>945015</v>
      </c>
      <c r="J61" s="87">
        <f t="shared" si="17"/>
        <v>0</v>
      </c>
      <c r="K61" s="87">
        <f t="shared" si="17"/>
        <v>0</v>
      </c>
      <c r="L61" s="87">
        <f t="shared" si="17"/>
        <v>0</v>
      </c>
      <c r="M61" s="412">
        <f t="shared" si="10"/>
        <v>1400000</v>
      </c>
      <c r="N61" s="416">
        <f t="shared" si="11"/>
        <v>1050000</v>
      </c>
      <c r="O61" s="416">
        <f t="shared" si="12"/>
        <v>978724</v>
      </c>
    </row>
    <row r="62" spans="1:15" s="102" customFormat="1" ht="14.25" customHeight="1" x14ac:dyDescent="0.2">
      <c r="A62" s="119" t="s">
        <v>45</v>
      </c>
      <c r="B62" s="119" t="s">
        <v>330</v>
      </c>
      <c r="C62" s="120" t="s">
        <v>331</v>
      </c>
      <c r="D62" s="93"/>
      <c r="E62" s="93"/>
      <c r="F62" s="93"/>
      <c r="G62" s="93">
        <v>100000</v>
      </c>
      <c r="H62" s="93">
        <v>30000</v>
      </c>
      <c r="I62" s="93">
        <v>0</v>
      </c>
      <c r="J62" s="93"/>
      <c r="K62" s="94"/>
      <c r="L62" s="410"/>
      <c r="M62" s="410">
        <f t="shared" si="10"/>
        <v>100000</v>
      </c>
      <c r="N62" s="93">
        <f t="shared" si="11"/>
        <v>30000</v>
      </c>
      <c r="O62" s="93">
        <f t="shared" si="12"/>
        <v>0</v>
      </c>
    </row>
    <row r="63" spans="1:15" s="102" customFormat="1" ht="14.25" customHeight="1" x14ac:dyDescent="0.2">
      <c r="A63" s="119" t="s">
        <v>46</v>
      </c>
      <c r="B63" s="119" t="s">
        <v>332</v>
      </c>
      <c r="C63" s="120" t="s">
        <v>333</v>
      </c>
      <c r="D63" s="93"/>
      <c r="E63" s="93"/>
      <c r="F63" s="93"/>
      <c r="G63" s="93">
        <v>100000</v>
      </c>
      <c r="H63" s="93">
        <v>100000</v>
      </c>
      <c r="I63" s="93">
        <v>82770</v>
      </c>
      <c r="J63" s="93"/>
      <c r="K63" s="94"/>
      <c r="L63" s="410"/>
      <c r="M63" s="410">
        <f t="shared" si="10"/>
        <v>100000</v>
      </c>
      <c r="N63" s="93">
        <f t="shared" si="11"/>
        <v>100000</v>
      </c>
      <c r="O63" s="93">
        <f t="shared" si="12"/>
        <v>82770</v>
      </c>
    </row>
    <row r="64" spans="1:15" s="132" customFormat="1" ht="14.25" customHeight="1" x14ac:dyDescent="0.2">
      <c r="A64" s="119" t="s">
        <v>47</v>
      </c>
      <c r="B64" s="110" t="s">
        <v>334</v>
      </c>
      <c r="C64" s="111" t="s">
        <v>335</v>
      </c>
      <c r="D64" s="87">
        <f t="shared" ref="D64:L64" si="18">SUM(D62:D63)</f>
        <v>0</v>
      </c>
      <c r="E64" s="87">
        <f t="shared" si="18"/>
        <v>0</v>
      </c>
      <c r="F64" s="87">
        <f t="shared" si="18"/>
        <v>0</v>
      </c>
      <c r="G64" s="87">
        <f t="shared" si="18"/>
        <v>200000</v>
      </c>
      <c r="H64" s="87">
        <f t="shared" si="18"/>
        <v>130000</v>
      </c>
      <c r="I64" s="87">
        <f t="shared" si="18"/>
        <v>82770</v>
      </c>
      <c r="J64" s="87">
        <f t="shared" si="18"/>
        <v>0</v>
      </c>
      <c r="K64" s="87">
        <f t="shared" si="18"/>
        <v>0</v>
      </c>
      <c r="L64" s="87">
        <f t="shared" si="18"/>
        <v>0</v>
      </c>
      <c r="M64" s="412">
        <f t="shared" si="10"/>
        <v>200000</v>
      </c>
      <c r="N64" s="416">
        <f t="shared" si="11"/>
        <v>130000</v>
      </c>
      <c r="O64" s="416">
        <f t="shared" si="12"/>
        <v>82770</v>
      </c>
    </row>
    <row r="65" spans="1:15" s="131" customFormat="1" ht="14.25" customHeight="1" x14ac:dyDescent="0.2">
      <c r="A65" s="119" t="s">
        <v>50</v>
      </c>
      <c r="B65" s="123" t="s">
        <v>336</v>
      </c>
      <c r="C65" s="124" t="s">
        <v>337</v>
      </c>
      <c r="D65" s="95"/>
      <c r="E65" s="95"/>
      <c r="F65" s="95"/>
      <c r="G65" s="95">
        <v>180000</v>
      </c>
      <c r="H65" s="95">
        <v>200000</v>
      </c>
      <c r="I65" s="95">
        <v>182783</v>
      </c>
      <c r="J65" s="95"/>
      <c r="K65" s="140"/>
      <c r="L65" s="414"/>
      <c r="M65" s="414">
        <f t="shared" si="10"/>
        <v>180000</v>
      </c>
      <c r="N65" s="95">
        <f t="shared" si="11"/>
        <v>200000</v>
      </c>
      <c r="O65" s="95">
        <f t="shared" si="12"/>
        <v>182783</v>
      </c>
    </row>
    <row r="66" spans="1:15" s="131" customFormat="1" ht="14.25" customHeight="1" x14ac:dyDescent="0.2">
      <c r="A66" s="119" t="s">
        <v>52</v>
      </c>
      <c r="B66" s="123" t="s">
        <v>338</v>
      </c>
      <c r="C66" s="124" t="s">
        <v>339</v>
      </c>
      <c r="D66" s="95"/>
      <c r="E66" s="95"/>
      <c r="F66" s="95"/>
      <c r="G66" s="95">
        <v>1000000</v>
      </c>
      <c r="H66" s="95">
        <v>1255000</v>
      </c>
      <c r="I66" s="95">
        <v>901574</v>
      </c>
      <c r="J66" s="95"/>
      <c r="K66" s="140"/>
      <c r="L66" s="414"/>
      <c r="M66" s="414">
        <f t="shared" si="10"/>
        <v>1000000</v>
      </c>
      <c r="N66" s="95">
        <f t="shared" si="11"/>
        <v>1255000</v>
      </c>
      <c r="O66" s="95">
        <f t="shared" si="12"/>
        <v>901574</v>
      </c>
    </row>
    <row r="67" spans="1:15" s="131" customFormat="1" ht="14.25" customHeight="1" x14ac:dyDescent="0.2">
      <c r="A67" s="119" t="s">
        <v>54</v>
      </c>
      <c r="B67" s="123" t="s">
        <v>340</v>
      </c>
      <c r="C67" s="124" t="s">
        <v>341</v>
      </c>
      <c r="D67" s="95"/>
      <c r="E67" s="95"/>
      <c r="F67" s="95"/>
      <c r="G67" s="95">
        <v>400000</v>
      </c>
      <c r="H67" s="95">
        <v>400000</v>
      </c>
      <c r="I67" s="95">
        <v>273494</v>
      </c>
      <c r="J67" s="95"/>
      <c r="K67" s="140"/>
      <c r="L67" s="414"/>
      <c r="M67" s="414">
        <f t="shared" si="10"/>
        <v>400000</v>
      </c>
      <c r="N67" s="95">
        <f t="shared" si="11"/>
        <v>400000</v>
      </c>
      <c r="O67" s="95">
        <f t="shared" si="12"/>
        <v>273494</v>
      </c>
    </row>
    <row r="68" spans="1:15" s="102" customFormat="1" ht="14.25" customHeight="1" x14ac:dyDescent="0.2">
      <c r="A68" s="119" t="s">
        <v>56</v>
      </c>
      <c r="B68" s="119" t="s">
        <v>342</v>
      </c>
      <c r="C68" s="120" t="s">
        <v>343</v>
      </c>
      <c r="D68" s="93">
        <f t="shared" ref="D68:L68" si="19">SUM(D65:D67)</f>
        <v>0</v>
      </c>
      <c r="E68" s="93">
        <f t="shared" si="19"/>
        <v>0</v>
      </c>
      <c r="F68" s="93">
        <f t="shared" si="19"/>
        <v>0</v>
      </c>
      <c r="G68" s="93">
        <f t="shared" si="19"/>
        <v>1580000</v>
      </c>
      <c r="H68" s="93">
        <f t="shared" si="19"/>
        <v>1855000</v>
      </c>
      <c r="I68" s="93">
        <f t="shared" si="19"/>
        <v>1357851</v>
      </c>
      <c r="J68" s="93">
        <f t="shared" si="19"/>
        <v>0</v>
      </c>
      <c r="K68" s="93">
        <f t="shared" si="19"/>
        <v>0</v>
      </c>
      <c r="L68" s="93">
        <f t="shared" si="19"/>
        <v>0</v>
      </c>
      <c r="M68" s="410">
        <f t="shared" si="10"/>
        <v>1580000</v>
      </c>
      <c r="N68" s="93">
        <f t="shared" si="11"/>
        <v>1855000</v>
      </c>
      <c r="O68" s="93">
        <f t="shared" si="12"/>
        <v>1357851</v>
      </c>
    </row>
    <row r="69" spans="1:15" s="102" customFormat="1" ht="14.25" customHeight="1" x14ac:dyDescent="0.2">
      <c r="A69" s="119" t="s">
        <v>57</v>
      </c>
      <c r="B69" s="119" t="s">
        <v>344</v>
      </c>
      <c r="C69" s="120" t="s">
        <v>345</v>
      </c>
      <c r="D69" s="93"/>
      <c r="E69" s="93"/>
      <c r="F69" s="93"/>
      <c r="G69" s="93"/>
      <c r="H69" s="93"/>
      <c r="I69" s="93"/>
      <c r="J69" s="93"/>
      <c r="K69" s="94"/>
      <c r="L69" s="410"/>
      <c r="M69" s="410">
        <f t="shared" si="10"/>
        <v>0</v>
      </c>
      <c r="N69" s="93">
        <f t="shared" si="11"/>
        <v>0</v>
      </c>
      <c r="O69" s="93">
        <f t="shared" si="12"/>
        <v>0</v>
      </c>
    </row>
    <row r="70" spans="1:15" s="102" customFormat="1" ht="14.25" customHeight="1" x14ac:dyDescent="0.2">
      <c r="A70" s="119" t="s">
        <v>58</v>
      </c>
      <c r="B70" s="119" t="s">
        <v>346</v>
      </c>
      <c r="C70" s="125" t="s">
        <v>347</v>
      </c>
      <c r="D70" s="93"/>
      <c r="E70" s="93"/>
      <c r="F70" s="93"/>
      <c r="G70" s="93"/>
      <c r="H70" s="93"/>
      <c r="I70" s="93"/>
      <c r="J70" s="93"/>
      <c r="K70" s="94"/>
      <c r="L70" s="410"/>
      <c r="M70" s="410">
        <f t="shared" si="10"/>
        <v>0</v>
      </c>
      <c r="N70" s="93">
        <f t="shared" si="11"/>
        <v>0</v>
      </c>
      <c r="O70" s="93">
        <f t="shared" si="12"/>
        <v>0</v>
      </c>
    </row>
    <row r="71" spans="1:15" s="102" customFormat="1" ht="14.25" customHeight="1" x14ac:dyDescent="0.2">
      <c r="A71" s="119" t="s">
        <v>59</v>
      </c>
      <c r="B71" s="119" t="s">
        <v>348</v>
      </c>
      <c r="C71" s="125" t="s">
        <v>349</v>
      </c>
      <c r="D71" s="93"/>
      <c r="E71" s="93"/>
      <c r="F71" s="93"/>
      <c r="G71" s="93">
        <v>200000</v>
      </c>
      <c r="H71" s="93">
        <v>50000</v>
      </c>
      <c r="I71" s="93">
        <v>42760</v>
      </c>
      <c r="J71" s="93"/>
      <c r="K71" s="94"/>
      <c r="L71" s="410"/>
      <c r="M71" s="410">
        <f t="shared" si="10"/>
        <v>200000</v>
      </c>
      <c r="N71" s="93">
        <f t="shared" si="11"/>
        <v>50000</v>
      </c>
      <c r="O71" s="93">
        <f t="shared" si="12"/>
        <v>42760</v>
      </c>
    </row>
    <row r="72" spans="1:15" s="102" customFormat="1" ht="14.25" customHeight="1" x14ac:dyDescent="0.2">
      <c r="A72" s="119" t="s">
        <v>65</v>
      </c>
      <c r="B72" s="119" t="s">
        <v>350</v>
      </c>
      <c r="C72" s="125" t="s">
        <v>351</v>
      </c>
      <c r="D72" s="93"/>
      <c r="E72" s="93"/>
      <c r="F72" s="93"/>
      <c r="G72" s="93"/>
      <c r="H72" s="93"/>
      <c r="I72" s="93"/>
      <c r="J72" s="93"/>
      <c r="K72" s="94"/>
      <c r="L72" s="410"/>
      <c r="M72" s="410">
        <f t="shared" si="10"/>
        <v>0</v>
      </c>
      <c r="N72" s="93">
        <f t="shared" si="11"/>
        <v>0</v>
      </c>
      <c r="O72" s="93">
        <f t="shared" si="12"/>
        <v>0</v>
      </c>
    </row>
    <row r="73" spans="1:15" s="102" customFormat="1" ht="14.25" customHeight="1" x14ac:dyDescent="0.2">
      <c r="A73" s="119" t="s">
        <v>78</v>
      </c>
      <c r="B73" s="119" t="s">
        <v>352</v>
      </c>
      <c r="C73" s="125" t="s">
        <v>353</v>
      </c>
      <c r="D73" s="93"/>
      <c r="E73" s="93"/>
      <c r="F73" s="93"/>
      <c r="G73" s="93"/>
      <c r="H73" s="93"/>
      <c r="I73" s="93"/>
      <c r="J73" s="93"/>
      <c r="K73" s="94"/>
      <c r="L73" s="410"/>
      <c r="M73" s="410">
        <f t="shared" si="10"/>
        <v>0</v>
      </c>
      <c r="N73" s="93">
        <f t="shared" si="11"/>
        <v>0</v>
      </c>
      <c r="O73" s="93">
        <f t="shared" si="12"/>
        <v>0</v>
      </c>
    </row>
    <row r="74" spans="1:15" s="102" customFormat="1" ht="14.25" customHeight="1" x14ac:dyDescent="0.2">
      <c r="A74" s="119" t="s">
        <v>79</v>
      </c>
      <c r="B74" s="119" t="s">
        <v>354</v>
      </c>
      <c r="C74" s="125" t="s">
        <v>355</v>
      </c>
      <c r="D74" s="93">
        <v>200000</v>
      </c>
      <c r="E74" s="93">
        <v>200000</v>
      </c>
      <c r="F74" s="93">
        <v>118653</v>
      </c>
      <c r="G74" s="93">
        <v>500000</v>
      </c>
      <c r="H74" s="93">
        <v>720000</v>
      </c>
      <c r="I74" s="93">
        <v>646960</v>
      </c>
      <c r="J74" s="93"/>
      <c r="K74" s="94"/>
      <c r="L74" s="410"/>
      <c r="M74" s="410">
        <f t="shared" si="10"/>
        <v>700000</v>
      </c>
      <c r="N74" s="93">
        <f t="shared" si="11"/>
        <v>920000</v>
      </c>
      <c r="O74" s="93">
        <f t="shared" si="12"/>
        <v>765613</v>
      </c>
    </row>
    <row r="75" spans="1:15" s="132" customFormat="1" ht="14.25" customHeight="1" x14ac:dyDescent="0.2">
      <c r="A75" s="119" t="s">
        <v>80</v>
      </c>
      <c r="B75" s="110" t="s">
        <v>356</v>
      </c>
      <c r="C75" s="113" t="s">
        <v>357</v>
      </c>
      <c r="D75" s="87">
        <f t="shared" ref="D75:L75" si="20">SUM(D68:D74)</f>
        <v>200000</v>
      </c>
      <c r="E75" s="87">
        <f t="shared" si="20"/>
        <v>200000</v>
      </c>
      <c r="F75" s="87">
        <f t="shared" si="20"/>
        <v>118653</v>
      </c>
      <c r="G75" s="87">
        <f t="shared" si="20"/>
        <v>2280000</v>
      </c>
      <c r="H75" s="87">
        <f t="shared" si="20"/>
        <v>2625000</v>
      </c>
      <c r="I75" s="87">
        <f t="shared" si="20"/>
        <v>2047571</v>
      </c>
      <c r="J75" s="87">
        <f t="shared" si="20"/>
        <v>0</v>
      </c>
      <c r="K75" s="87">
        <f t="shared" si="20"/>
        <v>0</v>
      </c>
      <c r="L75" s="87">
        <f t="shared" si="20"/>
        <v>0</v>
      </c>
      <c r="M75" s="412">
        <f t="shared" si="10"/>
        <v>2480000</v>
      </c>
      <c r="N75" s="416">
        <f t="shared" si="11"/>
        <v>2825000</v>
      </c>
      <c r="O75" s="416">
        <f t="shared" si="12"/>
        <v>2166224</v>
      </c>
    </row>
    <row r="76" spans="1:15" s="132" customFormat="1" ht="14.25" customHeight="1" x14ac:dyDescent="0.2">
      <c r="A76" s="119" t="s">
        <v>81</v>
      </c>
      <c r="B76" s="110" t="s">
        <v>358</v>
      </c>
      <c r="C76" s="113" t="s">
        <v>359</v>
      </c>
      <c r="D76" s="87">
        <v>30000</v>
      </c>
      <c r="E76" s="87">
        <v>45000</v>
      </c>
      <c r="F76" s="87">
        <v>40648</v>
      </c>
      <c r="G76" s="87"/>
      <c r="H76" s="87"/>
      <c r="I76" s="87"/>
      <c r="J76" s="87"/>
      <c r="K76" s="92"/>
      <c r="L76" s="513"/>
      <c r="M76" s="412">
        <f t="shared" si="10"/>
        <v>30000</v>
      </c>
      <c r="N76" s="416">
        <f t="shared" si="11"/>
        <v>45000</v>
      </c>
      <c r="O76" s="416">
        <f t="shared" si="12"/>
        <v>40648</v>
      </c>
    </row>
    <row r="77" spans="1:15" s="132" customFormat="1" ht="14.25" customHeight="1" x14ac:dyDescent="0.2">
      <c r="A77" s="119" t="s">
        <v>82</v>
      </c>
      <c r="B77" s="110" t="s">
        <v>360</v>
      </c>
      <c r="C77" s="113" t="s">
        <v>361</v>
      </c>
      <c r="D77" s="87"/>
      <c r="E77" s="87"/>
      <c r="F77" s="87"/>
      <c r="G77" s="87"/>
      <c r="H77" s="87"/>
      <c r="I77" s="87"/>
      <c r="J77" s="87"/>
      <c r="K77" s="92"/>
      <c r="L77" s="513"/>
      <c r="M77" s="412">
        <f t="shared" si="10"/>
        <v>0</v>
      </c>
      <c r="N77" s="416">
        <f t="shared" si="11"/>
        <v>0</v>
      </c>
      <c r="O77" s="416">
        <f t="shared" si="12"/>
        <v>0</v>
      </c>
    </row>
    <row r="78" spans="1:15" s="102" customFormat="1" ht="14.25" customHeight="1" x14ac:dyDescent="0.2">
      <c r="A78" s="119" t="s">
        <v>83</v>
      </c>
      <c r="B78" s="119" t="s">
        <v>362</v>
      </c>
      <c r="C78" s="125" t="s">
        <v>363</v>
      </c>
      <c r="D78" s="93">
        <f>(D61+D64+D75-100000)*0.27</f>
        <v>108000</v>
      </c>
      <c r="E78" s="93">
        <f>(E61+E64+E75-250000)*0.27</f>
        <v>13500</v>
      </c>
      <c r="F78" s="93">
        <v>7148</v>
      </c>
      <c r="G78" s="93">
        <f>(G61+G64+G75-600000)*0.27</f>
        <v>804600</v>
      </c>
      <c r="H78" s="93">
        <f>(H61+H64+H75-480555)*0.27</f>
        <v>870600.15</v>
      </c>
      <c r="I78" s="93">
        <v>588164</v>
      </c>
      <c r="J78" s="93"/>
      <c r="K78" s="94"/>
      <c r="L78" s="410"/>
      <c r="M78" s="410">
        <f t="shared" si="10"/>
        <v>912600</v>
      </c>
      <c r="N78" s="93">
        <f t="shared" si="11"/>
        <v>884100.15</v>
      </c>
      <c r="O78" s="93">
        <f t="shared" si="12"/>
        <v>595312</v>
      </c>
    </row>
    <row r="79" spans="1:15" s="102" customFormat="1" ht="14.25" customHeight="1" x14ac:dyDescent="0.2">
      <c r="A79" s="119" t="s">
        <v>84</v>
      </c>
      <c r="B79" s="119" t="s">
        <v>366</v>
      </c>
      <c r="C79" s="125" t="s">
        <v>367</v>
      </c>
      <c r="D79" s="93"/>
      <c r="E79" s="93"/>
      <c r="F79" s="93"/>
      <c r="G79" s="93"/>
      <c r="H79" s="93"/>
      <c r="I79" s="93"/>
      <c r="J79" s="93"/>
      <c r="K79" s="94"/>
      <c r="L79" s="410"/>
      <c r="M79" s="410">
        <f t="shared" si="10"/>
        <v>0</v>
      </c>
      <c r="N79" s="93">
        <f t="shared" si="11"/>
        <v>0</v>
      </c>
      <c r="O79" s="93">
        <f t="shared" si="12"/>
        <v>0</v>
      </c>
    </row>
    <row r="80" spans="1:15" s="102" customFormat="1" ht="14.25" customHeight="1" x14ac:dyDescent="0.2">
      <c r="A80" s="119" t="s">
        <v>85</v>
      </c>
      <c r="B80" s="119" t="s">
        <v>368</v>
      </c>
      <c r="C80" s="125" t="s">
        <v>369</v>
      </c>
      <c r="D80" s="93"/>
      <c r="E80" s="93"/>
      <c r="F80" s="93"/>
      <c r="G80" s="93"/>
      <c r="H80" s="93"/>
      <c r="I80" s="93"/>
      <c r="J80" s="93"/>
      <c r="K80" s="94"/>
      <c r="L80" s="410"/>
      <c r="M80" s="410">
        <f t="shared" si="10"/>
        <v>0</v>
      </c>
      <c r="N80" s="93">
        <f t="shared" si="11"/>
        <v>0</v>
      </c>
      <c r="O80" s="93">
        <f t="shared" si="12"/>
        <v>0</v>
      </c>
    </row>
    <row r="81" spans="1:15" s="102" customFormat="1" ht="14.25" customHeight="1" x14ac:dyDescent="0.2">
      <c r="A81" s="119" t="s">
        <v>86</v>
      </c>
      <c r="B81" s="119" t="s">
        <v>370</v>
      </c>
      <c r="C81" s="125" t="s">
        <v>371</v>
      </c>
      <c r="D81" s="93"/>
      <c r="E81" s="93"/>
      <c r="F81" s="93"/>
      <c r="G81" s="93">
        <v>50</v>
      </c>
      <c r="H81" s="93">
        <v>50</v>
      </c>
      <c r="I81" s="93">
        <v>0</v>
      </c>
      <c r="J81" s="93"/>
      <c r="K81" s="94"/>
      <c r="L81" s="410"/>
      <c r="M81" s="410">
        <f t="shared" si="10"/>
        <v>50</v>
      </c>
      <c r="N81" s="93">
        <f t="shared" si="11"/>
        <v>50</v>
      </c>
      <c r="O81" s="93">
        <f t="shared" si="12"/>
        <v>0</v>
      </c>
    </row>
    <row r="82" spans="1:15" s="132" customFormat="1" ht="14.25" customHeight="1" x14ac:dyDescent="0.2">
      <c r="A82" s="119" t="s">
        <v>87</v>
      </c>
      <c r="B82" s="110" t="s">
        <v>372</v>
      </c>
      <c r="C82" s="111" t="s">
        <v>373</v>
      </c>
      <c r="D82" s="87">
        <f t="shared" ref="D82:L82" si="21">SUM(D78:D81)</f>
        <v>108000</v>
      </c>
      <c r="E82" s="87">
        <f t="shared" si="21"/>
        <v>13500</v>
      </c>
      <c r="F82" s="87">
        <f t="shared" si="21"/>
        <v>7148</v>
      </c>
      <c r="G82" s="87">
        <f t="shared" si="21"/>
        <v>804650</v>
      </c>
      <c r="H82" s="87">
        <f t="shared" si="21"/>
        <v>870650.15</v>
      </c>
      <c r="I82" s="87">
        <f t="shared" si="21"/>
        <v>588164</v>
      </c>
      <c r="J82" s="87">
        <f t="shared" si="21"/>
        <v>0</v>
      </c>
      <c r="K82" s="87">
        <f t="shared" si="21"/>
        <v>0</v>
      </c>
      <c r="L82" s="87">
        <f t="shared" si="21"/>
        <v>0</v>
      </c>
      <c r="M82" s="412">
        <f t="shared" si="10"/>
        <v>912650</v>
      </c>
      <c r="N82" s="416">
        <f t="shared" si="11"/>
        <v>884150.15</v>
      </c>
      <c r="O82" s="416">
        <f t="shared" si="12"/>
        <v>595312</v>
      </c>
    </row>
    <row r="83" spans="1:15" s="132" customFormat="1" ht="14.25" customHeight="1" x14ac:dyDescent="0.2">
      <c r="A83" s="119" t="s">
        <v>88</v>
      </c>
      <c r="B83" s="110" t="s">
        <v>374</v>
      </c>
      <c r="C83" s="111" t="s">
        <v>375</v>
      </c>
      <c r="D83" s="87">
        <f t="shared" ref="D83:L83" si="22">D61+D64+D75+D76+D77+D82</f>
        <v>638000</v>
      </c>
      <c r="E83" s="87">
        <f t="shared" si="22"/>
        <v>358500</v>
      </c>
      <c r="F83" s="87">
        <f t="shared" si="22"/>
        <v>200158</v>
      </c>
      <c r="G83" s="87">
        <f t="shared" si="22"/>
        <v>4384650</v>
      </c>
      <c r="H83" s="87">
        <f t="shared" si="22"/>
        <v>4575650.1500000004</v>
      </c>
      <c r="I83" s="87">
        <f t="shared" si="22"/>
        <v>3663520</v>
      </c>
      <c r="J83" s="87">
        <f t="shared" si="22"/>
        <v>0</v>
      </c>
      <c r="K83" s="87">
        <f t="shared" si="22"/>
        <v>0</v>
      </c>
      <c r="L83" s="87">
        <f t="shared" si="22"/>
        <v>0</v>
      </c>
      <c r="M83" s="412">
        <f t="shared" si="10"/>
        <v>5022650</v>
      </c>
      <c r="N83" s="416">
        <f t="shared" si="11"/>
        <v>4934150.1500000004</v>
      </c>
      <c r="O83" s="416">
        <f t="shared" si="12"/>
        <v>3863678</v>
      </c>
    </row>
    <row r="84" spans="1:15" s="132" customFormat="1" ht="14.25" customHeight="1" x14ac:dyDescent="0.2">
      <c r="A84" s="119" t="s">
        <v>105</v>
      </c>
      <c r="B84" s="110" t="s">
        <v>391</v>
      </c>
      <c r="C84" s="113" t="s">
        <v>97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412">
        <f t="shared" si="10"/>
        <v>0</v>
      </c>
      <c r="N84" s="416">
        <f t="shared" si="11"/>
        <v>0</v>
      </c>
      <c r="O84" s="416">
        <f t="shared" si="12"/>
        <v>0</v>
      </c>
    </row>
    <row r="85" spans="1:15" s="102" customFormat="1" ht="14.25" customHeight="1" x14ac:dyDescent="0.2">
      <c r="A85" s="119" t="s">
        <v>106</v>
      </c>
      <c r="B85" s="119" t="s">
        <v>392</v>
      </c>
      <c r="C85" s="125" t="s">
        <v>393</v>
      </c>
      <c r="D85" s="93"/>
      <c r="E85" s="93"/>
      <c r="F85" s="93"/>
      <c r="G85" s="93"/>
      <c r="H85" s="93"/>
      <c r="I85" s="93"/>
      <c r="J85" s="93"/>
      <c r="K85" s="94"/>
      <c r="L85" s="410"/>
      <c r="M85" s="410">
        <f t="shared" si="10"/>
        <v>0</v>
      </c>
      <c r="N85" s="93">
        <f t="shared" si="11"/>
        <v>0</v>
      </c>
      <c r="O85" s="93">
        <f t="shared" si="12"/>
        <v>0</v>
      </c>
    </row>
    <row r="86" spans="1:15" s="102" customFormat="1" ht="14.25" customHeight="1" x14ac:dyDescent="0.2">
      <c r="A86" s="119" t="s">
        <v>89</v>
      </c>
      <c r="B86" s="119" t="s">
        <v>394</v>
      </c>
      <c r="C86" s="125" t="s">
        <v>395</v>
      </c>
      <c r="D86" s="93"/>
      <c r="E86" s="93"/>
      <c r="F86" s="93"/>
      <c r="G86" s="93"/>
      <c r="H86" s="93"/>
      <c r="I86" s="93"/>
      <c r="J86" s="93"/>
      <c r="K86" s="94"/>
      <c r="L86" s="410"/>
      <c r="M86" s="410">
        <f t="shared" si="10"/>
        <v>0</v>
      </c>
      <c r="N86" s="93">
        <f t="shared" si="11"/>
        <v>0</v>
      </c>
      <c r="O86" s="93">
        <f t="shared" si="12"/>
        <v>0</v>
      </c>
    </row>
    <row r="87" spans="1:15" s="102" customFormat="1" ht="14.25" customHeight="1" x14ac:dyDescent="0.2">
      <c r="A87" s="119" t="s">
        <v>90</v>
      </c>
      <c r="B87" s="119" t="s">
        <v>396</v>
      </c>
      <c r="C87" s="125" t="s">
        <v>397</v>
      </c>
      <c r="D87" s="93"/>
      <c r="E87" s="93"/>
      <c r="F87" s="93"/>
      <c r="G87" s="93"/>
      <c r="H87" s="93"/>
      <c r="I87" s="93"/>
      <c r="J87" s="93"/>
      <c r="K87" s="94"/>
      <c r="L87" s="410"/>
      <c r="M87" s="410">
        <f t="shared" si="10"/>
        <v>0</v>
      </c>
      <c r="N87" s="93">
        <f t="shared" si="11"/>
        <v>0</v>
      </c>
      <c r="O87" s="93">
        <f t="shared" si="12"/>
        <v>0</v>
      </c>
    </row>
    <row r="88" spans="1:15" s="102" customFormat="1" ht="14.25" customHeight="1" x14ac:dyDescent="0.2">
      <c r="A88" s="119" t="s">
        <v>91</v>
      </c>
      <c r="B88" s="119" t="s">
        <v>398</v>
      </c>
      <c r="C88" s="125" t="s">
        <v>399</v>
      </c>
      <c r="D88" s="93"/>
      <c r="E88" s="93"/>
      <c r="F88" s="93"/>
      <c r="G88" s="93"/>
      <c r="H88" s="93">
        <v>70000</v>
      </c>
      <c r="I88" s="93">
        <v>56772</v>
      </c>
      <c r="J88" s="93"/>
      <c r="K88" s="94"/>
      <c r="L88" s="410"/>
      <c r="M88" s="410">
        <f t="shared" si="10"/>
        <v>0</v>
      </c>
      <c r="N88" s="93">
        <f t="shared" si="11"/>
        <v>70000</v>
      </c>
      <c r="O88" s="93">
        <f t="shared" si="12"/>
        <v>56772</v>
      </c>
    </row>
    <row r="89" spans="1:15" s="102" customFormat="1" ht="14.25" customHeight="1" x14ac:dyDescent="0.2">
      <c r="A89" s="119" t="s">
        <v>92</v>
      </c>
      <c r="B89" s="119" t="s">
        <v>400</v>
      </c>
      <c r="C89" s="125" t="s">
        <v>401</v>
      </c>
      <c r="D89" s="93"/>
      <c r="E89" s="93"/>
      <c r="F89" s="93"/>
      <c r="G89" s="93">
        <f>G88*0.27</f>
        <v>0</v>
      </c>
      <c r="H89" s="93">
        <v>18500</v>
      </c>
      <c r="I89" s="93">
        <v>15328</v>
      </c>
      <c r="J89" s="93"/>
      <c r="K89" s="94"/>
      <c r="L89" s="410"/>
      <c r="M89" s="410">
        <f t="shared" si="10"/>
        <v>0</v>
      </c>
      <c r="N89" s="93">
        <f t="shared" si="11"/>
        <v>18500</v>
      </c>
      <c r="O89" s="93">
        <f t="shared" si="12"/>
        <v>15328</v>
      </c>
    </row>
    <row r="90" spans="1:15" s="132" customFormat="1" ht="14.25" customHeight="1" x14ac:dyDescent="0.2">
      <c r="A90" s="119" t="s">
        <v>107</v>
      </c>
      <c r="B90" s="110" t="s">
        <v>402</v>
      </c>
      <c r="C90" s="113" t="s">
        <v>403</v>
      </c>
      <c r="D90" s="87">
        <f t="shared" ref="D90:L90" si="23">SUM(D85:D89)</f>
        <v>0</v>
      </c>
      <c r="E90" s="87">
        <f t="shared" si="23"/>
        <v>0</v>
      </c>
      <c r="F90" s="87">
        <f t="shared" si="23"/>
        <v>0</v>
      </c>
      <c r="G90" s="87">
        <f t="shared" si="23"/>
        <v>0</v>
      </c>
      <c r="H90" s="87">
        <f t="shared" si="23"/>
        <v>88500</v>
      </c>
      <c r="I90" s="87">
        <f t="shared" si="23"/>
        <v>72100</v>
      </c>
      <c r="J90" s="87">
        <f t="shared" si="23"/>
        <v>0</v>
      </c>
      <c r="K90" s="87">
        <f t="shared" si="23"/>
        <v>0</v>
      </c>
      <c r="L90" s="87">
        <f t="shared" si="23"/>
        <v>0</v>
      </c>
      <c r="M90" s="412">
        <f t="shared" si="10"/>
        <v>0</v>
      </c>
      <c r="N90" s="416">
        <f t="shared" si="11"/>
        <v>88500</v>
      </c>
      <c r="O90" s="416">
        <f t="shared" si="12"/>
        <v>72100</v>
      </c>
    </row>
    <row r="91" spans="1:15" s="132" customFormat="1" ht="14.25" customHeight="1" x14ac:dyDescent="0.2">
      <c r="A91" s="119" t="s">
        <v>108</v>
      </c>
      <c r="B91" s="110" t="s">
        <v>412</v>
      </c>
      <c r="C91" s="113" t="s">
        <v>413</v>
      </c>
      <c r="D91" s="87"/>
      <c r="E91" s="87"/>
      <c r="F91" s="87"/>
      <c r="G91" s="87"/>
      <c r="H91" s="87"/>
      <c r="I91" s="87"/>
      <c r="J91" s="87"/>
      <c r="K91" s="92"/>
      <c r="L91" s="513"/>
      <c r="M91" s="412">
        <f t="shared" si="10"/>
        <v>0</v>
      </c>
      <c r="N91" s="416">
        <f t="shared" si="11"/>
        <v>0</v>
      </c>
      <c r="O91" s="416">
        <f t="shared" si="12"/>
        <v>0</v>
      </c>
    </row>
    <row r="92" spans="1:15" s="132" customFormat="1" ht="14.25" customHeight="1" x14ac:dyDescent="0.2">
      <c r="A92" s="119" t="s">
        <v>109</v>
      </c>
      <c r="B92" s="110" t="s">
        <v>420</v>
      </c>
      <c r="C92" s="113" t="s">
        <v>69</v>
      </c>
      <c r="D92" s="87"/>
      <c r="E92" s="87"/>
      <c r="F92" s="87"/>
      <c r="G92" s="87"/>
      <c r="H92" s="87"/>
      <c r="I92" s="87"/>
      <c r="J92" s="87"/>
      <c r="K92" s="92"/>
      <c r="L92" s="513"/>
      <c r="M92" s="412">
        <f t="shared" si="10"/>
        <v>0</v>
      </c>
      <c r="N92" s="416">
        <f t="shared" si="11"/>
        <v>0</v>
      </c>
      <c r="O92" s="416">
        <f t="shared" si="12"/>
        <v>0</v>
      </c>
    </row>
    <row r="93" spans="1:15" s="132" customFormat="1" ht="14.25" customHeight="1" x14ac:dyDescent="0.2">
      <c r="A93" s="119" t="s">
        <v>110</v>
      </c>
      <c r="B93" s="110" t="s">
        <v>428</v>
      </c>
      <c r="C93" s="113" t="s">
        <v>429</v>
      </c>
      <c r="D93" s="87"/>
      <c r="E93" s="87"/>
      <c r="F93" s="87"/>
      <c r="G93" s="87"/>
      <c r="H93" s="87"/>
      <c r="I93" s="87"/>
      <c r="J93" s="87"/>
      <c r="K93" s="92"/>
      <c r="L93" s="513"/>
      <c r="M93" s="412">
        <f t="shared" si="10"/>
        <v>0</v>
      </c>
      <c r="N93" s="416">
        <f t="shared" si="11"/>
        <v>0</v>
      </c>
      <c r="O93" s="416">
        <f t="shared" si="12"/>
        <v>0</v>
      </c>
    </row>
    <row r="94" spans="1:15" s="132" customFormat="1" ht="18.75" customHeight="1" x14ac:dyDescent="0.2">
      <c r="A94" s="119" t="s">
        <v>113</v>
      </c>
      <c r="B94" s="110" t="s">
        <v>431</v>
      </c>
      <c r="C94" s="113" t="s">
        <v>432</v>
      </c>
      <c r="D94" s="87">
        <f t="shared" ref="D94:L94" si="24">D54+D58+D83+D84+D90+D91+D92+D93</f>
        <v>39180663.25</v>
      </c>
      <c r="E94" s="87">
        <f t="shared" si="24"/>
        <v>39648928.155000001</v>
      </c>
      <c r="F94" s="87">
        <f t="shared" si="24"/>
        <v>39095968</v>
      </c>
      <c r="G94" s="87">
        <f t="shared" si="24"/>
        <v>4384650</v>
      </c>
      <c r="H94" s="87">
        <f t="shared" si="24"/>
        <v>4664150.1500000004</v>
      </c>
      <c r="I94" s="87">
        <f t="shared" si="24"/>
        <v>3735620</v>
      </c>
      <c r="J94" s="87">
        <f t="shared" si="24"/>
        <v>0</v>
      </c>
      <c r="K94" s="87">
        <f t="shared" si="24"/>
        <v>0</v>
      </c>
      <c r="L94" s="87">
        <f t="shared" si="24"/>
        <v>0</v>
      </c>
      <c r="M94" s="415">
        <f t="shared" si="10"/>
        <v>43565313.25</v>
      </c>
      <c r="N94" s="416">
        <f t="shared" si="11"/>
        <v>44313078.305</v>
      </c>
      <c r="O94" s="416">
        <f t="shared" si="12"/>
        <v>42831588</v>
      </c>
    </row>
    <row r="95" spans="1:15" s="102" customFormat="1" ht="16.5" customHeight="1" x14ac:dyDescent="0.2">
      <c r="A95" s="119" t="s">
        <v>114</v>
      </c>
      <c r="B95" s="119"/>
      <c r="C95" s="129" t="s">
        <v>434</v>
      </c>
      <c r="D95" s="97">
        <v>11</v>
      </c>
      <c r="E95" s="97">
        <v>10</v>
      </c>
      <c r="F95" s="97">
        <v>10</v>
      </c>
      <c r="G95" s="97"/>
      <c r="H95" s="97"/>
      <c r="I95" s="97"/>
      <c r="J95" s="97"/>
      <c r="K95" s="134"/>
      <c r="L95" s="134"/>
      <c r="M95" s="97">
        <f t="shared" si="10"/>
        <v>11</v>
      </c>
      <c r="N95" s="97">
        <f t="shared" si="11"/>
        <v>10</v>
      </c>
      <c r="O95" s="97">
        <f t="shared" si="12"/>
        <v>10</v>
      </c>
    </row>
    <row r="96" spans="1:15" s="102" customFormat="1" x14ac:dyDescent="0.2">
      <c r="A96" s="101"/>
      <c r="B96" s="101"/>
      <c r="D96" s="98"/>
      <c r="E96" s="98"/>
      <c r="F96" s="98"/>
      <c r="G96" s="98"/>
      <c r="H96" s="98"/>
      <c r="I96" s="98"/>
      <c r="J96" s="98"/>
      <c r="K96" s="98"/>
      <c r="L96" s="98"/>
      <c r="M96" s="99"/>
      <c r="N96" s="99"/>
      <c r="O96" s="99"/>
    </row>
    <row r="97" spans="1:15" s="132" customFormat="1" ht="24.75" customHeight="1" x14ac:dyDescent="0.2">
      <c r="A97" s="80"/>
      <c r="B97" s="130"/>
      <c r="C97" s="79" t="s">
        <v>435</v>
      </c>
      <c r="D97" s="87">
        <f t="shared" ref="D97:L97" si="25">D33</f>
        <v>0</v>
      </c>
      <c r="E97" s="87">
        <f t="shared" si="25"/>
        <v>0</v>
      </c>
      <c r="F97" s="87">
        <f t="shared" si="25"/>
        <v>0</v>
      </c>
      <c r="G97" s="87">
        <f t="shared" si="25"/>
        <v>30279</v>
      </c>
      <c r="H97" s="87">
        <f t="shared" si="25"/>
        <v>30279</v>
      </c>
      <c r="I97" s="87">
        <f t="shared" si="25"/>
        <v>30131</v>
      </c>
      <c r="J97" s="87">
        <f t="shared" si="25"/>
        <v>43535034</v>
      </c>
      <c r="K97" s="87">
        <f t="shared" si="25"/>
        <v>44282799</v>
      </c>
      <c r="L97" s="87">
        <f t="shared" si="25"/>
        <v>44282799</v>
      </c>
      <c r="M97" s="416">
        <f t="shared" si="10"/>
        <v>43565313</v>
      </c>
      <c r="N97" s="416">
        <f t="shared" si="11"/>
        <v>44313078</v>
      </c>
      <c r="O97" s="416">
        <f t="shared" si="11"/>
        <v>44312930</v>
      </c>
    </row>
    <row r="98" spans="1:15" s="132" customFormat="1" ht="24.75" customHeight="1" x14ac:dyDescent="0.2">
      <c r="A98" s="80"/>
      <c r="B98" s="130"/>
      <c r="C98" s="79" t="s">
        <v>436</v>
      </c>
      <c r="D98" s="87">
        <f t="shared" ref="D98:L98" si="26">D94</f>
        <v>39180663.25</v>
      </c>
      <c r="E98" s="87">
        <f t="shared" si="26"/>
        <v>39648928.155000001</v>
      </c>
      <c r="F98" s="87">
        <f t="shared" si="26"/>
        <v>39095968</v>
      </c>
      <c r="G98" s="87">
        <f t="shared" si="26"/>
        <v>4384650</v>
      </c>
      <c r="H98" s="87">
        <f t="shared" si="26"/>
        <v>4664150.1500000004</v>
      </c>
      <c r="I98" s="87">
        <f t="shared" si="26"/>
        <v>3735620</v>
      </c>
      <c r="J98" s="87">
        <f t="shared" si="26"/>
        <v>0</v>
      </c>
      <c r="K98" s="87">
        <f t="shared" si="26"/>
        <v>0</v>
      </c>
      <c r="L98" s="87">
        <f t="shared" si="26"/>
        <v>0</v>
      </c>
      <c r="M98" s="412">
        <f t="shared" si="10"/>
        <v>43565313.25</v>
      </c>
      <c r="N98" s="416">
        <f t="shared" si="11"/>
        <v>44313078.305</v>
      </c>
      <c r="O98" s="416">
        <f t="shared" si="11"/>
        <v>42831588</v>
      </c>
    </row>
    <row r="99" spans="1:15" s="102" customFormat="1" ht="24.75" customHeight="1" x14ac:dyDescent="0.2">
      <c r="A99" s="119"/>
      <c r="B99" s="135"/>
      <c r="C99" s="86" t="s">
        <v>447</v>
      </c>
      <c r="D99" s="89">
        <f t="shared" ref="D99:L99" si="27">D97-D98</f>
        <v>-39180663.25</v>
      </c>
      <c r="E99" s="89">
        <f t="shared" si="27"/>
        <v>-39648928.155000001</v>
      </c>
      <c r="F99" s="89">
        <f t="shared" si="27"/>
        <v>-39095968</v>
      </c>
      <c r="G99" s="89">
        <f t="shared" si="27"/>
        <v>-4354371</v>
      </c>
      <c r="H99" s="89">
        <f t="shared" si="27"/>
        <v>-4633871.1500000004</v>
      </c>
      <c r="I99" s="89">
        <f t="shared" si="27"/>
        <v>-3705489</v>
      </c>
      <c r="J99" s="89">
        <f t="shared" si="27"/>
        <v>43535034</v>
      </c>
      <c r="K99" s="89">
        <f t="shared" si="27"/>
        <v>44282799</v>
      </c>
      <c r="L99" s="89">
        <f t="shared" si="27"/>
        <v>44282799</v>
      </c>
      <c r="M99" s="410">
        <f t="shared" si="10"/>
        <v>-0.25</v>
      </c>
      <c r="N99" s="93">
        <f t="shared" si="11"/>
        <v>-0.30499999970197678</v>
      </c>
      <c r="O99" s="93">
        <f t="shared" si="11"/>
        <v>1481342</v>
      </c>
    </row>
    <row r="101" spans="1:15" x14ac:dyDescent="0.2">
      <c r="M101" s="98"/>
      <c r="N101" s="98"/>
      <c r="O101" s="98"/>
    </row>
  </sheetData>
  <mergeCells count="51">
    <mergeCell ref="A39:A41"/>
    <mergeCell ref="B39:B41"/>
    <mergeCell ref="B33:C33"/>
    <mergeCell ref="B36:C36"/>
    <mergeCell ref="B37:C37"/>
    <mergeCell ref="J6:L6"/>
    <mergeCell ref="D38:F38"/>
    <mergeCell ref="G38:I38"/>
    <mergeCell ref="D40:F40"/>
    <mergeCell ref="G40:I40"/>
    <mergeCell ref="B38:C38"/>
    <mergeCell ref="B6:C6"/>
    <mergeCell ref="B7:C7"/>
    <mergeCell ref="B8:C8"/>
    <mergeCell ref="A9:A11"/>
    <mergeCell ref="B9:B11"/>
    <mergeCell ref="D6:F6"/>
    <mergeCell ref="D7:F7"/>
    <mergeCell ref="D8:F8"/>
    <mergeCell ref="D9:F9"/>
    <mergeCell ref="D10:F10"/>
    <mergeCell ref="G6:I6"/>
    <mergeCell ref="G7:I7"/>
    <mergeCell ref="G8:I8"/>
    <mergeCell ref="G9:I9"/>
    <mergeCell ref="G10:I10"/>
    <mergeCell ref="J7:L7"/>
    <mergeCell ref="J8:L8"/>
    <mergeCell ref="J9:L9"/>
    <mergeCell ref="J10:L10"/>
    <mergeCell ref="M6:O6"/>
    <mergeCell ref="M7:O7"/>
    <mergeCell ref="M8:O8"/>
    <mergeCell ref="M9:O9"/>
    <mergeCell ref="M10:O10"/>
    <mergeCell ref="D36:F36"/>
    <mergeCell ref="G36:I36"/>
    <mergeCell ref="J36:L36"/>
    <mergeCell ref="M36:O36"/>
    <mergeCell ref="D37:F37"/>
    <mergeCell ref="G37:I37"/>
    <mergeCell ref="J37:L37"/>
    <mergeCell ref="M37:O37"/>
    <mergeCell ref="J40:L40"/>
    <mergeCell ref="M40:O40"/>
    <mergeCell ref="J38:L38"/>
    <mergeCell ref="M38:O38"/>
    <mergeCell ref="D39:F39"/>
    <mergeCell ref="G39:I39"/>
    <mergeCell ref="J39:L39"/>
    <mergeCell ref="M39:O39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view="pageBreakPreview" topLeftCell="A5" zoomScale="80" zoomScaleNormal="100" workbookViewId="0">
      <selection activeCell="A8" sqref="A8:AK15"/>
    </sheetView>
  </sheetViews>
  <sheetFormatPr defaultRowHeight="12.75" x14ac:dyDescent="0.2"/>
  <cols>
    <col min="1" max="1" width="30.7109375" customWidth="1"/>
    <col min="2" max="37" width="15.140625" customWidth="1"/>
  </cols>
  <sheetData>
    <row r="1" spans="1:39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9" ht="15" x14ac:dyDescent="0.3">
      <c r="A2" s="842" t="s">
        <v>112</v>
      </c>
      <c r="B2" s="842"/>
      <c r="C2" s="842"/>
      <c r="D2" s="842"/>
      <c r="E2" s="842"/>
      <c r="F2" s="842"/>
      <c r="G2" s="842"/>
      <c r="H2" s="842"/>
      <c r="I2" s="842"/>
      <c r="J2" s="842"/>
      <c r="K2" s="842"/>
      <c r="L2" s="842"/>
      <c r="M2" s="842"/>
      <c r="N2" s="842"/>
      <c r="O2" s="842"/>
      <c r="P2" s="842"/>
      <c r="Q2" s="842"/>
      <c r="R2" s="842"/>
      <c r="S2" s="842"/>
      <c r="T2" s="842"/>
      <c r="U2" s="842"/>
      <c r="V2" s="842"/>
      <c r="W2" s="842"/>
      <c r="X2" s="842"/>
      <c r="Y2" s="842"/>
      <c r="Z2" s="842"/>
      <c r="AA2" s="842"/>
      <c r="AB2" s="842"/>
      <c r="AC2" s="842"/>
      <c r="AD2" s="842"/>
      <c r="AE2" s="842"/>
      <c r="AF2" s="842"/>
      <c r="AG2" s="842"/>
      <c r="AH2" s="842"/>
      <c r="AI2" s="842"/>
      <c r="AJ2" s="13"/>
      <c r="AK2" s="13"/>
    </row>
    <row r="3" spans="1:39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9" ht="20.25" x14ac:dyDescent="0.3">
      <c r="A4" s="843" t="s">
        <v>851</v>
      </c>
      <c r="B4" s="866"/>
      <c r="C4" s="866"/>
      <c r="D4" s="866"/>
      <c r="E4" s="866"/>
      <c r="F4" s="866"/>
      <c r="G4" s="866"/>
      <c r="H4" s="866"/>
      <c r="I4" s="866"/>
      <c r="J4" s="866"/>
      <c r="K4" s="866"/>
      <c r="L4" s="866"/>
      <c r="M4" s="866"/>
      <c r="N4" s="866"/>
      <c r="O4" s="866"/>
      <c r="P4" s="866"/>
      <c r="Q4" s="866"/>
      <c r="R4" s="866"/>
      <c r="S4" s="866"/>
      <c r="T4" s="866"/>
      <c r="U4" s="866"/>
      <c r="V4" s="866"/>
      <c r="W4" s="866"/>
      <c r="X4" s="866"/>
      <c r="Y4" s="866"/>
      <c r="Z4" s="866"/>
      <c r="AA4" s="866"/>
      <c r="AB4" s="866"/>
      <c r="AC4" s="866"/>
      <c r="AD4" s="866"/>
      <c r="AE4" s="866"/>
      <c r="AF4" s="866"/>
      <c r="AG4" s="866"/>
      <c r="AH4" s="866"/>
      <c r="AI4" s="866"/>
      <c r="AJ4" s="370"/>
      <c r="AK4" s="370"/>
      <c r="AL4" s="2"/>
      <c r="AM4" s="2"/>
    </row>
    <row r="5" spans="1:39" s="12" customFormat="1" ht="18.75" x14ac:dyDescent="0.3">
      <c r="A5" s="843" t="s">
        <v>553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43"/>
      <c r="AG5" s="843"/>
      <c r="AH5" s="843"/>
      <c r="AI5" s="843"/>
      <c r="AJ5" s="367"/>
      <c r="AK5" s="367"/>
    </row>
    <row r="6" spans="1:39" ht="1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2"/>
      <c r="AM6" s="2"/>
    </row>
    <row r="7" spans="1:39" ht="18.75" customHeight="1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G7" s="225"/>
      <c r="AH7" s="225"/>
      <c r="AI7" s="225"/>
      <c r="AJ7" s="225" t="s">
        <v>581</v>
      </c>
      <c r="AK7" s="225"/>
      <c r="AL7" s="2"/>
      <c r="AM7" s="2"/>
    </row>
    <row r="8" spans="1:39" ht="24.75" customHeight="1" x14ac:dyDescent="0.2">
      <c r="A8" s="867" t="s">
        <v>1</v>
      </c>
      <c r="B8" s="834" t="s">
        <v>25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835"/>
      <c r="Q8" s="835"/>
      <c r="R8" s="835"/>
      <c r="S8" s="836"/>
      <c r="T8" s="853" t="s">
        <v>26</v>
      </c>
      <c r="U8" s="854"/>
      <c r="V8" s="854"/>
      <c r="W8" s="854"/>
      <c r="X8" s="854"/>
      <c r="Y8" s="854"/>
      <c r="Z8" s="854"/>
      <c r="AA8" s="854"/>
      <c r="AB8" s="854"/>
      <c r="AC8" s="854"/>
      <c r="AD8" s="854"/>
      <c r="AE8" s="855"/>
      <c r="AF8" s="853" t="s">
        <v>429</v>
      </c>
      <c r="AG8" s="854"/>
      <c r="AH8" s="855"/>
      <c r="AI8" s="859" t="s">
        <v>27</v>
      </c>
      <c r="AJ8" s="860"/>
      <c r="AK8" s="861"/>
    </row>
    <row r="9" spans="1:39" ht="100.5" customHeight="1" x14ac:dyDescent="0.2">
      <c r="A9" s="868"/>
      <c r="B9" s="865" t="s">
        <v>28</v>
      </c>
      <c r="C9" s="839"/>
      <c r="D9" s="840"/>
      <c r="E9" s="838" t="s">
        <v>129</v>
      </c>
      <c r="F9" s="839"/>
      <c r="G9" s="840"/>
      <c r="H9" s="838" t="s">
        <v>99</v>
      </c>
      <c r="I9" s="839"/>
      <c r="J9" s="840"/>
      <c r="K9" s="838" t="s">
        <v>100</v>
      </c>
      <c r="L9" s="839"/>
      <c r="M9" s="840"/>
      <c r="N9" s="838" t="s">
        <v>101</v>
      </c>
      <c r="O9" s="839"/>
      <c r="P9" s="840"/>
      <c r="Q9" s="838" t="s">
        <v>546</v>
      </c>
      <c r="R9" s="839"/>
      <c r="S9" s="869"/>
      <c r="T9" s="865" t="s">
        <v>29</v>
      </c>
      <c r="U9" s="839"/>
      <c r="V9" s="840"/>
      <c r="W9" s="838" t="s">
        <v>69</v>
      </c>
      <c r="X9" s="839"/>
      <c r="Y9" s="840"/>
      <c r="Z9" s="838" t="s">
        <v>591</v>
      </c>
      <c r="AA9" s="839"/>
      <c r="AB9" s="840"/>
      <c r="AC9" s="851" t="s">
        <v>547</v>
      </c>
      <c r="AD9" s="851"/>
      <c r="AE9" s="852"/>
      <c r="AF9" s="856"/>
      <c r="AG9" s="857"/>
      <c r="AH9" s="858"/>
      <c r="AI9" s="862"/>
      <c r="AJ9" s="863"/>
      <c r="AK9" s="864"/>
    </row>
    <row r="10" spans="1:39" ht="44.25" customHeight="1" x14ac:dyDescent="0.2">
      <c r="A10" s="371"/>
      <c r="B10" s="386" t="s">
        <v>673</v>
      </c>
      <c r="C10" s="378" t="s">
        <v>674</v>
      </c>
      <c r="D10" s="378" t="s">
        <v>852</v>
      </c>
      <c r="E10" s="378" t="s">
        <v>673</v>
      </c>
      <c r="F10" s="378" t="s">
        <v>674</v>
      </c>
      <c r="G10" s="378" t="s">
        <v>852</v>
      </c>
      <c r="H10" s="378" t="s">
        <v>673</v>
      </c>
      <c r="I10" s="378" t="s">
        <v>674</v>
      </c>
      <c r="J10" s="378" t="s">
        <v>852</v>
      </c>
      <c r="K10" s="378" t="s">
        <v>673</v>
      </c>
      <c r="L10" s="378" t="s">
        <v>674</v>
      </c>
      <c r="M10" s="378" t="s">
        <v>852</v>
      </c>
      <c r="N10" s="378" t="s">
        <v>673</v>
      </c>
      <c r="O10" s="378" t="s">
        <v>674</v>
      </c>
      <c r="P10" s="378" t="s">
        <v>852</v>
      </c>
      <c r="Q10" s="378" t="s">
        <v>673</v>
      </c>
      <c r="R10" s="378" t="s">
        <v>674</v>
      </c>
      <c r="S10" s="422" t="s">
        <v>852</v>
      </c>
      <c r="T10" s="386" t="s">
        <v>673</v>
      </c>
      <c r="U10" s="378" t="s">
        <v>674</v>
      </c>
      <c r="V10" s="378" t="s">
        <v>852</v>
      </c>
      <c r="W10" s="378" t="s">
        <v>673</v>
      </c>
      <c r="X10" s="378" t="s">
        <v>674</v>
      </c>
      <c r="Y10" s="378" t="s">
        <v>852</v>
      </c>
      <c r="Z10" s="378" t="s">
        <v>673</v>
      </c>
      <c r="AA10" s="378" t="s">
        <v>674</v>
      </c>
      <c r="AB10" s="378" t="s">
        <v>852</v>
      </c>
      <c r="AC10" s="378" t="s">
        <v>673</v>
      </c>
      <c r="AD10" s="378" t="s">
        <v>674</v>
      </c>
      <c r="AE10" s="422" t="s">
        <v>852</v>
      </c>
      <c r="AF10" s="427" t="s">
        <v>673</v>
      </c>
      <c r="AG10" s="528" t="s">
        <v>674</v>
      </c>
      <c r="AH10" s="422" t="s">
        <v>852</v>
      </c>
      <c r="AI10" s="428" t="s">
        <v>673</v>
      </c>
      <c r="AJ10" s="381" t="s">
        <v>674</v>
      </c>
      <c r="AK10" s="422" t="s">
        <v>852</v>
      </c>
    </row>
    <row r="11" spans="1:39" s="6" customFormat="1" ht="36" customHeight="1" x14ac:dyDescent="0.2">
      <c r="A11" s="15" t="s">
        <v>610</v>
      </c>
      <c r="B11" s="420">
        <f>'21.m. Konyha rovat+cofog'!M58</f>
        <v>20940900</v>
      </c>
      <c r="C11" s="189">
        <f>'21.m. Konyha rovat+cofog'!N58</f>
        <v>23018344</v>
      </c>
      <c r="D11" s="189">
        <f>'21.m. Konyha rovat+cofog'!O58</f>
        <v>22952136</v>
      </c>
      <c r="E11" s="189">
        <f>'21.m. Konyha rovat+cofog'!M62</f>
        <v>3659657.5</v>
      </c>
      <c r="F11" s="189">
        <f>'21.m. Konyha rovat+cofog'!N62</f>
        <v>3821414.2199999997</v>
      </c>
      <c r="G11" s="189">
        <f>'21.m. Konyha rovat+cofog'!O62</f>
        <v>3821414</v>
      </c>
      <c r="H11" s="189">
        <f>'21.m. Konyha rovat+cofog'!M88</f>
        <v>57813081.897719994</v>
      </c>
      <c r="I11" s="189">
        <f>'21.m. Konyha rovat+cofog'!N88</f>
        <v>60841799.220359996</v>
      </c>
      <c r="J11" s="189">
        <f>'21.m. Konyha rovat+cofog'!O88</f>
        <v>59053851</v>
      </c>
      <c r="K11" s="189"/>
      <c r="L11" s="190"/>
      <c r="M11" s="190"/>
      <c r="N11" s="190"/>
      <c r="O11" s="190"/>
      <c r="P11" s="190"/>
      <c r="Q11" s="190"/>
      <c r="R11" s="189"/>
      <c r="S11" s="526"/>
      <c r="T11" s="420">
        <f>'21.m. Konyha rovat+cofog'!M96</f>
        <v>254000</v>
      </c>
      <c r="U11" s="189">
        <f>'21.m. Konyha rovat+cofog'!N96+'21.m. Konyha rovat+cofog'!N99</f>
        <v>9781409</v>
      </c>
      <c r="V11" s="189">
        <f>'21.m. Konyha rovat+cofog'!O96+'21.m. Konyha rovat+cofog'!O99</f>
        <v>9666893</v>
      </c>
      <c r="W11" s="189"/>
      <c r="X11" s="189"/>
      <c r="Y11" s="189"/>
      <c r="Z11" s="189"/>
      <c r="AA11" s="189"/>
      <c r="AB11" s="189"/>
      <c r="AC11" s="189"/>
      <c r="AD11" s="189"/>
      <c r="AE11" s="526"/>
      <c r="AF11" s="420"/>
      <c r="AG11" s="189"/>
      <c r="AH11" s="530"/>
      <c r="AI11" s="425">
        <f t="shared" ref="AI11:AK14" si="0">B11+E11+H11+K11+N11+Q11+T11+W11+Z11+AC11+AF11</f>
        <v>82667639.397719994</v>
      </c>
      <c r="AJ11" s="521">
        <f t="shared" si="0"/>
        <v>97462966.440359995</v>
      </c>
      <c r="AK11" s="424">
        <f t="shared" si="0"/>
        <v>95494294</v>
      </c>
    </row>
    <row r="12" spans="1:39" s="6" customFormat="1" ht="31.5" x14ac:dyDescent="0.2">
      <c r="A12" s="30" t="s">
        <v>130</v>
      </c>
      <c r="B12" s="420">
        <f>'19.m. Óvoda rovat+cofog'!M54</f>
        <v>32875990</v>
      </c>
      <c r="C12" s="189">
        <f>'19.m. Óvoda rovat+cofog'!N54</f>
        <v>33623755</v>
      </c>
      <c r="D12" s="189">
        <f>'19.m. Óvoda rovat+cofog'!O54</f>
        <v>33491972</v>
      </c>
      <c r="E12" s="189">
        <f>'19.m. Óvoda rovat+cofog'!M58</f>
        <v>5666673.25</v>
      </c>
      <c r="F12" s="189">
        <f>'19.m. Óvoda rovat+cofog'!N58</f>
        <v>5666673.1550000003</v>
      </c>
      <c r="G12" s="189">
        <f>'19.m. Óvoda rovat+cofog'!O58</f>
        <v>5403838</v>
      </c>
      <c r="H12" s="189">
        <f>'19.m. Óvoda rovat+cofog'!M83</f>
        <v>5022650</v>
      </c>
      <c r="I12" s="189">
        <f>'19.m. Óvoda rovat+cofog'!N83</f>
        <v>4934150.1500000004</v>
      </c>
      <c r="J12" s="189">
        <f>'19.m. Óvoda rovat+cofog'!O83</f>
        <v>3863678</v>
      </c>
      <c r="K12" s="189"/>
      <c r="L12" s="189"/>
      <c r="M12" s="189"/>
      <c r="N12" s="189"/>
      <c r="O12" s="189"/>
      <c r="P12" s="375"/>
      <c r="Q12" s="426"/>
      <c r="R12" s="426"/>
      <c r="S12" s="529"/>
      <c r="T12" s="420">
        <f>('19.m. Óvoda rovat+cofog'!M90+'19.m. Óvoda rovat+cofog'!M91)</f>
        <v>0</v>
      </c>
      <c r="U12" s="189">
        <f>('19.m. Óvoda rovat+cofog'!N90+'19.m. Óvoda rovat+cofog'!N91)</f>
        <v>88500</v>
      </c>
      <c r="V12" s="189">
        <f>('19.m. Óvoda rovat+cofog'!O90+'19.m. Óvoda rovat+cofog'!O91)</f>
        <v>72100</v>
      </c>
      <c r="W12" s="189">
        <f>'19.m. Óvoda rovat+cofog'!M92</f>
        <v>0</v>
      </c>
      <c r="X12" s="189">
        <f>'19.m. Óvoda rovat+cofog'!N92</f>
        <v>0</v>
      </c>
      <c r="Y12" s="189">
        <f>'19.m. Óvoda rovat+cofog'!O92</f>
        <v>0</v>
      </c>
      <c r="Z12" s="189">
        <v>0</v>
      </c>
      <c r="AA12" s="189">
        <v>0</v>
      </c>
      <c r="AB12" s="189">
        <v>0</v>
      </c>
      <c r="AC12" s="189"/>
      <c r="AD12" s="189"/>
      <c r="AE12" s="526"/>
      <c r="AF12" s="420">
        <f>'19.m. Óvoda rovat+cofog'!M93</f>
        <v>0</v>
      </c>
      <c r="AG12" s="189"/>
      <c r="AH12" s="530"/>
      <c r="AI12" s="425">
        <f t="shared" si="0"/>
        <v>43565313.25</v>
      </c>
      <c r="AJ12" s="521">
        <f t="shared" si="0"/>
        <v>44313078.305</v>
      </c>
      <c r="AK12" s="424">
        <f t="shared" si="0"/>
        <v>42831588</v>
      </c>
    </row>
    <row r="13" spans="1:39" s="6" customFormat="1" ht="33" customHeight="1" x14ac:dyDescent="0.2">
      <c r="A13" s="31" t="s">
        <v>631</v>
      </c>
      <c r="B13" s="420">
        <f>'20.m. KÖH rovat+cofog'!J58</f>
        <v>34876373</v>
      </c>
      <c r="C13" s="189">
        <f>'20.m. KÖH rovat+cofog'!K58</f>
        <v>36339845</v>
      </c>
      <c r="D13" s="189">
        <f>'20.m. KÖH rovat+cofog'!L58</f>
        <v>34487308</v>
      </c>
      <c r="E13" s="189">
        <f>'20.m. KÖH rovat+cofog'!J62</f>
        <v>6115216.2249999996</v>
      </c>
      <c r="F13" s="189">
        <f>'20.m. KÖH rovat+cofog'!K62</f>
        <v>5574609.2750000004</v>
      </c>
      <c r="G13" s="189">
        <f>'20.m. KÖH rovat+cofog'!L62</f>
        <v>4950927</v>
      </c>
      <c r="H13" s="189">
        <f>'20.m. KÖH rovat+cofog'!J87</f>
        <v>7873461</v>
      </c>
      <c r="I13" s="189">
        <f>'20.m. KÖH rovat+cofog'!K87</f>
        <v>7524707.4399999995</v>
      </c>
      <c r="J13" s="189">
        <f>'20.m. KÖH rovat+cofog'!L87</f>
        <v>6354385</v>
      </c>
      <c r="K13" s="189"/>
      <c r="L13" s="190"/>
      <c r="M13" s="190"/>
      <c r="N13" s="190"/>
      <c r="O13" s="190"/>
      <c r="P13" s="190"/>
      <c r="Q13" s="190"/>
      <c r="R13" s="189"/>
      <c r="S13" s="526"/>
      <c r="T13" s="420">
        <f>('20.m. KÖH rovat+cofog'!J95+'20.m. KÖH rovat+cofog'!J100)</f>
        <v>304800</v>
      </c>
      <c r="U13" s="189">
        <f>('20.m. KÖH rovat+cofog'!K95+'20.m. KÖH rovat+cofog'!K100)</f>
        <v>561209.77</v>
      </c>
      <c r="V13" s="189">
        <f>('20.m. KÖH rovat+cofog'!L95+'20.m. KÖH rovat+cofog'!L100)</f>
        <v>420101</v>
      </c>
      <c r="W13" s="189">
        <f>'20.m. KÖH rovat+cofog'!J101</f>
        <v>0</v>
      </c>
      <c r="X13" s="189">
        <f>'20.m. KÖH rovat+cofog'!K101</f>
        <v>0</v>
      </c>
      <c r="Y13" s="189">
        <f>'20.m. KÖH rovat+cofog'!L101</f>
        <v>0</v>
      </c>
      <c r="Z13" s="189">
        <v>0</v>
      </c>
      <c r="AA13" s="189">
        <v>0</v>
      </c>
      <c r="AB13" s="189">
        <v>0</v>
      </c>
      <c r="AC13" s="189"/>
      <c r="AD13" s="189"/>
      <c r="AE13" s="526"/>
      <c r="AF13" s="420">
        <f>'20.m. KÖH rovat+cofog'!J102</f>
        <v>0</v>
      </c>
      <c r="AG13" s="189"/>
      <c r="AH13" s="530"/>
      <c r="AI13" s="425">
        <f t="shared" si="0"/>
        <v>49169850.225000001</v>
      </c>
      <c r="AJ13" s="521">
        <f t="shared" si="0"/>
        <v>50000371.484999999</v>
      </c>
      <c r="AK13" s="424">
        <f t="shared" si="0"/>
        <v>46212721</v>
      </c>
    </row>
    <row r="14" spans="1:39" s="7" customFormat="1" ht="30" customHeight="1" x14ac:dyDescent="0.2">
      <c r="A14" s="31" t="s">
        <v>23</v>
      </c>
      <c r="B14" s="420">
        <f>'18.m. Önk. rovat+cofog'!CJ82</f>
        <v>35800294</v>
      </c>
      <c r="C14" s="189">
        <f>'18.m. Önk. rovat+cofog'!CK82</f>
        <v>47566166.899999999</v>
      </c>
      <c r="D14" s="189">
        <f>'18.m. Önk. rovat+cofog'!CL82</f>
        <v>44513852</v>
      </c>
      <c r="E14" s="189">
        <f>'18.m. Önk. rovat+cofog'!CJ88</f>
        <v>5697839.2249999996</v>
      </c>
      <c r="F14" s="189">
        <f>'18.m. Önk. rovat+cofog'!CK88</f>
        <v>7101046.8744999999</v>
      </c>
      <c r="G14" s="189">
        <f>'18.m. Önk. rovat+cofog'!CL88</f>
        <v>6999018</v>
      </c>
      <c r="H14" s="189">
        <f>'18.m. Önk. rovat+cofog'!CJ115</f>
        <v>41879393.419999994</v>
      </c>
      <c r="I14" s="189">
        <f>'18.m. Önk. rovat+cofog'!CK115</f>
        <v>51011150.960000001</v>
      </c>
      <c r="J14" s="189">
        <f>'18.m. Önk. rovat+cofog'!CL115</f>
        <v>45128505.5</v>
      </c>
      <c r="K14" s="189">
        <f>'18.m. Önk. rovat+cofog'!CJ117</f>
        <v>500000</v>
      </c>
      <c r="L14" s="189">
        <f>'18.m. Önk. rovat+cofog'!CK117</f>
        <v>500000</v>
      </c>
      <c r="M14" s="189">
        <f>'18.m. Önk. rovat+cofog'!CL117</f>
        <v>218500</v>
      </c>
      <c r="N14" s="190">
        <f>('18.m. Önk. rovat+cofog'!CJ125-'18.m. Önk. rovat+cofog'!CJ124)</f>
        <v>46637814</v>
      </c>
      <c r="O14" s="190">
        <f>('18.m. Önk. rovat+cofog'!CK125-'18.m. Önk. rovat+cofog'!CK124)</f>
        <v>56798291</v>
      </c>
      <c r="P14" s="190">
        <f>('18.m. Önk. rovat+cofog'!CL125-'18.m. Önk. rovat+cofog'!CL124)</f>
        <v>55505161</v>
      </c>
      <c r="Q14" s="190">
        <v>13453690</v>
      </c>
      <c r="R14" s="189">
        <f>'18.m. Önk. rovat+cofog'!H124+'18.m. Önk. rovat+cofog'!CH124</f>
        <v>12608419</v>
      </c>
      <c r="S14" s="192">
        <f>'18.m. Önk. rovat+cofog'!I124+'18.m. Önk. rovat+cofog'!CI124</f>
        <v>0</v>
      </c>
      <c r="T14" s="420">
        <f>('18.m. Önk. rovat+cofog'!CJ131+'18.m. Önk. rovat+cofog'!CJ136)</f>
        <v>64282390</v>
      </c>
      <c r="U14" s="189">
        <f>('18.m. Önk. rovat+cofog'!CK131+'18.m. Önk. rovat+cofog'!CK136)</f>
        <v>162612407.52000001</v>
      </c>
      <c r="V14" s="189">
        <f>('18.m. Önk. rovat+cofog'!CL131+'18.m. Önk. rovat+cofog'!CL136)</f>
        <v>81426980</v>
      </c>
      <c r="W14" s="189">
        <f>'18.m. Önk. rovat+cofog'!CJ140</f>
        <v>4500000</v>
      </c>
      <c r="X14" s="189">
        <f>'18.m. Önk. rovat+cofog'!CK140</f>
        <v>9941357</v>
      </c>
      <c r="Y14" s="189">
        <f>'18.m. Önk. rovat+cofog'!CL140</f>
        <v>9941357</v>
      </c>
      <c r="Z14" s="189">
        <f>'18.m. Önk. rovat+cofog'!CJ142</f>
        <v>6256872</v>
      </c>
      <c r="AA14" s="189">
        <f>'18.m. Önk. rovat+cofog'!CK142</f>
        <v>6781557</v>
      </c>
      <c r="AB14" s="189">
        <f>'18.m. Önk. rovat+cofog'!CL142</f>
        <v>6781557</v>
      </c>
      <c r="AC14" s="189">
        <f>'18.m. Önk. rovat+cofog'!CJ124-Q14</f>
        <v>51550000</v>
      </c>
      <c r="AD14" s="189">
        <f>'18.m. Önk. rovat+cofog'!CK124-R14</f>
        <v>118061742</v>
      </c>
      <c r="AE14" s="192">
        <f>'18.m. Önk. rovat+cofog'!CL124-S14</f>
        <v>0</v>
      </c>
      <c r="AF14" s="420">
        <f>'18.m. Önk. rovat+cofog'!CJ143</f>
        <v>118525644</v>
      </c>
      <c r="AG14" s="189">
        <f>'18.m. Önk. rovat+cofog'!CK143</f>
        <v>129825273</v>
      </c>
      <c r="AH14" s="192">
        <f>'18.m. Önk. rovat+cofog'!CL143</f>
        <v>129777366</v>
      </c>
      <c r="AI14" s="425">
        <f t="shared" si="0"/>
        <v>389083936.64499998</v>
      </c>
      <c r="AJ14" s="521">
        <f t="shared" si="0"/>
        <v>602807411.25450003</v>
      </c>
      <c r="AK14" s="424">
        <f t="shared" si="0"/>
        <v>380292296.5</v>
      </c>
    </row>
    <row r="15" spans="1:39" s="6" customFormat="1" ht="31.5" customHeight="1" thickBot="1" x14ac:dyDescent="0.25">
      <c r="A15" s="32" t="s">
        <v>127</v>
      </c>
      <c r="B15" s="421">
        <f t="shared" ref="B15:AH15" si="1">SUM(B11:B14)</f>
        <v>124493557</v>
      </c>
      <c r="C15" s="194">
        <f t="shared" si="1"/>
        <v>140548110.90000001</v>
      </c>
      <c r="D15" s="194">
        <f t="shared" si="1"/>
        <v>135445268</v>
      </c>
      <c r="E15" s="194">
        <f t="shared" si="1"/>
        <v>21139386.199999999</v>
      </c>
      <c r="F15" s="194">
        <f t="shared" si="1"/>
        <v>22163743.524500001</v>
      </c>
      <c r="G15" s="194">
        <f t="shared" si="1"/>
        <v>21175197</v>
      </c>
      <c r="H15" s="194">
        <f t="shared" si="1"/>
        <v>112588586.31772</v>
      </c>
      <c r="I15" s="194">
        <f t="shared" si="1"/>
        <v>124311807.77035999</v>
      </c>
      <c r="J15" s="194">
        <f t="shared" si="1"/>
        <v>114400419.5</v>
      </c>
      <c r="K15" s="194">
        <f t="shared" si="1"/>
        <v>500000</v>
      </c>
      <c r="L15" s="194">
        <f t="shared" si="1"/>
        <v>500000</v>
      </c>
      <c r="M15" s="194">
        <f t="shared" si="1"/>
        <v>218500</v>
      </c>
      <c r="N15" s="194">
        <f t="shared" si="1"/>
        <v>46637814</v>
      </c>
      <c r="O15" s="194">
        <f t="shared" si="1"/>
        <v>56798291</v>
      </c>
      <c r="P15" s="194">
        <f t="shared" si="1"/>
        <v>55505161</v>
      </c>
      <c r="Q15" s="194">
        <f t="shared" si="1"/>
        <v>13453690</v>
      </c>
      <c r="R15" s="194">
        <f t="shared" si="1"/>
        <v>12608419</v>
      </c>
      <c r="S15" s="196">
        <f t="shared" si="1"/>
        <v>0</v>
      </c>
      <c r="T15" s="421">
        <f t="shared" si="1"/>
        <v>64841190</v>
      </c>
      <c r="U15" s="194">
        <f t="shared" si="1"/>
        <v>173043526.29000002</v>
      </c>
      <c r="V15" s="194">
        <f t="shared" si="1"/>
        <v>91586074</v>
      </c>
      <c r="W15" s="194">
        <f t="shared" si="1"/>
        <v>4500000</v>
      </c>
      <c r="X15" s="194">
        <f t="shared" si="1"/>
        <v>9941357</v>
      </c>
      <c r="Y15" s="194">
        <f t="shared" si="1"/>
        <v>9941357</v>
      </c>
      <c r="Z15" s="194">
        <f t="shared" si="1"/>
        <v>6256872</v>
      </c>
      <c r="AA15" s="194">
        <f t="shared" si="1"/>
        <v>6781557</v>
      </c>
      <c r="AB15" s="194">
        <f t="shared" si="1"/>
        <v>6781557</v>
      </c>
      <c r="AC15" s="194">
        <f t="shared" si="1"/>
        <v>51550000</v>
      </c>
      <c r="AD15" s="194">
        <f t="shared" si="1"/>
        <v>118061742</v>
      </c>
      <c r="AE15" s="196">
        <f t="shared" si="1"/>
        <v>0</v>
      </c>
      <c r="AF15" s="195">
        <f t="shared" si="1"/>
        <v>118525644</v>
      </c>
      <c r="AG15" s="194">
        <f t="shared" si="1"/>
        <v>129825273</v>
      </c>
      <c r="AH15" s="196">
        <f t="shared" si="1"/>
        <v>129777366</v>
      </c>
      <c r="AI15" s="421">
        <f>SUM(AI11:AI14)</f>
        <v>564486739.51771998</v>
      </c>
      <c r="AJ15" s="226">
        <f>SUM(AJ11:AJ14)</f>
        <v>794583827.48485994</v>
      </c>
      <c r="AK15" s="196">
        <f>SUM(AK11:AK14)</f>
        <v>564830899.5</v>
      </c>
    </row>
    <row r="17" spans="23:37" x14ac:dyDescent="0.2"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</sheetData>
  <mergeCells count="18">
    <mergeCell ref="A2:AI2"/>
    <mergeCell ref="A4:AI4"/>
    <mergeCell ref="A8:A9"/>
    <mergeCell ref="A5:AI5"/>
    <mergeCell ref="B9:D9"/>
    <mergeCell ref="E9:G9"/>
    <mergeCell ref="H9:J9"/>
    <mergeCell ref="K9:M9"/>
    <mergeCell ref="N9:P9"/>
    <mergeCell ref="Q9:S9"/>
    <mergeCell ref="AF8:AH9"/>
    <mergeCell ref="AI8:AK9"/>
    <mergeCell ref="B8:S8"/>
    <mergeCell ref="T9:V9"/>
    <mergeCell ref="W9:Y9"/>
    <mergeCell ref="Z9:AB9"/>
    <mergeCell ref="AC9:AE9"/>
    <mergeCell ref="T8:AE8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23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view="pageBreakPreview" zoomScaleNormal="100" zoomScaleSheetLayoutView="100" workbookViewId="0">
      <pane xSplit="3" ySplit="11" topLeftCell="D90" activePane="bottomRight" state="frozen"/>
      <selection pane="topRight" activeCell="D1" sqref="D1"/>
      <selection pane="bottomLeft" activeCell="A11" sqref="A11"/>
      <selection pane="bottomRight" activeCell="F105" sqref="F105"/>
    </sheetView>
  </sheetViews>
  <sheetFormatPr defaultRowHeight="15" x14ac:dyDescent="0.2"/>
  <cols>
    <col min="1" max="1" width="7" style="101" customWidth="1"/>
    <col min="2" max="2" width="10.42578125" style="101" bestFit="1" customWidth="1"/>
    <col min="3" max="3" width="60.42578125" style="102" customWidth="1"/>
    <col min="4" max="12" width="13.7109375" style="102" customWidth="1"/>
    <col min="13" max="16384" width="9.140625" style="103"/>
  </cols>
  <sheetData>
    <row r="1" spans="1:12" x14ac:dyDescent="0.2">
      <c r="A1" s="199" t="s">
        <v>1096</v>
      </c>
      <c r="B1" s="199"/>
      <c r="C1" s="199"/>
    </row>
    <row r="2" spans="1:12" ht="18" x14ac:dyDescent="0.2">
      <c r="A2" s="100" t="s">
        <v>847</v>
      </c>
    </row>
    <row r="3" spans="1:12" ht="18" x14ac:dyDescent="0.2">
      <c r="A3" s="290" t="s">
        <v>597</v>
      </c>
    </row>
    <row r="5" spans="1:12" ht="15.75" x14ac:dyDescent="0.2">
      <c r="A5" s="104" t="s">
        <v>132</v>
      </c>
      <c r="B5" s="104"/>
      <c r="C5" s="104"/>
    </row>
    <row r="6" spans="1:12" x14ac:dyDescent="0.2">
      <c r="A6" s="105"/>
      <c r="B6" s="1109"/>
      <c r="C6" s="1109"/>
      <c r="D6" s="1097" t="s">
        <v>134</v>
      </c>
      <c r="E6" s="1098"/>
      <c r="F6" s="1099"/>
      <c r="G6" s="1097" t="s">
        <v>134</v>
      </c>
      <c r="H6" s="1098"/>
      <c r="I6" s="1099"/>
      <c r="J6" s="1132" t="s">
        <v>213</v>
      </c>
      <c r="K6" s="1133"/>
      <c r="L6" s="1134"/>
    </row>
    <row r="7" spans="1:12" x14ac:dyDescent="0.2">
      <c r="A7" s="105"/>
      <c r="B7" s="1114" t="s">
        <v>154</v>
      </c>
      <c r="C7" s="1115"/>
      <c r="D7" s="1135" t="s">
        <v>448</v>
      </c>
      <c r="E7" s="1136"/>
      <c r="F7" s="1137"/>
      <c r="G7" s="1135"/>
      <c r="H7" s="1136"/>
      <c r="I7" s="1137"/>
      <c r="J7" s="1091"/>
      <c r="K7" s="1092"/>
      <c r="L7" s="1093"/>
    </row>
    <row r="8" spans="1:12" x14ac:dyDescent="0.2">
      <c r="A8" s="105"/>
      <c r="B8" s="1088"/>
      <c r="C8" s="1090"/>
      <c r="D8" s="1141"/>
      <c r="E8" s="1142"/>
      <c r="F8" s="1143"/>
      <c r="G8" s="1138"/>
      <c r="H8" s="1139"/>
      <c r="I8" s="1140"/>
      <c r="J8" s="1128" t="s">
        <v>449</v>
      </c>
      <c r="K8" s="1129"/>
      <c r="L8" s="1130"/>
    </row>
    <row r="9" spans="1:12" x14ac:dyDescent="0.2">
      <c r="A9" s="1117" t="s">
        <v>195</v>
      </c>
      <c r="B9" s="1120" t="s">
        <v>196</v>
      </c>
      <c r="C9" s="417"/>
      <c r="D9" s="1073" t="s">
        <v>450</v>
      </c>
      <c r="E9" s="1074"/>
      <c r="F9" s="1075"/>
      <c r="G9" s="1073" t="s">
        <v>451</v>
      </c>
      <c r="H9" s="1074"/>
      <c r="I9" s="1075"/>
      <c r="J9" s="1076" t="s">
        <v>452</v>
      </c>
      <c r="K9" s="1077"/>
      <c r="L9" s="1078"/>
    </row>
    <row r="10" spans="1:12" x14ac:dyDescent="0.2">
      <c r="A10" s="1118"/>
      <c r="B10" s="1121"/>
      <c r="C10" s="399" t="s">
        <v>1</v>
      </c>
      <c r="D10" s="1070"/>
      <c r="E10" s="1071"/>
      <c r="F10" s="1072"/>
      <c r="G10" s="1070"/>
      <c r="H10" s="1071"/>
      <c r="I10" s="1072"/>
      <c r="J10" s="1070" t="s">
        <v>179</v>
      </c>
      <c r="K10" s="1071"/>
      <c r="L10" s="1072"/>
    </row>
    <row r="11" spans="1:12" ht="25.5" x14ac:dyDescent="0.2">
      <c r="A11" s="1119"/>
      <c r="B11" s="1122"/>
      <c r="C11" s="109"/>
      <c r="D11" s="378" t="s">
        <v>673</v>
      </c>
      <c r="E11" s="378" t="s">
        <v>674</v>
      </c>
      <c r="F11" s="378" t="s">
        <v>845</v>
      </c>
      <c r="G11" s="378" t="s">
        <v>673</v>
      </c>
      <c r="H11" s="378" t="s">
        <v>674</v>
      </c>
      <c r="I11" s="378" t="s">
        <v>845</v>
      </c>
      <c r="J11" s="377" t="s">
        <v>673</v>
      </c>
      <c r="K11" s="377" t="s">
        <v>674</v>
      </c>
      <c r="L11" s="378" t="s">
        <v>845</v>
      </c>
    </row>
    <row r="12" spans="1:12" x14ac:dyDescent="0.2">
      <c r="A12" s="107" t="s">
        <v>0</v>
      </c>
      <c r="B12" s="110" t="s">
        <v>234</v>
      </c>
      <c r="C12" s="111" t="s">
        <v>235</v>
      </c>
      <c r="D12" s="87"/>
      <c r="E12" s="87"/>
      <c r="F12" s="87"/>
      <c r="G12" s="87"/>
      <c r="H12" s="92"/>
      <c r="I12" s="92"/>
      <c r="J12" s="92">
        <f t="shared" ref="J12:L14" si="0">D12+G12</f>
        <v>0</v>
      </c>
      <c r="K12" s="92">
        <f t="shared" si="0"/>
        <v>0</v>
      </c>
      <c r="L12" s="92">
        <f t="shared" si="0"/>
        <v>0</v>
      </c>
    </row>
    <row r="13" spans="1:12" x14ac:dyDescent="0.2">
      <c r="A13" s="107" t="s">
        <v>6</v>
      </c>
      <c r="B13" s="110" t="s">
        <v>244</v>
      </c>
      <c r="C13" s="111" t="s">
        <v>245</v>
      </c>
      <c r="D13" s="87"/>
      <c r="E13" s="87"/>
      <c r="F13" s="87"/>
      <c r="G13" s="87"/>
      <c r="H13" s="92"/>
      <c r="I13" s="92"/>
      <c r="J13" s="88">
        <f t="shared" si="0"/>
        <v>0</v>
      </c>
      <c r="K13" s="88">
        <f t="shared" si="0"/>
        <v>0</v>
      </c>
      <c r="L13" s="88">
        <f t="shared" si="0"/>
        <v>0</v>
      </c>
    </row>
    <row r="14" spans="1:12" x14ac:dyDescent="0.2">
      <c r="A14" s="107" t="s">
        <v>14</v>
      </c>
      <c r="B14" s="107" t="s">
        <v>256</v>
      </c>
      <c r="C14" s="112" t="s">
        <v>257</v>
      </c>
      <c r="D14" s="89"/>
      <c r="E14" s="89"/>
      <c r="F14" s="89"/>
      <c r="G14" s="89"/>
      <c r="H14" s="90"/>
      <c r="I14" s="90"/>
      <c r="J14" s="90">
        <f t="shared" si="0"/>
        <v>0</v>
      </c>
      <c r="K14" s="90">
        <f t="shared" si="0"/>
        <v>0</v>
      </c>
      <c r="L14" s="90">
        <f t="shared" si="0"/>
        <v>0</v>
      </c>
    </row>
    <row r="15" spans="1:12" x14ac:dyDescent="0.2">
      <c r="A15" s="107" t="s">
        <v>17</v>
      </c>
      <c r="B15" s="107" t="s">
        <v>258</v>
      </c>
      <c r="C15" s="112" t="s">
        <v>259</v>
      </c>
      <c r="D15" s="89"/>
      <c r="E15" s="89"/>
      <c r="F15" s="89"/>
      <c r="G15" s="89">
        <v>228600</v>
      </c>
      <c r="H15" s="90">
        <v>234354</v>
      </c>
      <c r="I15" s="90">
        <v>234354</v>
      </c>
      <c r="J15" s="90">
        <f t="shared" ref="J15:K20" si="1">D15+G15</f>
        <v>228600</v>
      </c>
      <c r="K15" s="90">
        <f t="shared" si="1"/>
        <v>234354</v>
      </c>
      <c r="L15" s="90">
        <f t="shared" ref="L15:L34" si="2">F15+I15</f>
        <v>234354</v>
      </c>
    </row>
    <row r="16" spans="1:12" x14ac:dyDescent="0.2">
      <c r="A16" s="107" t="s">
        <v>33</v>
      </c>
      <c r="B16" s="107" t="s">
        <v>260</v>
      </c>
      <c r="C16" s="112" t="s">
        <v>261</v>
      </c>
      <c r="D16" s="89"/>
      <c r="E16" s="89"/>
      <c r="F16" s="89"/>
      <c r="G16" s="89"/>
      <c r="H16" s="90"/>
      <c r="I16" s="90"/>
      <c r="J16" s="90">
        <f t="shared" si="1"/>
        <v>0</v>
      </c>
      <c r="K16" s="90">
        <f t="shared" si="1"/>
        <v>0</v>
      </c>
      <c r="L16" s="90">
        <f t="shared" si="2"/>
        <v>0</v>
      </c>
    </row>
    <row r="17" spans="1:12" x14ac:dyDescent="0.2">
      <c r="A17" s="107" t="s">
        <v>35</v>
      </c>
      <c r="B17" s="107" t="s">
        <v>264</v>
      </c>
      <c r="C17" s="112" t="s">
        <v>265</v>
      </c>
      <c r="D17" s="89"/>
      <c r="E17" s="89"/>
      <c r="F17" s="89"/>
      <c r="G17" s="89"/>
      <c r="H17" s="90"/>
      <c r="I17" s="90"/>
      <c r="J17" s="90">
        <f t="shared" si="1"/>
        <v>0</v>
      </c>
      <c r="K17" s="90">
        <f t="shared" si="1"/>
        <v>0</v>
      </c>
      <c r="L17" s="90">
        <f t="shared" si="2"/>
        <v>0</v>
      </c>
    </row>
    <row r="18" spans="1:12" x14ac:dyDescent="0.2">
      <c r="A18" s="107" t="s">
        <v>30</v>
      </c>
      <c r="B18" s="107" t="s">
        <v>268</v>
      </c>
      <c r="C18" s="112" t="s">
        <v>269</v>
      </c>
      <c r="D18" s="89">
        <v>50</v>
      </c>
      <c r="E18" s="89">
        <v>50</v>
      </c>
      <c r="F18" s="89">
        <v>1</v>
      </c>
      <c r="G18" s="89">
        <v>50</v>
      </c>
      <c r="H18" s="90">
        <v>50</v>
      </c>
      <c r="I18" s="90">
        <v>0</v>
      </c>
      <c r="J18" s="90">
        <f t="shared" si="1"/>
        <v>100</v>
      </c>
      <c r="K18" s="90">
        <f t="shared" si="1"/>
        <v>100</v>
      </c>
      <c r="L18" s="90">
        <f t="shared" si="2"/>
        <v>1</v>
      </c>
    </row>
    <row r="19" spans="1:12" x14ac:dyDescent="0.2">
      <c r="A19" s="107" t="s">
        <v>18</v>
      </c>
      <c r="B19" s="107" t="s">
        <v>270</v>
      </c>
      <c r="C19" s="112" t="s">
        <v>271</v>
      </c>
      <c r="D19" s="89"/>
      <c r="E19" s="89"/>
      <c r="F19" s="89"/>
      <c r="G19" s="89"/>
      <c r="H19" s="90"/>
      <c r="I19" s="90"/>
      <c r="J19" s="90">
        <f t="shared" si="1"/>
        <v>0</v>
      </c>
      <c r="K19" s="90">
        <f t="shared" si="1"/>
        <v>0</v>
      </c>
      <c r="L19" s="90">
        <f t="shared" si="2"/>
        <v>0</v>
      </c>
    </row>
    <row r="20" spans="1:12" x14ac:dyDescent="0.2">
      <c r="A20" s="107" t="s">
        <v>19</v>
      </c>
      <c r="B20" s="107" t="s">
        <v>272</v>
      </c>
      <c r="C20" s="112" t="s">
        <v>273</v>
      </c>
      <c r="D20" s="89">
        <v>100</v>
      </c>
      <c r="E20" s="89">
        <v>100</v>
      </c>
      <c r="F20" s="89"/>
      <c r="G20" s="89">
        <v>50</v>
      </c>
      <c r="H20" s="90">
        <v>50</v>
      </c>
      <c r="I20" s="90">
        <v>0</v>
      </c>
      <c r="J20" s="90">
        <f t="shared" si="1"/>
        <v>150</v>
      </c>
      <c r="K20" s="90">
        <f t="shared" si="1"/>
        <v>150</v>
      </c>
      <c r="L20" s="90">
        <f t="shared" si="2"/>
        <v>0</v>
      </c>
    </row>
    <row r="21" spans="1:12" x14ac:dyDescent="0.2">
      <c r="A21" s="107" t="s">
        <v>20</v>
      </c>
      <c r="B21" s="110" t="s">
        <v>274</v>
      </c>
      <c r="C21" s="113" t="s">
        <v>2</v>
      </c>
      <c r="D21" s="87">
        <f t="shared" ref="D21:I21" si="3">SUM(D14:D20)</f>
        <v>150</v>
      </c>
      <c r="E21" s="87">
        <f t="shared" si="3"/>
        <v>150</v>
      </c>
      <c r="F21" s="87">
        <f t="shared" si="3"/>
        <v>1</v>
      </c>
      <c r="G21" s="87">
        <f t="shared" si="3"/>
        <v>228700</v>
      </c>
      <c r="H21" s="87">
        <f t="shared" si="3"/>
        <v>234454</v>
      </c>
      <c r="I21" s="87">
        <f t="shared" si="3"/>
        <v>234354</v>
      </c>
      <c r="J21" s="413">
        <f t="shared" ref="J21:J34" si="4">D21+G21</f>
        <v>228850</v>
      </c>
      <c r="K21" s="413">
        <f t="shared" ref="K21:K34" si="5">E21+H21</f>
        <v>234604</v>
      </c>
      <c r="L21" s="413">
        <f t="shared" si="2"/>
        <v>234355</v>
      </c>
    </row>
    <row r="22" spans="1:12" x14ac:dyDescent="0.2">
      <c r="A22" s="107" t="s">
        <v>21</v>
      </c>
      <c r="B22" s="107" t="s">
        <v>277</v>
      </c>
      <c r="C22" s="112" t="s">
        <v>278</v>
      </c>
      <c r="D22" s="89"/>
      <c r="E22" s="89"/>
      <c r="F22" s="89"/>
      <c r="G22" s="89"/>
      <c r="H22" s="90"/>
      <c r="I22" s="90"/>
      <c r="J22" s="90">
        <f t="shared" si="4"/>
        <v>0</v>
      </c>
      <c r="K22" s="90">
        <f t="shared" si="5"/>
        <v>0</v>
      </c>
      <c r="L22" s="90">
        <f t="shared" si="2"/>
        <v>0</v>
      </c>
    </row>
    <row r="23" spans="1:12" x14ac:dyDescent="0.2">
      <c r="A23" s="107" t="s">
        <v>31</v>
      </c>
      <c r="B23" s="110" t="s">
        <v>279</v>
      </c>
      <c r="C23" s="111" t="s">
        <v>3</v>
      </c>
      <c r="D23" s="87">
        <f t="shared" ref="D23:I23" si="6">SUM(D22)</f>
        <v>0</v>
      </c>
      <c r="E23" s="87">
        <f t="shared" si="6"/>
        <v>0</v>
      </c>
      <c r="F23" s="87">
        <f t="shared" si="6"/>
        <v>0</v>
      </c>
      <c r="G23" s="87">
        <f t="shared" si="6"/>
        <v>0</v>
      </c>
      <c r="H23" s="87">
        <f t="shared" si="6"/>
        <v>0</v>
      </c>
      <c r="I23" s="87">
        <f t="shared" si="6"/>
        <v>0</v>
      </c>
      <c r="J23" s="413">
        <f t="shared" si="4"/>
        <v>0</v>
      </c>
      <c r="K23" s="413">
        <f t="shared" si="5"/>
        <v>0</v>
      </c>
      <c r="L23" s="413">
        <f t="shared" si="2"/>
        <v>0</v>
      </c>
    </row>
    <row r="24" spans="1:12" x14ac:dyDescent="0.2">
      <c r="A24" s="107" t="s">
        <v>22</v>
      </c>
      <c r="B24" s="107" t="s">
        <v>280</v>
      </c>
      <c r="C24" s="112" t="s">
        <v>281</v>
      </c>
      <c r="D24" s="89"/>
      <c r="E24" s="89"/>
      <c r="F24" s="89"/>
      <c r="G24" s="89"/>
      <c r="H24" s="90"/>
      <c r="I24" s="90"/>
      <c r="J24" s="90">
        <f t="shared" si="4"/>
        <v>0</v>
      </c>
      <c r="K24" s="90">
        <f t="shared" si="5"/>
        <v>0</v>
      </c>
      <c r="L24" s="90">
        <f t="shared" si="2"/>
        <v>0</v>
      </c>
    </row>
    <row r="25" spans="1:12" x14ac:dyDescent="0.2">
      <c r="A25" s="107" t="s">
        <v>24</v>
      </c>
      <c r="B25" s="107" t="s">
        <v>282</v>
      </c>
      <c r="C25" s="112" t="s">
        <v>283</v>
      </c>
      <c r="D25" s="89"/>
      <c r="E25" s="89"/>
      <c r="F25" s="89"/>
      <c r="G25" s="89"/>
      <c r="H25" s="90"/>
      <c r="I25" s="90"/>
      <c r="J25" s="90">
        <f t="shared" si="4"/>
        <v>0</v>
      </c>
      <c r="K25" s="90">
        <f t="shared" si="5"/>
        <v>0</v>
      </c>
      <c r="L25" s="90">
        <f t="shared" si="2"/>
        <v>0</v>
      </c>
    </row>
    <row r="26" spans="1:12" x14ac:dyDescent="0.2">
      <c r="A26" s="107" t="s">
        <v>39</v>
      </c>
      <c r="B26" s="110" t="s">
        <v>284</v>
      </c>
      <c r="C26" s="113" t="s">
        <v>285</v>
      </c>
      <c r="D26" s="87">
        <f t="shared" ref="D26:I26" si="7">SUM(D24:D25)</f>
        <v>0</v>
      </c>
      <c r="E26" s="87">
        <f t="shared" si="7"/>
        <v>0</v>
      </c>
      <c r="F26" s="87">
        <f t="shared" si="7"/>
        <v>0</v>
      </c>
      <c r="G26" s="87">
        <f t="shared" si="7"/>
        <v>0</v>
      </c>
      <c r="H26" s="87">
        <f t="shared" si="7"/>
        <v>0</v>
      </c>
      <c r="I26" s="87">
        <f t="shared" si="7"/>
        <v>0</v>
      </c>
      <c r="J26" s="413">
        <f t="shared" si="4"/>
        <v>0</v>
      </c>
      <c r="K26" s="413">
        <f t="shared" si="5"/>
        <v>0</v>
      </c>
      <c r="L26" s="413">
        <f t="shared" si="2"/>
        <v>0</v>
      </c>
    </row>
    <row r="27" spans="1:12" x14ac:dyDescent="0.2">
      <c r="A27" s="107" t="s">
        <v>40</v>
      </c>
      <c r="B27" s="107" t="s">
        <v>286</v>
      </c>
      <c r="C27" s="112" t="s">
        <v>287</v>
      </c>
      <c r="D27" s="89"/>
      <c r="E27" s="89"/>
      <c r="F27" s="89"/>
      <c r="G27" s="89"/>
      <c r="H27" s="90"/>
      <c r="I27" s="90"/>
      <c r="J27" s="90">
        <f t="shared" si="4"/>
        <v>0</v>
      </c>
      <c r="K27" s="90">
        <f t="shared" si="5"/>
        <v>0</v>
      </c>
      <c r="L27" s="90">
        <f t="shared" si="2"/>
        <v>0</v>
      </c>
    </row>
    <row r="28" spans="1:12" x14ac:dyDescent="0.2">
      <c r="A28" s="107" t="s">
        <v>41</v>
      </c>
      <c r="B28" s="107" t="s">
        <v>288</v>
      </c>
      <c r="C28" s="112" t="s">
        <v>289</v>
      </c>
      <c r="D28" s="89"/>
      <c r="E28" s="89"/>
      <c r="F28" s="89"/>
      <c r="G28" s="89"/>
      <c r="H28" s="90"/>
      <c r="I28" s="90"/>
      <c r="J28" s="90">
        <f t="shared" si="4"/>
        <v>0</v>
      </c>
      <c r="K28" s="90">
        <f t="shared" si="5"/>
        <v>0</v>
      </c>
      <c r="L28" s="90">
        <f t="shared" si="2"/>
        <v>0</v>
      </c>
    </row>
    <row r="29" spans="1:12" x14ac:dyDescent="0.2">
      <c r="A29" s="107" t="s">
        <v>42</v>
      </c>
      <c r="B29" s="110" t="s">
        <v>290</v>
      </c>
      <c r="C29" s="113" t="s">
        <v>291</v>
      </c>
      <c r="D29" s="87">
        <f t="shared" ref="D29:I29" si="8">SUM(D27:D28)</f>
        <v>0</v>
      </c>
      <c r="E29" s="87">
        <f t="shared" si="8"/>
        <v>0</v>
      </c>
      <c r="F29" s="87">
        <f t="shared" si="8"/>
        <v>0</v>
      </c>
      <c r="G29" s="87">
        <f t="shared" si="8"/>
        <v>0</v>
      </c>
      <c r="H29" s="87">
        <f t="shared" si="8"/>
        <v>0</v>
      </c>
      <c r="I29" s="87">
        <f t="shared" si="8"/>
        <v>0</v>
      </c>
      <c r="J29" s="413">
        <f t="shared" si="4"/>
        <v>0</v>
      </c>
      <c r="K29" s="413">
        <f t="shared" si="5"/>
        <v>0</v>
      </c>
      <c r="L29" s="413">
        <f t="shared" si="2"/>
        <v>0</v>
      </c>
    </row>
    <row r="30" spans="1:12" x14ac:dyDescent="0.2">
      <c r="A30" s="107" t="s">
        <v>43</v>
      </c>
      <c r="B30" s="107" t="s">
        <v>292</v>
      </c>
      <c r="C30" s="112" t="s">
        <v>293</v>
      </c>
      <c r="D30" s="89"/>
      <c r="E30" s="89"/>
      <c r="F30" s="89"/>
      <c r="G30" s="89"/>
      <c r="H30" s="90"/>
      <c r="I30" s="90"/>
      <c r="J30" s="90">
        <f t="shared" si="4"/>
        <v>0</v>
      </c>
      <c r="K30" s="90">
        <f t="shared" si="5"/>
        <v>0</v>
      </c>
      <c r="L30" s="90">
        <f t="shared" si="2"/>
        <v>0</v>
      </c>
    </row>
    <row r="31" spans="1:12" x14ac:dyDescent="0.2">
      <c r="A31" s="107" t="s">
        <v>44</v>
      </c>
      <c r="B31" s="107" t="s">
        <v>294</v>
      </c>
      <c r="C31" s="112" t="s">
        <v>295</v>
      </c>
      <c r="D31" s="89"/>
      <c r="E31" s="89">
        <v>13312</v>
      </c>
      <c r="F31" s="89">
        <v>13312</v>
      </c>
      <c r="G31" s="89"/>
      <c r="H31" s="90"/>
      <c r="I31" s="90"/>
      <c r="J31" s="90">
        <f t="shared" si="4"/>
        <v>0</v>
      </c>
      <c r="K31" s="90">
        <f t="shared" si="5"/>
        <v>13312</v>
      </c>
      <c r="L31" s="90">
        <f t="shared" si="2"/>
        <v>13312</v>
      </c>
    </row>
    <row r="32" spans="1:12" x14ac:dyDescent="0.2">
      <c r="A32" s="107" t="s">
        <v>45</v>
      </c>
      <c r="B32" s="107" t="s">
        <v>445</v>
      </c>
      <c r="C32" s="112" t="s">
        <v>446</v>
      </c>
      <c r="D32" s="89">
        <f>5450000*7.78</f>
        <v>42401000</v>
      </c>
      <c r="E32" s="89">
        <f>5450000*7.79+219519+148494</f>
        <v>42823513</v>
      </c>
      <c r="F32" s="89">
        <v>42823513</v>
      </c>
      <c r="G32" s="89">
        <f>5450000*1.2</f>
        <v>6540000</v>
      </c>
      <c r="H32" s="90">
        <f>5450000*1.2+33815+355127</f>
        <v>6928942</v>
      </c>
      <c r="I32" s="90">
        <v>6928942</v>
      </c>
      <c r="J32" s="90">
        <f t="shared" si="4"/>
        <v>48941000</v>
      </c>
      <c r="K32" s="90">
        <f t="shared" si="5"/>
        <v>49752455</v>
      </c>
      <c r="L32" s="90">
        <f t="shared" si="2"/>
        <v>49752455</v>
      </c>
    </row>
    <row r="33" spans="1:12" x14ac:dyDescent="0.2">
      <c r="A33" s="107" t="s">
        <v>46</v>
      </c>
      <c r="B33" s="110" t="s">
        <v>296</v>
      </c>
      <c r="C33" s="113" t="s">
        <v>297</v>
      </c>
      <c r="D33" s="87">
        <f t="shared" ref="D33:I33" si="9">SUM(D30:D32)</f>
        <v>42401000</v>
      </c>
      <c r="E33" s="87">
        <f t="shared" si="9"/>
        <v>42836825</v>
      </c>
      <c r="F33" s="87">
        <f t="shared" si="9"/>
        <v>42836825</v>
      </c>
      <c r="G33" s="87">
        <f t="shared" si="9"/>
        <v>6540000</v>
      </c>
      <c r="H33" s="87">
        <f t="shared" si="9"/>
        <v>6928942</v>
      </c>
      <c r="I33" s="87">
        <f t="shared" si="9"/>
        <v>6928942</v>
      </c>
      <c r="J33" s="413">
        <f t="shared" si="4"/>
        <v>48941000</v>
      </c>
      <c r="K33" s="413">
        <f t="shared" si="5"/>
        <v>49765767</v>
      </c>
      <c r="L33" s="413">
        <f t="shared" si="2"/>
        <v>49765767</v>
      </c>
    </row>
    <row r="34" spans="1:12" s="114" customFormat="1" x14ac:dyDescent="0.2">
      <c r="A34" s="107" t="s">
        <v>47</v>
      </c>
      <c r="B34" s="1112" t="s">
        <v>298</v>
      </c>
      <c r="C34" s="1113"/>
      <c r="D34" s="87">
        <f t="shared" ref="D34:I34" si="10">D12+D13+D21+D23+D26+D29+D33</f>
        <v>42401150</v>
      </c>
      <c r="E34" s="87">
        <f t="shared" si="10"/>
        <v>42836975</v>
      </c>
      <c r="F34" s="87">
        <f t="shared" si="10"/>
        <v>42836826</v>
      </c>
      <c r="G34" s="87">
        <f t="shared" si="10"/>
        <v>6768700</v>
      </c>
      <c r="H34" s="87">
        <f t="shared" si="10"/>
        <v>7163396</v>
      </c>
      <c r="I34" s="87">
        <f t="shared" si="10"/>
        <v>7163296</v>
      </c>
      <c r="J34" s="413">
        <f t="shared" si="4"/>
        <v>49169850</v>
      </c>
      <c r="K34" s="413">
        <f t="shared" si="5"/>
        <v>50000371</v>
      </c>
      <c r="L34" s="413">
        <f t="shared" si="2"/>
        <v>50000122</v>
      </c>
    </row>
    <row r="35" spans="1:12" x14ac:dyDescent="0.2">
      <c r="B35" s="115"/>
      <c r="C35" s="116"/>
      <c r="D35" s="116"/>
      <c r="E35" s="116"/>
      <c r="F35" s="116"/>
      <c r="G35" s="116"/>
      <c r="H35" s="116"/>
      <c r="I35" s="116"/>
      <c r="J35" s="116"/>
      <c r="K35" s="116"/>
      <c r="L35" s="116"/>
    </row>
    <row r="36" spans="1:12" ht="15.75" x14ac:dyDescent="0.2">
      <c r="A36" s="104" t="s">
        <v>299</v>
      </c>
      <c r="B36" s="104"/>
      <c r="C36" s="104"/>
      <c r="D36" s="116"/>
      <c r="E36" s="116"/>
      <c r="F36" s="116"/>
      <c r="G36" s="116"/>
      <c r="H36" s="116"/>
      <c r="I36" s="116"/>
      <c r="J36" s="116"/>
      <c r="K36" s="116"/>
      <c r="L36" s="116"/>
    </row>
    <row r="37" spans="1:12" x14ac:dyDescent="0.2">
      <c r="A37" s="117"/>
      <c r="B37" s="1116"/>
      <c r="C37" s="1116"/>
      <c r="D37" s="1097" t="s">
        <v>134</v>
      </c>
      <c r="E37" s="1098"/>
      <c r="F37" s="1099"/>
      <c r="G37" s="1097" t="s">
        <v>134</v>
      </c>
      <c r="H37" s="1098"/>
      <c r="I37" s="1099"/>
      <c r="J37" s="1132" t="s">
        <v>213</v>
      </c>
      <c r="K37" s="1133"/>
      <c r="L37" s="1134"/>
    </row>
    <row r="38" spans="1:12" x14ac:dyDescent="0.2">
      <c r="A38" s="105"/>
      <c r="B38" s="1110" t="s">
        <v>154</v>
      </c>
      <c r="C38" s="1111"/>
      <c r="D38" s="1135" t="s">
        <v>448</v>
      </c>
      <c r="E38" s="1136"/>
      <c r="F38" s="1137"/>
      <c r="G38" s="1135"/>
      <c r="H38" s="1136"/>
      <c r="I38" s="1137"/>
      <c r="J38" s="1091"/>
      <c r="K38" s="1092"/>
      <c r="L38" s="1093"/>
    </row>
    <row r="39" spans="1:12" x14ac:dyDescent="0.2">
      <c r="A39" s="105"/>
      <c r="B39" s="1085"/>
      <c r="C39" s="1087"/>
      <c r="D39" s="1141"/>
      <c r="E39" s="1142"/>
      <c r="F39" s="1143"/>
      <c r="G39" s="1138"/>
      <c r="H39" s="1139"/>
      <c r="I39" s="1140"/>
      <c r="J39" s="1128" t="s">
        <v>449</v>
      </c>
      <c r="K39" s="1129"/>
      <c r="L39" s="1130"/>
    </row>
    <row r="40" spans="1:12" x14ac:dyDescent="0.2">
      <c r="A40" s="1117" t="s">
        <v>195</v>
      </c>
      <c r="B40" s="1131" t="s">
        <v>196</v>
      </c>
      <c r="C40" s="118"/>
      <c r="D40" s="1073" t="s">
        <v>450</v>
      </c>
      <c r="E40" s="1074"/>
      <c r="F40" s="1075"/>
      <c r="G40" s="1073" t="s">
        <v>451</v>
      </c>
      <c r="H40" s="1074"/>
      <c r="I40" s="1075"/>
      <c r="J40" s="1076" t="s">
        <v>452</v>
      </c>
      <c r="K40" s="1077"/>
      <c r="L40" s="1078"/>
    </row>
    <row r="41" spans="1:12" x14ac:dyDescent="0.2">
      <c r="A41" s="1118"/>
      <c r="B41" s="1131"/>
      <c r="C41" s="108" t="s">
        <v>1</v>
      </c>
      <c r="D41" s="1070"/>
      <c r="E41" s="1071"/>
      <c r="F41" s="1072"/>
      <c r="G41" s="1070"/>
      <c r="H41" s="1071"/>
      <c r="I41" s="1072"/>
      <c r="J41" s="1070" t="s">
        <v>179</v>
      </c>
      <c r="K41" s="1071"/>
      <c r="L41" s="1072"/>
    </row>
    <row r="42" spans="1:12" ht="25.5" x14ac:dyDescent="0.2">
      <c r="A42" s="1119"/>
      <c r="B42" s="1131"/>
      <c r="C42" s="109"/>
      <c r="D42" s="378" t="s">
        <v>673</v>
      </c>
      <c r="E42" s="378" t="s">
        <v>674</v>
      </c>
      <c r="F42" s="378" t="s">
        <v>845</v>
      </c>
      <c r="G42" s="378" t="s">
        <v>673</v>
      </c>
      <c r="H42" s="378" t="s">
        <v>674</v>
      </c>
      <c r="I42" s="378" t="s">
        <v>845</v>
      </c>
      <c r="J42" s="377" t="s">
        <v>673</v>
      </c>
      <c r="K42" s="377" t="s">
        <v>674</v>
      </c>
      <c r="L42" s="378" t="s">
        <v>845</v>
      </c>
    </row>
    <row r="43" spans="1:12" x14ac:dyDescent="0.2">
      <c r="A43" s="119" t="s">
        <v>0</v>
      </c>
      <c r="B43" s="119" t="s">
        <v>300</v>
      </c>
      <c r="C43" s="120" t="s">
        <v>301</v>
      </c>
      <c r="D43" s="93">
        <f>'aládolgozó számítások'!N113-'aládolgozó számítások'!D113</f>
        <v>29359800</v>
      </c>
      <c r="E43" s="93">
        <f>'aládolgozó számítások'!P124-'aládolgozó számítások'!D124+1170955</f>
        <v>29465052</v>
      </c>
      <c r="F43" s="93">
        <v>27649774</v>
      </c>
      <c r="G43" s="93">
        <f>'aládolgozó számítások'!D113</f>
        <v>3718400</v>
      </c>
      <c r="H43" s="94">
        <f>'aládolgozó számítások'!D124+18458</f>
        <v>3736858</v>
      </c>
      <c r="I43" s="94">
        <v>3736858</v>
      </c>
      <c r="J43" s="94">
        <f>D43+G43</f>
        <v>33078200</v>
      </c>
      <c r="K43" s="94">
        <f>E43+H43</f>
        <v>33201910</v>
      </c>
      <c r="L43" s="94">
        <f>F43+I43</f>
        <v>31386632</v>
      </c>
    </row>
    <row r="44" spans="1:12" x14ac:dyDescent="0.2">
      <c r="A44" s="119" t="s">
        <v>6</v>
      </c>
      <c r="B44" s="300" t="s">
        <v>614</v>
      </c>
      <c r="C44" s="301" t="s">
        <v>615</v>
      </c>
      <c r="D44" s="298">
        <f>'aládolgozó számítások'!F113+'aládolgozó számítások'!I113+'aládolgozó számítások'!L113+'aládolgozó számítások'!M113-D46-100000</f>
        <v>10544800</v>
      </c>
      <c r="E44" s="298">
        <v>8803697</v>
      </c>
      <c r="F44" s="298"/>
      <c r="G44" s="298"/>
      <c r="H44" s="299">
        <v>0</v>
      </c>
      <c r="I44" s="299"/>
      <c r="J44" s="299">
        <f t="shared" ref="J44:J53" si="11">D44+G44</f>
        <v>10544800</v>
      </c>
      <c r="K44" s="299">
        <f t="shared" ref="K44:K53" si="12">E44+H44</f>
        <v>8803697</v>
      </c>
      <c r="L44" s="94">
        <f t="shared" ref="L44:L104" si="13">F44+I44</f>
        <v>0</v>
      </c>
    </row>
    <row r="45" spans="1:12" x14ac:dyDescent="0.2">
      <c r="A45" s="119" t="s">
        <v>14</v>
      </c>
      <c r="B45" s="300"/>
      <c r="C45" s="301" t="s">
        <v>616</v>
      </c>
      <c r="D45" s="298">
        <f>'aládolgozó számítások'!G113+'aládolgozó számítások'!H113+'aládolgozó számítások'!J113+'aládolgozó számítások'!K113-300000</f>
        <v>15736600</v>
      </c>
      <c r="E45" s="298">
        <f>18436600+1170355</f>
        <v>19606955</v>
      </c>
      <c r="F45" s="298"/>
      <c r="G45" s="298">
        <v>3718400</v>
      </c>
      <c r="H45" s="299">
        <v>3736858</v>
      </c>
      <c r="I45" s="299">
        <v>3736858</v>
      </c>
      <c r="J45" s="299">
        <f t="shared" si="11"/>
        <v>19455000</v>
      </c>
      <c r="K45" s="299">
        <f t="shared" si="12"/>
        <v>23343813</v>
      </c>
      <c r="L45" s="94">
        <f t="shared" si="13"/>
        <v>3736858</v>
      </c>
    </row>
    <row r="46" spans="1:12" x14ac:dyDescent="0.2">
      <c r="A46" s="119" t="s">
        <v>17</v>
      </c>
      <c r="B46" s="300"/>
      <c r="C46" s="301" t="s">
        <v>617</v>
      </c>
      <c r="D46" s="298">
        <v>278400</v>
      </c>
      <c r="E46" s="298">
        <v>394400</v>
      </c>
      <c r="F46" s="298"/>
      <c r="G46" s="298">
        <v>0</v>
      </c>
      <c r="H46" s="299">
        <v>0</v>
      </c>
      <c r="I46" s="299"/>
      <c r="J46" s="299">
        <f t="shared" si="11"/>
        <v>278400</v>
      </c>
      <c r="K46" s="299">
        <f t="shared" si="12"/>
        <v>394400</v>
      </c>
      <c r="L46" s="94">
        <f t="shared" si="13"/>
        <v>0</v>
      </c>
    </row>
    <row r="47" spans="1:12" x14ac:dyDescent="0.2">
      <c r="A47" s="119" t="s">
        <v>35</v>
      </c>
      <c r="B47" s="300"/>
      <c r="C47" s="301" t="s">
        <v>618</v>
      </c>
      <c r="D47" s="298"/>
      <c r="E47" s="298">
        <v>660000</v>
      </c>
      <c r="F47" s="298"/>
      <c r="G47" s="298">
        <v>0</v>
      </c>
      <c r="H47" s="299">
        <v>0</v>
      </c>
      <c r="I47" s="299"/>
      <c r="J47" s="299">
        <f t="shared" si="11"/>
        <v>0</v>
      </c>
      <c r="K47" s="299">
        <f t="shared" si="12"/>
        <v>660000</v>
      </c>
      <c r="L47" s="94">
        <f t="shared" si="13"/>
        <v>0</v>
      </c>
    </row>
    <row r="48" spans="1:12" x14ac:dyDescent="0.2">
      <c r="A48" s="119" t="s">
        <v>30</v>
      </c>
      <c r="B48" s="119" t="s">
        <v>648</v>
      </c>
      <c r="C48" s="120" t="s">
        <v>649</v>
      </c>
      <c r="D48" s="93">
        <f>'aládolgozó számítások'!F114+'aládolgozó számítások'!G114+'aládolgozó számítások'!H114+'aládolgozó számítások'!I114+'aládolgozó számítások'!J114+'aládolgozó számítások'!K114+'aládolgozó számítások'!L114+'aládolgozó számítások'!M114</f>
        <v>0</v>
      </c>
      <c r="E48" s="93">
        <v>541203</v>
      </c>
      <c r="F48" s="93">
        <v>541203</v>
      </c>
      <c r="G48" s="93">
        <f>'aládolgozó számítások'!D114+'aládolgozó számítások'!E114</f>
        <v>0</v>
      </c>
      <c r="H48" s="94">
        <v>0</v>
      </c>
      <c r="I48" s="94"/>
      <c r="J48" s="94">
        <f t="shared" si="11"/>
        <v>0</v>
      </c>
      <c r="K48" s="94">
        <f t="shared" si="12"/>
        <v>541203</v>
      </c>
      <c r="L48" s="94">
        <f t="shared" si="13"/>
        <v>541203</v>
      </c>
    </row>
    <row r="49" spans="1:12" x14ac:dyDescent="0.2">
      <c r="A49" s="119" t="s">
        <v>18</v>
      </c>
      <c r="B49" s="119" t="s">
        <v>304</v>
      </c>
      <c r="C49" s="120" t="s">
        <v>305</v>
      </c>
      <c r="D49" s="93">
        <f>'aládolgozó számítások'!F115+'aládolgozó számítások'!G115+'aládolgozó számítások'!H115+'aládolgozó számítások'!I115+'aládolgozó számítások'!J115+'aládolgozó számítások'!K115+'aládolgozó számítások'!L115+'aládolgozó számítások'!M115</f>
        <v>0</v>
      </c>
      <c r="E49" s="93">
        <v>0</v>
      </c>
      <c r="F49" s="93">
        <v>0</v>
      </c>
      <c r="G49" s="93">
        <f>'aládolgozó számítások'!D115+'aládolgozó számítások'!E115</f>
        <v>0</v>
      </c>
      <c r="H49" s="94">
        <v>0</v>
      </c>
      <c r="I49" s="94"/>
      <c r="J49" s="94">
        <f t="shared" si="11"/>
        <v>0</v>
      </c>
      <c r="K49" s="94">
        <f t="shared" si="12"/>
        <v>0</v>
      </c>
      <c r="L49" s="94">
        <f t="shared" si="13"/>
        <v>0</v>
      </c>
    </row>
    <row r="50" spans="1:12" x14ac:dyDescent="0.2">
      <c r="A50" s="119" t="s">
        <v>19</v>
      </c>
      <c r="B50" s="119" t="s">
        <v>306</v>
      </c>
      <c r="C50" s="120" t="s">
        <v>607</v>
      </c>
      <c r="D50" s="93">
        <f>'aládolgozó számítások'!N116-'aládolgozó számítások'!D116</f>
        <v>1157230</v>
      </c>
      <c r="E50" s="93">
        <f>'aládolgozó számítások'!P127-'aládolgozó számítások'!D127-47540</f>
        <v>1342391</v>
      </c>
      <c r="F50" s="93">
        <v>1342391</v>
      </c>
      <c r="G50" s="93">
        <f>'aládolgozó számítások'!D116</f>
        <v>150943</v>
      </c>
      <c r="H50" s="94">
        <f>'aládolgozó számítások'!D127</f>
        <v>173913</v>
      </c>
      <c r="I50" s="94">
        <v>173913</v>
      </c>
      <c r="J50" s="94">
        <f t="shared" si="11"/>
        <v>1308173</v>
      </c>
      <c r="K50" s="94">
        <f t="shared" si="12"/>
        <v>1516304</v>
      </c>
      <c r="L50" s="94">
        <f t="shared" si="13"/>
        <v>1516304</v>
      </c>
    </row>
    <row r="51" spans="1:12" x14ac:dyDescent="0.2">
      <c r="A51" s="119" t="s">
        <v>20</v>
      </c>
      <c r="B51" s="119" t="s">
        <v>307</v>
      </c>
      <c r="C51" s="120" t="s">
        <v>308</v>
      </c>
      <c r="D51" s="93">
        <f>'aládolgozó számítások'!N117-'aládolgozó számítások'!D117</f>
        <v>70000</v>
      </c>
      <c r="E51" s="93">
        <f>'aládolgozó számítások'!P128-'aládolgozó számítások'!D128-50000</f>
        <v>70000</v>
      </c>
      <c r="F51" s="93">
        <v>62805</v>
      </c>
      <c r="G51" s="93">
        <f>'aládolgozó számítások'!D117</f>
        <v>0</v>
      </c>
      <c r="H51" s="94">
        <f>'aládolgozó számítások'!D128</f>
        <v>0</v>
      </c>
      <c r="I51" s="94"/>
      <c r="J51" s="94">
        <f t="shared" si="11"/>
        <v>70000</v>
      </c>
      <c r="K51" s="94">
        <f t="shared" si="12"/>
        <v>70000</v>
      </c>
      <c r="L51" s="94">
        <f t="shared" si="13"/>
        <v>62805</v>
      </c>
    </row>
    <row r="52" spans="1:12" x14ac:dyDescent="0.2">
      <c r="A52" s="119" t="s">
        <v>21</v>
      </c>
      <c r="B52" s="119" t="s">
        <v>309</v>
      </c>
      <c r="C52" s="120" t="s">
        <v>310</v>
      </c>
      <c r="D52" s="93">
        <f>'aládolgozó számítások'!N118-'aládolgozó számítások'!D118</f>
        <v>240000</v>
      </c>
      <c r="E52" s="93">
        <v>0</v>
      </c>
      <c r="F52" s="93">
        <v>0</v>
      </c>
      <c r="G52" s="93">
        <f>'aládolgozó számítások'!D118</f>
        <v>30000</v>
      </c>
      <c r="H52" s="94">
        <f>'aládolgozó számítások'!D129</f>
        <v>30000</v>
      </c>
      <c r="I52" s="94">
        <v>0</v>
      </c>
      <c r="J52" s="94">
        <f t="shared" si="11"/>
        <v>270000</v>
      </c>
      <c r="K52" s="94">
        <f t="shared" si="12"/>
        <v>30000</v>
      </c>
      <c r="L52" s="94">
        <f t="shared" si="13"/>
        <v>0</v>
      </c>
    </row>
    <row r="53" spans="1:12" x14ac:dyDescent="0.2">
      <c r="A53" s="119" t="s">
        <v>31</v>
      </c>
      <c r="B53" s="119" t="s">
        <v>311</v>
      </c>
      <c r="C53" s="120" t="s">
        <v>764</v>
      </c>
      <c r="D53" s="93">
        <v>0</v>
      </c>
      <c r="E53" s="93">
        <v>652100</v>
      </c>
      <c r="F53" s="93">
        <v>652100</v>
      </c>
      <c r="G53" s="93">
        <v>0</v>
      </c>
      <c r="H53" s="94">
        <v>308328</v>
      </c>
      <c r="I53" s="94">
        <v>308328</v>
      </c>
      <c r="J53" s="94">
        <f t="shared" si="11"/>
        <v>0</v>
      </c>
      <c r="K53" s="94">
        <f t="shared" si="12"/>
        <v>960428</v>
      </c>
      <c r="L53" s="94">
        <f t="shared" si="13"/>
        <v>960428</v>
      </c>
    </row>
    <row r="54" spans="1:12" s="102" customFormat="1" ht="14.25" customHeight="1" x14ac:dyDescent="0.2">
      <c r="A54" s="119" t="s">
        <v>22</v>
      </c>
      <c r="B54" s="110" t="s">
        <v>458</v>
      </c>
      <c r="C54" s="111" t="s">
        <v>459</v>
      </c>
      <c r="D54" s="70">
        <f>D43+D48+D49+D50+D51+D52+D53</f>
        <v>30827030</v>
      </c>
      <c r="E54" s="70">
        <f>E43+E48+E49+E50+E51+E52+E53</f>
        <v>32070746</v>
      </c>
      <c r="F54" s="70">
        <f t="shared" ref="F54:K54" si="14">F43+F48+F49+F50+F51+F52+F53</f>
        <v>30248273</v>
      </c>
      <c r="G54" s="70">
        <f t="shared" si="14"/>
        <v>3899343</v>
      </c>
      <c r="H54" s="70">
        <f t="shared" si="14"/>
        <v>4249099</v>
      </c>
      <c r="I54" s="70">
        <f t="shared" si="14"/>
        <v>4219099</v>
      </c>
      <c r="J54" s="70">
        <f t="shared" si="14"/>
        <v>34726373</v>
      </c>
      <c r="K54" s="70">
        <f t="shared" si="14"/>
        <v>36319845</v>
      </c>
      <c r="L54" s="413">
        <f t="shared" si="13"/>
        <v>34467372</v>
      </c>
    </row>
    <row r="55" spans="1:12" x14ac:dyDescent="0.2">
      <c r="A55" s="119" t="s">
        <v>24</v>
      </c>
      <c r="B55" s="119" t="s">
        <v>314</v>
      </c>
      <c r="C55" s="120" t="s">
        <v>315</v>
      </c>
      <c r="D55" s="93">
        <f>10*15000</f>
        <v>150000</v>
      </c>
      <c r="E55" s="93">
        <v>20000</v>
      </c>
      <c r="F55" s="93">
        <v>19936</v>
      </c>
      <c r="G55" s="93"/>
      <c r="H55" s="94"/>
      <c r="I55" s="94"/>
      <c r="J55" s="94">
        <f>D55+G55</f>
        <v>150000</v>
      </c>
      <c r="K55" s="94">
        <f>E55+H55</f>
        <v>20000</v>
      </c>
      <c r="L55" s="94">
        <f t="shared" si="13"/>
        <v>19936</v>
      </c>
    </row>
    <row r="56" spans="1:12" x14ac:dyDescent="0.2">
      <c r="A56" s="119" t="s">
        <v>39</v>
      </c>
      <c r="B56" s="119" t="s">
        <v>316</v>
      </c>
      <c r="C56" s="120" t="s">
        <v>317</v>
      </c>
      <c r="D56" s="93"/>
      <c r="E56" s="93"/>
      <c r="F56" s="93"/>
      <c r="G56" s="93"/>
      <c r="H56" s="94"/>
      <c r="I56" s="94"/>
      <c r="J56" s="94">
        <f>D56+G56</f>
        <v>0</v>
      </c>
      <c r="K56" s="94">
        <f>E56+H56</f>
        <v>0</v>
      </c>
      <c r="L56" s="94">
        <f t="shared" si="13"/>
        <v>0</v>
      </c>
    </row>
    <row r="57" spans="1:12" s="102" customFormat="1" ht="14.25" customHeight="1" x14ac:dyDescent="0.2">
      <c r="A57" s="119" t="s">
        <v>40</v>
      </c>
      <c r="B57" s="110" t="s">
        <v>460</v>
      </c>
      <c r="C57" s="111" t="s">
        <v>461</v>
      </c>
      <c r="D57" s="70">
        <f>SUM(D55:D56)</f>
        <v>150000</v>
      </c>
      <c r="E57" s="70">
        <f>SUM(E55:E56)</f>
        <v>20000</v>
      </c>
      <c r="F57" s="70">
        <f t="shared" ref="F57:K57" si="15">SUM(F55:F56)</f>
        <v>19936</v>
      </c>
      <c r="G57" s="70">
        <f t="shared" si="15"/>
        <v>0</v>
      </c>
      <c r="H57" s="70">
        <f t="shared" si="15"/>
        <v>0</v>
      </c>
      <c r="I57" s="70">
        <f t="shared" si="15"/>
        <v>0</v>
      </c>
      <c r="J57" s="70">
        <f t="shared" si="15"/>
        <v>150000</v>
      </c>
      <c r="K57" s="70">
        <f t="shared" si="15"/>
        <v>20000</v>
      </c>
      <c r="L57" s="413">
        <f t="shared" si="13"/>
        <v>19936</v>
      </c>
    </row>
    <row r="58" spans="1:12" x14ac:dyDescent="0.2">
      <c r="A58" s="119" t="s">
        <v>41</v>
      </c>
      <c r="B58" s="110" t="s">
        <v>318</v>
      </c>
      <c r="C58" s="111" t="s">
        <v>319</v>
      </c>
      <c r="D58" s="87">
        <f t="shared" ref="D58:I58" si="16">D54+D57</f>
        <v>30977030</v>
      </c>
      <c r="E58" s="87">
        <f t="shared" si="16"/>
        <v>32090746</v>
      </c>
      <c r="F58" s="87">
        <f t="shared" si="16"/>
        <v>30268209</v>
      </c>
      <c r="G58" s="87">
        <f t="shared" si="16"/>
        <v>3899343</v>
      </c>
      <c r="H58" s="87">
        <f t="shared" si="16"/>
        <v>4249099</v>
      </c>
      <c r="I58" s="87">
        <f t="shared" si="16"/>
        <v>4219099</v>
      </c>
      <c r="J58" s="92">
        <f t="shared" ref="J58:J104" si="17">D58+G58</f>
        <v>34876373</v>
      </c>
      <c r="K58" s="413">
        <f t="shared" ref="K58:K104" si="18">E58+H58</f>
        <v>36339845</v>
      </c>
      <c r="L58" s="413">
        <f t="shared" si="13"/>
        <v>34487308</v>
      </c>
    </row>
    <row r="59" spans="1:12" s="122" customFormat="1" ht="14.25" customHeight="1" x14ac:dyDescent="0.2">
      <c r="A59" s="119" t="s">
        <v>42</v>
      </c>
      <c r="B59" s="107" t="s">
        <v>320</v>
      </c>
      <c r="C59" s="121" t="s">
        <v>748</v>
      </c>
      <c r="D59" s="69">
        <f>(D43+D53+D55*0.9-1200000)*0.175</f>
        <v>4951590</v>
      </c>
      <c r="E59" s="69">
        <f>'aládolgozó számítások'!Q124*0.175+'aládolgozó számítások'!R124*0.155+E53*0.155-139318</f>
        <v>4663127.875</v>
      </c>
      <c r="F59" s="69">
        <v>4039446</v>
      </c>
      <c r="G59" s="69">
        <f>(G43+G53)*0.175</f>
        <v>650720</v>
      </c>
      <c r="H59" s="69">
        <f>(253400+315000*6)*0.175+315000*5*0.155+H53*0.175+10858</f>
        <v>684035.4</v>
      </c>
      <c r="I59" s="69">
        <v>684035</v>
      </c>
      <c r="J59" s="69">
        <f t="shared" si="17"/>
        <v>5602310</v>
      </c>
      <c r="K59" s="94">
        <f t="shared" si="18"/>
        <v>5347163.2750000004</v>
      </c>
      <c r="L59" s="94">
        <f t="shared" si="13"/>
        <v>4723481</v>
      </c>
    </row>
    <row r="60" spans="1:12" s="122" customFormat="1" ht="14.25" customHeight="1" x14ac:dyDescent="0.2">
      <c r="A60" s="119" t="s">
        <v>43</v>
      </c>
      <c r="B60" s="107" t="s">
        <v>320</v>
      </c>
      <c r="C60" s="121" t="s">
        <v>749</v>
      </c>
      <c r="D60" s="69">
        <f>(D50+D52)*0.175</f>
        <v>244515.24999999997</v>
      </c>
      <c r="E60" s="69"/>
      <c r="F60" s="69"/>
      <c r="G60" s="69">
        <f>(G50+G52)*0.175</f>
        <v>31665.024999999998</v>
      </c>
      <c r="H60" s="69">
        <v>0</v>
      </c>
      <c r="I60" s="69"/>
      <c r="J60" s="69">
        <f t="shared" si="17"/>
        <v>276180.27499999997</v>
      </c>
      <c r="K60" s="94">
        <f t="shared" si="18"/>
        <v>0</v>
      </c>
      <c r="L60" s="94">
        <f t="shared" si="13"/>
        <v>0</v>
      </c>
    </row>
    <row r="61" spans="1:12" s="122" customFormat="1" ht="14.25" customHeight="1" x14ac:dyDescent="0.2">
      <c r="A61" s="119" t="s">
        <v>44</v>
      </c>
      <c r="B61" s="107" t="s">
        <v>320</v>
      </c>
      <c r="C61" s="121" t="s">
        <v>495</v>
      </c>
      <c r="D61" s="69">
        <f>(D50+D52)*0.15</f>
        <v>209584.5</v>
      </c>
      <c r="E61" s="69">
        <f>(E52+E53)*0.15+103544</f>
        <v>201359</v>
      </c>
      <c r="F61" s="69">
        <v>201359</v>
      </c>
      <c r="G61" s="69">
        <f>(G50+G52)*0.15</f>
        <v>27141.45</v>
      </c>
      <c r="H61" s="69">
        <v>26087</v>
      </c>
      <c r="I61" s="69">
        <v>26087</v>
      </c>
      <c r="J61" s="69">
        <f t="shared" si="17"/>
        <v>236725.95</v>
      </c>
      <c r="K61" s="94">
        <f t="shared" si="18"/>
        <v>227446</v>
      </c>
      <c r="L61" s="94">
        <f t="shared" si="13"/>
        <v>227446</v>
      </c>
    </row>
    <row r="62" spans="1:12" x14ac:dyDescent="0.2">
      <c r="A62" s="119" t="s">
        <v>45</v>
      </c>
      <c r="B62" s="110" t="s">
        <v>320</v>
      </c>
      <c r="C62" s="111" t="s">
        <v>321</v>
      </c>
      <c r="D62" s="87">
        <f t="shared" ref="D62:I62" si="19">SUM(D59:D61)</f>
        <v>5405689.75</v>
      </c>
      <c r="E62" s="87">
        <f t="shared" si="19"/>
        <v>4864486.875</v>
      </c>
      <c r="F62" s="87">
        <f t="shared" si="19"/>
        <v>4240805</v>
      </c>
      <c r="G62" s="87">
        <f t="shared" si="19"/>
        <v>709526.47499999998</v>
      </c>
      <c r="H62" s="87">
        <f t="shared" si="19"/>
        <v>710122.4</v>
      </c>
      <c r="I62" s="87">
        <f t="shared" si="19"/>
        <v>710122</v>
      </c>
      <c r="J62" s="92">
        <f t="shared" si="17"/>
        <v>6115216.2249999996</v>
      </c>
      <c r="K62" s="413">
        <f t="shared" si="18"/>
        <v>5574609.2750000004</v>
      </c>
      <c r="L62" s="413">
        <f t="shared" si="13"/>
        <v>4950927</v>
      </c>
    </row>
    <row r="63" spans="1:12" x14ac:dyDescent="0.2">
      <c r="A63" s="119" t="s">
        <v>46</v>
      </c>
      <c r="B63" s="119" t="s">
        <v>322</v>
      </c>
      <c r="C63" s="120" t="s">
        <v>323</v>
      </c>
      <c r="D63" s="93">
        <v>100000</v>
      </c>
      <c r="E63" s="93">
        <v>100000</v>
      </c>
      <c r="F63" s="93">
        <v>29427</v>
      </c>
      <c r="G63" s="93"/>
      <c r="H63" s="94"/>
      <c r="I63" s="94"/>
      <c r="J63" s="94">
        <f t="shared" si="17"/>
        <v>100000</v>
      </c>
      <c r="K63" s="94">
        <f t="shared" si="18"/>
        <v>100000</v>
      </c>
      <c r="L63" s="94">
        <f t="shared" si="13"/>
        <v>29427</v>
      </c>
    </row>
    <row r="64" spans="1:12" x14ac:dyDescent="0.2">
      <c r="A64" s="119" t="s">
        <v>47</v>
      </c>
      <c r="B64" s="119" t="s">
        <v>324</v>
      </c>
      <c r="C64" s="120" t="s">
        <v>325</v>
      </c>
      <c r="D64" s="93">
        <v>400000</v>
      </c>
      <c r="E64" s="93">
        <v>630000</v>
      </c>
      <c r="F64" s="93">
        <v>625652</v>
      </c>
      <c r="G64" s="93">
        <v>100000</v>
      </c>
      <c r="H64" s="94">
        <v>346672</v>
      </c>
      <c r="I64" s="94">
        <v>51700</v>
      </c>
      <c r="J64" s="94">
        <f t="shared" si="17"/>
        <v>500000</v>
      </c>
      <c r="K64" s="94">
        <f t="shared" si="18"/>
        <v>976672</v>
      </c>
      <c r="L64" s="94">
        <f t="shared" si="13"/>
        <v>677352</v>
      </c>
    </row>
    <row r="65" spans="1:12" x14ac:dyDescent="0.2">
      <c r="A65" s="119" t="s">
        <v>50</v>
      </c>
      <c r="B65" s="110" t="s">
        <v>328</v>
      </c>
      <c r="C65" s="111" t="s">
        <v>329</v>
      </c>
      <c r="D65" s="87">
        <f t="shared" ref="D65:I65" si="20">SUM(D63:D64)</f>
        <v>500000</v>
      </c>
      <c r="E65" s="87">
        <f t="shared" si="20"/>
        <v>730000</v>
      </c>
      <c r="F65" s="87">
        <f t="shared" si="20"/>
        <v>655079</v>
      </c>
      <c r="G65" s="87">
        <f t="shared" si="20"/>
        <v>100000</v>
      </c>
      <c r="H65" s="87">
        <f t="shared" si="20"/>
        <v>346672</v>
      </c>
      <c r="I65" s="87">
        <f t="shared" si="20"/>
        <v>51700</v>
      </c>
      <c r="J65" s="92">
        <f t="shared" si="17"/>
        <v>600000</v>
      </c>
      <c r="K65" s="413">
        <f t="shared" si="18"/>
        <v>1076672</v>
      </c>
      <c r="L65" s="413">
        <f t="shared" si="13"/>
        <v>706779</v>
      </c>
    </row>
    <row r="66" spans="1:12" x14ac:dyDescent="0.2">
      <c r="A66" s="119" t="s">
        <v>52</v>
      </c>
      <c r="B66" s="119" t="s">
        <v>330</v>
      </c>
      <c r="C66" s="120" t="s">
        <v>331</v>
      </c>
      <c r="D66" s="93">
        <v>1600000</v>
      </c>
      <c r="E66" s="93">
        <v>1600000</v>
      </c>
      <c r="F66" s="93">
        <v>1588889</v>
      </c>
      <c r="G66" s="93">
        <v>400000</v>
      </c>
      <c r="H66" s="94">
        <v>400000</v>
      </c>
      <c r="I66" s="94">
        <v>256400</v>
      </c>
      <c r="J66" s="94">
        <f t="shared" si="17"/>
        <v>2000000</v>
      </c>
      <c r="K66" s="94">
        <f t="shared" si="18"/>
        <v>2000000</v>
      </c>
      <c r="L66" s="94">
        <f t="shared" si="13"/>
        <v>1845289</v>
      </c>
    </row>
    <row r="67" spans="1:12" x14ac:dyDescent="0.2">
      <c r="A67" s="119" t="s">
        <v>54</v>
      </c>
      <c r="B67" s="119" t="s">
        <v>332</v>
      </c>
      <c r="C67" s="120" t="s">
        <v>333</v>
      </c>
      <c r="D67" s="93">
        <v>250000</v>
      </c>
      <c r="E67" s="93">
        <v>280000</v>
      </c>
      <c r="F67" s="93">
        <v>274312</v>
      </c>
      <c r="G67" s="93">
        <v>200000</v>
      </c>
      <c r="H67" s="94">
        <v>220000</v>
      </c>
      <c r="I67" s="94">
        <v>219010</v>
      </c>
      <c r="J67" s="94">
        <f t="shared" si="17"/>
        <v>450000</v>
      </c>
      <c r="K67" s="94">
        <f t="shared" si="18"/>
        <v>500000</v>
      </c>
      <c r="L67" s="94">
        <f t="shared" si="13"/>
        <v>493322</v>
      </c>
    </row>
    <row r="68" spans="1:12" x14ac:dyDescent="0.2">
      <c r="A68" s="119" t="s">
        <v>56</v>
      </c>
      <c r="B68" s="110" t="s">
        <v>334</v>
      </c>
      <c r="C68" s="111" t="s">
        <v>335</v>
      </c>
      <c r="D68" s="87">
        <f t="shared" ref="D68:I68" si="21">SUM(D66:D67)</f>
        <v>1850000</v>
      </c>
      <c r="E68" s="87">
        <f t="shared" si="21"/>
        <v>1880000</v>
      </c>
      <c r="F68" s="87">
        <f t="shared" si="21"/>
        <v>1863201</v>
      </c>
      <c r="G68" s="87">
        <f t="shared" si="21"/>
        <v>600000</v>
      </c>
      <c r="H68" s="87">
        <f t="shared" si="21"/>
        <v>620000</v>
      </c>
      <c r="I68" s="87">
        <f t="shared" si="21"/>
        <v>475410</v>
      </c>
      <c r="J68" s="92">
        <f t="shared" si="17"/>
        <v>2450000</v>
      </c>
      <c r="K68" s="413">
        <f t="shared" si="18"/>
        <v>2500000</v>
      </c>
      <c r="L68" s="413">
        <f t="shared" si="13"/>
        <v>2338611</v>
      </c>
    </row>
    <row r="69" spans="1:12" s="141" customFormat="1" x14ac:dyDescent="0.2">
      <c r="A69" s="119" t="s">
        <v>57</v>
      </c>
      <c r="B69" s="123" t="s">
        <v>336</v>
      </c>
      <c r="C69" s="124" t="s">
        <v>337</v>
      </c>
      <c r="D69" s="95">
        <v>60000</v>
      </c>
      <c r="E69" s="95">
        <v>60000</v>
      </c>
      <c r="F69" s="95">
        <v>7117</v>
      </c>
      <c r="G69" s="95">
        <v>100000</v>
      </c>
      <c r="H69" s="140">
        <v>10000</v>
      </c>
      <c r="I69" s="140">
        <v>0</v>
      </c>
      <c r="J69" s="140">
        <f t="shared" si="17"/>
        <v>160000</v>
      </c>
      <c r="K69" s="94">
        <f t="shared" si="18"/>
        <v>70000</v>
      </c>
      <c r="L69" s="94">
        <f t="shared" si="13"/>
        <v>7117</v>
      </c>
    </row>
    <row r="70" spans="1:12" s="141" customFormat="1" x14ac:dyDescent="0.2">
      <c r="A70" s="119" t="s">
        <v>58</v>
      </c>
      <c r="B70" s="123" t="s">
        <v>338</v>
      </c>
      <c r="C70" s="124" t="s">
        <v>339</v>
      </c>
      <c r="D70" s="95">
        <v>400000</v>
      </c>
      <c r="E70" s="95">
        <v>400000</v>
      </c>
      <c r="F70" s="95">
        <v>316070</v>
      </c>
      <c r="G70" s="95">
        <v>180000</v>
      </c>
      <c r="H70" s="140"/>
      <c r="I70" s="140"/>
      <c r="J70" s="140">
        <f t="shared" si="17"/>
        <v>580000</v>
      </c>
      <c r="K70" s="94">
        <f t="shared" si="18"/>
        <v>400000</v>
      </c>
      <c r="L70" s="94">
        <f t="shared" si="13"/>
        <v>316070</v>
      </c>
    </row>
    <row r="71" spans="1:12" s="141" customFormat="1" x14ac:dyDescent="0.2">
      <c r="A71" s="119" t="s">
        <v>59</v>
      </c>
      <c r="B71" s="123" t="s">
        <v>340</v>
      </c>
      <c r="C71" s="124" t="s">
        <v>341</v>
      </c>
      <c r="D71" s="95">
        <v>60000</v>
      </c>
      <c r="E71" s="95">
        <v>60000</v>
      </c>
      <c r="F71" s="95">
        <v>54192</v>
      </c>
      <c r="G71" s="95">
        <v>30000</v>
      </c>
      <c r="H71" s="140"/>
      <c r="I71" s="140"/>
      <c r="J71" s="140">
        <f t="shared" si="17"/>
        <v>90000</v>
      </c>
      <c r="K71" s="94">
        <f t="shared" si="18"/>
        <v>60000</v>
      </c>
      <c r="L71" s="94">
        <f t="shared" si="13"/>
        <v>54192</v>
      </c>
    </row>
    <row r="72" spans="1:12" x14ac:dyDescent="0.2">
      <c r="A72" s="119" t="s">
        <v>65</v>
      </c>
      <c r="B72" s="119" t="s">
        <v>342</v>
      </c>
      <c r="C72" s="120" t="s">
        <v>343</v>
      </c>
      <c r="D72" s="93">
        <f t="shared" ref="D72:I72" si="22">SUM(D69:D71)</f>
        <v>520000</v>
      </c>
      <c r="E72" s="93">
        <f t="shared" si="22"/>
        <v>520000</v>
      </c>
      <c r="F72" s="93">
        <f t="shared" si="22"/>
        <v>377379</v>
      </c>
      <c r="G72" s="93">
        <f t="shared" si="22"/>
        <v>310000</v>
      </c>
      <c r="H72" s="93">
        <f t="shared" si="22"/>
        <v>10000</v>
      </c>
      <c r="I72" s="93">
        <f t="shared" si="22"/>
        <v>0</v>
      </c>
      <c r="J72" s="94">
        <f t="shared" si="17"/>
        <v>830000</v>
      </c>
      <c r="K72" s="94">
        <f t="shared" si="18"/>
        <v>530000</v>
      </c>
      <c r="L72" s="94">
        <f t="shared" si="13"/>
        <v>377379</v>
      </c>
    </row>
    <row r="73" spans="1:12" x14ac:dyDescent="0.2">
      <c r="A73" s="119" t="s">
        <v>78</v>
      </c>
      <c r="B73" s="119" t="s">
        <v>344</v>
      </c>
      <c r="C73" s="120" t="s">
        <v>345</v>
      </c>
      <c r="D73" s="93"/>
      <c r="E73" s="93"/>
      <c r="F73" s="93"/>
      <c r="G73" s="93"/>
      <c r="H73" s="94"/>
      <c r="I73" s="94"/>
      <c r="J73" s="94">
        <f t="shared" si="17"/>
        <v>0</v>
      </c>
      <c r="K73" s="94">
        <f t="shared" si="18"/>
        <v>0</v>
      </c>
      <c r="L73" s="94">
        <f t="shared" si="13"/>
        <v>0</v>
      </c>
    </row>
    <row r="74" spans="1:12" x14ac:dyDescent="0.2">
      <c r="A74" s="119" t="s">
        <v>79</v>
      </c>
      <c r="B74" s="119" t="s">
        <v>346</v>
      </c>
      <c r="C74" s="125" t="s">
        <v>347</v>
      </c>
      <c r="D74" s="93"/>
      <c r="E74" s="93"/>
      <c r="F74" s="93"/>
      <c r="G74" s="93">
        <v>300000</v>
      </c>
      <c r="H74" s="94">
        <v>300000</v>
      </c>
      <c r="I74" s="94">
        <v>267840</v>
      </c>
      <c r="J74" s="94">
        <f t="shared" si="17"/>
        <v>300000</v>
      </c>
      <c r="K74" s="94">
        <f t="shared" si="18"/>
        <v>300000</v>
      </c>
      <c r="L74" s="94">
        <f t="shared" si="13"/>
        <v>267840</v>
      </c>
    </row>
    <row r="75" spans="1:12" x14ac:dyDescent="0.2">
      <c r="A75" s="119" t="s">
        <v>80</v>
      </c>
      <c r="B75" s="119" t="s">
        <v>348</v>
      </c>
      <c r="C75" s="125" t="s">
        <v>349</v>
      </c>
      <c r="D75" s="93">
        <v>200000</v>
      </c>
      <c r="E75" s="93">
        <v>0</v>
      </c>
      <c r="F75" s="93">
        <v>0</v>
      </c>
      <c r="G75" s="93">
        <v>50000</v>
      </c>
      <c r="H75" s="94">
        <v>50000</v>
      </c>
      <c r="I75" s="94">
        <v>0</v>
      </c>
      <c r="J75" s="94">
        <f t="shared" si="17"/>
        <v>250000</v>
      </c>
      <c r="K75" s="94">
        <f t="shared" si="18"/>
        <v>50000</v>
      </c>
      <c r="L75" s="94">
        <f t="shared" si="13"/>
        <v>0</v>
      </c>
    </row>
    <row r="76" spans="1:12" x14ac:dyDescent="0.2">
      <c r="A76" s="119" t="s">
        <v>81</v>
      </c>
      <c r="B76" s="119" t="s">
        <v>350</v>
      </c>
      <c r="C76" s="125" t="s">
        <v>351</v>
      </c>
      <c r="D76" s="93"/>
      <c r="E76" s="93"/>
      <c r="F76" s="93"/>
      <c r="G76" s="93">
        <v>180000</v>
      </c>
      <c r="H76" s="94">
        <v>180000</v>
      </c>
      <c r="I76" s="94">
        <v>141501</v>
      </c>
      <c r="J76" s="94">
        <f t="shared" si="17"/>
        <v>180000</v>
      </c>
      <c r="K76" s="94">
        <f t="shared" si="18"/>
        <v>180000</v>
      </c>
      <c r="L76" s="94">
        <f t="shared" si="13"/>
        <v>141501</v>
      </c>
    </row>
    <row r="77" spans="1:12" x14ac:dyDescent="0.2">
      <c r="A77" s="119" t="s">
        <v>82</v>
      </c>
      <c r="B77" s="119" t="s">
        <v>352</v>
      </c>
      <c r="C77" s="125" t="s">
        <v>353</v>
      </c>
      <c r="D77" s="93"/>
      <c r="E77" s="93"/>
      <c r="F77" s="93"/>
      <c r="G77" s="93"/>
      <c r="H77" s="94"/>
      <c r="I77" s="94"/>
      <c r="J77" s="94">
        <f t="shared" si="17"/>
        <v>0</v>
      </c>
      <c r="K77" s="94">
        <f t="shared" si="18"/>
        <v>0</v>
      </c>
      <c r="L77" s="94">
        <f t="shared" si="13"/>
        <v>0</v>
      </c>
    </row>
    <row r="78" spans="1:12" x14ac:dyDescent="0.2">
      <c r="A78" s="119" t="s">
        <v>83</v>
      </c>
      <c r="B78" s="119" t="s">
        <v>354</v>
      </c>
      <c r="C78" s="125" t="s">
        <v>355</v>
      </c>
      <c r="D78" s="93">
        <v>1600000</v>
      </c>
      <c r="E78" s="93">
        <v>1395000</v>
      </c>
      <c r="F78" s="93">
        <v>1263705</v>
      </c>
      <c r="G78" s="93">
        <v>200000</v>
      </c>
      <c r="H78" s="94">
        <v>200000</v>
      </c>
      <c r="I78" s="94">
        <v>134910</v>
      </c>
      <c r="J78" s="94">
        <f t="shared" si="17"/>
        <v>1800000</v>
      </c>
      <c r="K78" s="94">
        <f t="shared" si="18"/>
        <v>1595000</v>
      </c>
      <c r="L78" s="94">
        <f t="shared" si="13"/>
        <v>1398615</v>
      </c>
    </row>
    <row r="79" spans="1:12" x14ac:dyDescent="0.2">
      <c r="A79" s="119" t="s">
        <v>84</v>
      </c>
      <c r="B79" s="110" t="s">
        <v>356</v>
      </c>
      <c r="C79" s="113" t="s">
        <v>357</v>
      </c>
      <c r="D79" s="87">
        <f t="shared" ref="D79:I79" si="23">SUM(D72:D78)</f>
        <v>2320000</v>
      </c>
      <c r="E79" s="87">
        <f t="shared" si="23"/>
        <v>1915000</v>
      </c>
      <c r="F79" s="87">
        <f t="shared" si="23"/>
        <v>1641084</v>
      </c>
      <c r="G79" s="87">
        <f t="shared" si="23"/>
        <v>1040000</v>
      </c>
      <c r="H79" s="87">
        <f t="shared" si="23"/>
        <v>740000</v>
      </c>
      <c r="I79" s="87">
        <f t="shared" si="23"/>
        <v>544251</v>
      </c>
      <c r="J79" s="92">
        <f t="shared" si="17"/>
        <v>3360000</v>
      </c>
      <c r="K79" s="413">
        <f t="shared" si="18"/>
        <v>2655000</v>
      </c>
      <c r="L79" s="413">
        <f t="shared" si="13"/>
        <v>2185335</v>
      </c>
    </row>
    <row r="80" spans="1:12" x14ac:dyDescent="0.2">
      <c r="A80" s="119" t="s">
        <v>85</v>
      </c>
      <c r="B80" s="110" t="s">
        <v>358</v>
      </c>
      <c r="C80" s="113" t="s">
        <v>359</v>
      </c>
      <c r="D80" s="91">
        <v>50000</v>
      </c>
      <c r="E80" s="91">
        <v>100000</v>
      </c>
      <c r="F80" s="91">
        <v>96419</v>
      </c>
      <c r="G80" s="91">
        <v>20000</v>
      </c>
      <c r="H80" s="88">
        <v>20000</v>
      </c>
      <c r="I80" s="88">
        <v>0</v>
      </c>
      <c r="J80" s="88">
        <f t="shared" si="17"/>
        <v>70000</v>
      </c>
      <c r="K80" s="418">
        <f t="shared" si="18"/>
        <v>120000</v>
      </c>
      <c r="L80" s="418">
        <f t="shared" si="13"/>
        <v>96419</v>
      </c>
    </row>
    <row r="81" spans="1:12" x14ac:dyDescent="0.2">
      <c r="A81" s="119" t="s">
        <v>86</v>
      </c>
      <c r="B81" s="110" t="s">
        <v>360</v>
      </c>
      <c r="C81" s="113" t="s">
        <v>361</v>
      </c>
      <c r="D81" s="91"/>
      <c r="E81" s="91"/>
      <c r="F81" s="91"/>
      <c r="G81" s="91"/>
      <c r="H81" s="88"/>
      <c r="I81" s="88"/>
      <c r="J81" s="88">
        <f t="shared" si="17"/>
        <v>0</v>
      </c>
      <c r="K81" s="418">
        <f t="shared" si="18"/>
        <v>0</v>
      </c>
      <c r="L81" s="418">
        <f t="shared" si="13"/>
        <v>0</v>
      </c>
    </row>
    <row r="82" spans="1:12" x14ac:dyDescent="0.2">
      <c r="A82" s="119" t="s">
        <v>87</v>
      </c>
      <c r="B82" s="119" t="s">
        <v>362</v>
      </c>
      <c r="C82" s="125" t="s">
        <v>363</v>
      </c>
      <c r="D82" s="93">
        <f>(D65+D68+D79-1000000)*0.27+2680</f>
        <v>993580.00000000012</v>
      </c>
      <c r="E82" s="93">
        <f>(E65+E68+E79-1400000)*0.27-19298</f>
        <v>824452</v>
      </c>
      <c r="F82" s="93">
        <v>795818</v>
      </c>
      <c r="G82" s="93">
        <f>(G65+G68+G79-250000)*0.27-2469</f>
        <v>399831</v>
      </c>
      <c r="H82" s="93">
        <f>(H65+H68+H79-414800)*0.27-272</f>
        <v>348533.44</v>
      </c>
      <c r="I82" s="94">
        <v>231407</v>
      </c>
      <c r="J82" s="94">
        <f t="shared" si="17"/>
        <v>1393411</v>
      </c>
      <c r="K82" s="94">
        <f t="shared" si="18"/>
        <v>1172985.44</v>
      </c>
      <c r="L82" s="94">
        <f t="shared" si="13"/>
        <v>1027225</v>
      </c>
    </row>
    <row r="83" spans="1:12" x14ac:dyDescent="0.2">
      <c r="A83" s="119" t="s">
        <v>88</v>
      </c>
      <c r="B83" s="119" t="s">
        <v>366</v>
      </c>
      <c r="C83" s="125" t="s">
        <v>367</v>
      </c>
      <c r="D83" s="93"/>
      <c r="E83" s="93"/>
      <c r="F83" s="93"/>
      <c r="G83" s="93"/>
      <c r="H83" s="94"/>
      <c r="I83" s="94"/>
      <c r="J83" s="94">
        <f t="shared" si="17"/>
        <v>0</v>
      </c>
      <c r="K83" s="94">
        <f t="shared" si="18"/>
        <v>0</v>
      </c>
      <c r="L83" s="94">
        <f t="shared" si="13"/>
        <v>0</v>
      </c>
    </row>
    <row r="84" spans="1:12" x14ac:dyDescent="0.2">
      <c r="A84" s="119" t="s">
        <v>105</v>
      </c>
      <c r="B84" s="119" t="s">
        <v>368</v>
      </c>
      <c r="C84" s="125" t="s">
        <v>369</v>
      </c>
      <c r="D84" s="93"/>
      <c r="E84" s="93"/>
      <c r="F84" s="93"/>
      <c r="G84" s="93"/>
      <c r="H84" s="94"/>
      <c r="I84" s="94"/>
      <c r="J84" s="94">
        <f t="shared" si="17"/>
        <v>0</v>
      </c>
      <c r="K84" s="94">
        <f t="shared" si="18"/>
        <v>0</v>
      </c>
      <c r="L84" s="94">
        <f t="shared" si="13"/>
        <v>0</v>
      </c>
    </row>
    <row r="85" spans="1:12" x14ac:dyDescent="0.2">
      <c r="A85" s="119" t="s">
        <v>106</v>
      </c>
      <c r="B85" s="119" t="s">
        <v>370</v>
      </c>
      <c r="C85" s="125" t="s">
        <v>371</v>
      </c>
      <c r="D85" s="93">
        <v>50</v>
      </c>
      <c r="E85" s="93">
        <v>50</v>
      </c>
      <c r="F85" s="93">
        <v>16</v>
      </c>
      <c r="G85" s="93"/>
      <c r="H85" s="94"/>
      <c r="I85" s="94"/>
      <c r="J85" s="94">
        <f t="shared" si="17"/>
        <v>50</v>
      </c>
      <c r="K85" s="94">
        <f t="shared" si="18"/>
        <v>50</v>
      </c>
      <c r="L85" s="94">
        <f t="shared" si="13"/>
        <v>16</v>
      </c>
    </row>
    <row r="86" spans="1:12" x14ac:dyDescent="0.2">
      <c r="A86" s="119" t="s">
        <v>89</v>
      </c>
      <c r="B86" s="110" t="s">
        <v>372</v>
      </c>
      <c r="C86" s="111" t="s">
        <v>373</v>
      </c>
      <c r="D86" s="87">
        <f t="shared" ref="D86:I86" si="24">SUM(D82:D85)</f>
        <v>993630.00000000012</v>
      </c>
      <c r="E86" s="87">
        <f t="shared" si="24"/>
        <v>824502</v>
      </c>
      <c r="F86" s="87">
        <f t="shared" si="24"/>
        <v>795834</v>
      </c>
      <c r="G86" s="87">
        <f t="shared" si="24"/>
        <v>399831</v>
      </c>
      <c r="H86" s="87">
        <f t="shared" si="24"/>
        <v>348533.44</v>
      </c>
      <c r="I86" s="87">
        <f t="shared" si="24"/>
        <v>231407</v>
      </c>
      <c r="J86" s="92">
        <f t="shared" si="17"/>
        <v>1393461</v>
      </c>
      <c r="K86" s="413">
        <f t="shared" si="18"/>
        <v>1173035.44</v>
      </c>
      <c r="L86" s="413">
        <f t="shared" si="13"/>
        <v>1027241</v>
      </c>
    </row>
    <row r="87" spans="1:12" x14ac:dyDescent="0.2">
      <c r="A87" s="119" t="s">
        <v>90</v>
      </c>
      <c r="B87" s="110" t="s">
        <v>374</v>
      </c>
      <c r="C87" s="111" t="s">
        <v>375</v>
      </c>
      <c r="D87" s="87">
        <f t="shared" ref="D87:I87" si="25">D65+D68+D79+D80+D81+D86</f>
        <v>5713630</v>
      </c>
      <c r="E87" s="87">
        <f t="shared" si="25"/>
        <v>5449502</v>
      </c>
      <c r="F87" s="87">
        <f t="shared" si="25"/>
        <v>5051617</v>
      </c>
      <c r="G87" s="87">
        <f t="shared" si="25"/>
        <v>2159831</v>
      </c>
      <c r="H87" s="87">
        <f t="shared" si="25"/>
        <v>2075205.44</v>
      </c>
      <c r="I87" s="87">
        <f t="shared" si="25"/>
        <v>1302768</v>
      </c>
      <c r="J87" s="92">
        <f t="shared" si="17"/>
        <v>7873461</v>
      </c>
      <c r="K87" s="413">
        <f t="shared" si="18"/>
        <v>7524707.4399999995</v>
      </c>
      <c r="L87" s="413">
        <f t="shared" si="13"/>
        <v>6354385</v>
      </c>
    </row>
    <row r="88" spans="1:12" s="126" customFormat="1" x14ac:dyDescent="0.2">
      <c r="A88" s="119" t="s">
        <v>91</v>
      </c>
      <c r="B88" s="107" t="s">
        <v>454</v>
      </c>
      <c r="C88" s="121" t="s">
        <v>455</v>
      </c>
      <c r="D88" s="93"/>
      <c r="E88" s="93"/>
      <c r="F88" s="93"/>
      <c r="G88" s="93"/>
      <c r="H88" s="94"/>
      <c r="I88" s="94"/>
      <c r="J88" s="94">
        <f t="shared" si="17"/>
        <v>0</v>
      </c>
      <c r="K88" s="94">
        <f t="shared" si="18"/>
        <v>0</v>
      </c>
      <c r="L88" s="94">
        <f t="shared" si="13"/>
        <v>0</v>
      </c>
    </row>
    <row r="89" spans="1:12" s="126" customFormat="1" x14ac:dyDescent="0.2">
      <c r="A89" s="119" t="s">
        <v>92</v>
      </c>
      <c r="B89" s="107" t="s">
        <v>384</v>
      </c>
      <c r="C89" s="121" t="s">
        <v>456</v>
      </c>
      <c r="D89" s="93"/>
      <c r="E89" s="93"/>
      <c r="F89" s="93"/>
      <c r="G89" s="93"/>
      <c r="H89" s="94"/>
      <c r="I89" s="94"/>
      <c r="J89" s="94">
        <f t="shared" si="17"/>
        <v>0</v>
      </c>
      <c r="K89" s="94">
        <f t="shared" si="18"/>
        <v>0</v>
      </c>
      <c r="L89" s="94">
        <f t="shared" si="13"/>
        <v>0</v>
      </c>
    </row>
    <row r="90" spans="1:12" x14ac:dyDescent="0.2">
      <c r="A90" s="119" t="s">
        <v>107</v>
      </c>
      <c r="B90" s="110" t="s">
        <v>391</v>
      </c>
      <c r="C90" s="113" t="s">
        <v>97</v>
      </c>
      <c r="D90" s="87">
        <f t="shared" ref="D90:I90" si="26">SUM(D88:D89)</f>
        <v>0</v>
      </c>
      <c r="E90" s="87">
        <f t="shared" si="26"/>
        <v>0</v>
      </c>
      <c r="F90" s="87">
        <f t="shared" si="26"/>
        <v>0</v>
      </c>
      <c r="G90" s="87">
        <f t="shared" si="26"/>
        <v>0</v>
      </c>
      <c r="H90" s="87">
        <f t="shared" si="26"/>
        <v>0</v>
      </c>
      <c r="I90" s="87">
        <f t="shared" si="26"/>
        <v>0</v>
      </c>
      <c r="J90" s="92">
        <f t="shared" si="17"/>
        <v>0</v>
      </c>
      <c r="K90" s="413">
        <f t="shared" si="18"/>
        <v>0</v>
      </c>
      <c r="L90" s="413">
        <f t="shared" si="13"/>
        <v>0</v>
      </c>
    </row>
    <row r="91" spans="1:12" x14ac:dyDescent="0.2">
      <c r="A91" s="119" t="s">
        <v>108</v>
      </c>
      <c r="B91" s="119" t="s">
        <v>392</v>
      </c>
      <c r="C91" s="125" t="s">
        <v>393</v>
      </c>
      <c r="D91" s="93"/>
      <c r="E91" s="93">
        <v>25000</v>
      </c>
      <c r="F91" s="93">
        <v>23780</v>
      </c>
      <c r="G91" s="93"/>
      <c r="H91" s="94"/>
      <c r="I91" s="94"/>
      <c r="J91" s="94">
        <f t="shared" si="17"/>
        <v>0</v>
      </c>
      <c r="K91" s="94">
        <f t="shared" si="18"/>
        <v>25000</v>
      </c>
      <c r="L91" s="94">
        <f t="shared" si="13"/>
        <v>23780</v>
      </c>
    </row>
    <row r="92" spans="1:12" x14ac:dyDescent="0.2">
      <c r="A92" s="119" t="s">
        <v>109</v>
      </c>
      <c r="B92" s="119" t="s">
        <v>396</v>
      </c>
      <c r="C92" s="125" t="s">
        <v>397</v>
      </c>
      <c r="D92" s="93"/>
      <c r="E92" s="93">
        <v>315740</v>
      </c>
      <c r="F92" s="93">
        <v>205456</v>
      </c>
      <c r="G92" s="93"/>
      <c r="H92" s="94">
        <v>101551</v>
      </c>
      <c r="I92" s="94">
        <v>101551</v>
      </c>
      <c r="J92" s="94">
        <f t="shared" si="17"/>
        <v>0</v>
      </c>
      <c r="K92" s="94">
        <f t="shared" si="18"/>
        <v>417291</v>
      </c>
      <c r="L92" s="94">
        <f t="shared" si="13"/>
        <v>307007</v>
      </c>
    </row>
    <row r="93" spans="1:12" x14ac:dyDescent="0.2">
      <c r="A93" s="119" t="s">
        <v>110</v>
      </c>
      <c r="B93" s="119" t="s">
        <v>398</v>
      </c>
      <c r="C93" s="125" t="s">
        <v>399</v>
      </c>
      <c r="D93" s="93">
        <v>240000</v>
      </c>
      <c r="E93" s="93">
        <v>0</v>
      </c>
      <c r="F93" s="93"/>
      <c r="G93" s="93"/>
      <c r="H93" s="94"/>
      <c r="I93" s="94"/>
      <c r="J93" s="94">
        <f t="shared" si="17"/>
        <v>240000</v>
      </c>
      <c r="K93" s="94">
        <f t="shared" si="18"/>
        <v>0</v>
      </c>
      <c r="L93" s="94">
        <f t="shared" si="13"/>
        <v>0</v>
      </c>
    </row>
    <row r="94" spans="1:12" x14ac:dyDescent="0.2">
      <c r="A94" s="119" t="s">
        <v>113</v>
      </c>
      <c r="B94" s="119" t="s">
        <v>400</v>
      </c>
      <c r="C94" s="125" t="s">
        <v>401</v>
      </c>
      <c r="D94" s="93">
        <f>D93*0.27</f>
        <v>64800.000000000007</v>
      </c>
      <c r="E94" s="93">
        <v>91500</v>
      </c>
      <c r="F94" s="93">
        <v>61895</v>
      </c>
      <c r="G94" s="93"/>
      <c r="H94" s="94">
        <f>H92*0.27</f>
        <v>27418.77</v>
      </c>
      <c r="I94" s="94">
        <v>27419</v>
      </c>
      <c r="J94" s="94">
        <f t="shared" si="17"/>
        <v>64800.000000000007</v>
      </c>
      <c r="K94" s="94">
        <f t="shared" si="18"/>
        <v>118918.77</v>
      </c>
      <c r="L94" s="94">
        <f t="shared" si="13"/>
        <v>89314</v>
      </c>
    </row>
    <row r="95" spans="1:12" x14ac:dyDescent="0.2">
      <c r="A95" s="119" t="s">
        <v>114</v>
      </c>
      <c r="B95" s="110" t="s">
        <v>402</v>
      </c>
      <c r="C95" s="113" t="s">
        <v>403</v>
      </c>
      <c r="D95" s="87">
        <f t="shared" ref="D95:I95" si="27">SUM(D91:D94)</f>
        <v>304800</v>
      </c>
      <c r="E95" s="87">
        <f t="shared" si="27"/>
        <v>432240</v>
      </c>
      <c r="F95" s="87">
        <f t="shared" si="27"/>
        <v>291131</v>
      </c>
      <c r="G95" s="87">
        <f t="shared" si="27"/>
        <v>0</v>
      </c>
      <c r="H95" s="87">
        <f t="shared" si="27"/>
        <v>128969.77</v>
      </c>
      <c r="I95" s="87">
        <f t="shared" si="27"/>
        <v>128970</v>
      </c>
      <c r="J95" s="92">
        <f t="shared" si="17"/>
        <v>304800</v>
      </c>
      <c r="K95" s="413">
        <f t="shared" si="18"/>
        <v>561209.77</v>
      </c>
      <c r="L95" s="413">
        <f t="shared" si="13"/>
        <v>420101</v>
      </c>
    </row>
    <row r="96" spans="1:12" s="126" customFormat="1" x14ac:dyDescent="0.2">
      <c r="A96" s="119" t="s">
        <v>115</v>
      </c>
      <c r="B96" s="107" t="s">
        <v>404</v>
      </c>
      <c r="C96" s="112" t="s">
        <v>405</v>
      </c>
      <c r="D96" s="93"/>
      <c r="E96" s="93"/>
      <c r="F96" s="93"/>
      <c r="G96" s="93"/>
      <c r="H96" s="94"/>
      <c r="I96" s="94"/>
      <c r="J96" s="94">
        <f t="shared" si="17"/>
        <v>0</v>
      </c>
      <c r="K96" s="94">
        <f t="shared" si="18"/>
        <v>0</v>
      </c>
      <c r="L96" s="94">
        <f t="shared" si="13"/>
        <v>0</v>
      </c>
    </row>
    <row r="97" spans="1:12" s="126" customFormat="1" x14ac:dyDescent="0.2">
      <c r="A97" s="119" t="s">
        <v>116</v>
      </c>
      <c r="B97" s="107" t="s">
        <v>406</v>
      </c>
      <c r="C97" s="112" t="s">
        <v>407</v>
      </c>
      <c r="D97" s="93"/>
      <c r="E97" s="93"/>
      <c r="F97" s="93"/>
      <c r="G97" s="93"/>
      <c r="H97" s="94"/>
      <c r="I97" s="94"/>
      <c r="J97" s="94">
        <f t="shared" si="17"/>
        <v>0</v>
      </c>
      <c r="K97" s="94">
        <f t="shared" si="18"/>
        <v>0</v>
      </c>
      <c r="L97" s="94">
        <f t="shared" si="13"/>
        <v>0</v>
      </c>
    </row>
    <row r="98" spans="1:12" s="126" customFormat="1" x14ac:dyDescent="0.2">
      <c r="A98" s="119" t="s">
        <v>117</v>
      </c>
      <c r="B98" s="107" t="s">
        <v>408</v>
      </c>
      <c r="C98" s="112" t="s">
        <v>409</v>
      </c>
      <c r="D98" s="93"/>
      <c r="E98" s="93"/>
      <c r="F98" s="93"/>
      <c r="G98" s="93"/>
      <c r="H98" s="94"/>
      <c r="I98" s="94"/>
      <c r="J98" s="94">
        <f t="shared" si="17"/>
        <v>0</v>
      </c>
      <c r="K98" s="94">
        <f t="shared" si="18"/>
        <v>0</v>
      </c>
      <c r="L98" s="94">
        <f t="shared" si="13"/>
        <v>0</v>
      </c>
    </row>
    <row r="99" spans="1:12" s="126" customFormat="1" x14ac:dyDescent="0.2">
      <c r="A99" s="119" t="s">
        <v>118</v>
      </c>
      <c r="B99" s="107" t="s">
        <v>410</v>
      </c>
      <c r="C99" s="112" t="s">
        <v>457</v>
      </c>
      <c r="D99" s="93"/>
      <c r="E99" s="93"/>
      <c r="F99" s="93"/>
      <c r="G99" s="93"/>
      <c r="H99" s="94"/>
      <c r="I99" s="94"/>
      <c r="J99" s="94">
        <f t="shared" si="17"/>
        <v>0</v>
      </c>
      <c r="K99" s="94">
        <f t="shared" si="18"/>
        <v>0</v>
      </c>
      <c r="L99" s="94">
        <f t="shared" si="13"/>
        <v>0</v>
      </c>
    </row>
    <row r="100" spans="1:12" x14ac:dyDescent="0.2">
      <c r="A100" s="119" t="s">
        <v>119</v>
      </c>
      <c r="B100" s="110" t="s">
        <v>412</v>
      </c>
      <c r="C100" s="113" t="s">
        <v>413</v>
      </c>
      <c r="D100" s="87">
        <f t="shared" ref="D100:I100" si="28">SUM(D96:D99)</f>
        <v>0</v>
      </c>
      <c r="E100" s="87">
        <f t="shared" si="28"/>
        <v>0</v>
      </c>
      <c r="F100" s="87">
        <f t="shared" si="28"/>
        <v>0</v>
      </c>
      <c r="G100" s="87">
        <f t="shared" si="28"/>
        <v>0</v>
      </c>
      <c r="H100" s="87">
        <f t="shared" si="28"/>
        <v>0</v>
      </c>
      <c r="I100" s="87">
        <f t="shared" si="28"/>
        <v>0</v>
      </c>
      <c r="J100" s="92">
        <f t="shared" si="17"/>
        <v>0</v>
      </c>
      <c r="K100" s="413">
        <f t="shared" si="18"/>
        <v>0</v>
      </c>
      <c r="L100" s="413">
        <f t="shared" si="13"/>
        <v>0</v>
      </c>
    </row>
    <row r="101" spans="1:12" x14ac:dyDescent="0.2">
      <c r="A101" s="119" t="s">
        <v>120</v>
      </c>
      <c r="B101" s="110" t="s">
        <v>420</v>
      </c>
      <c r="C101" s="113" t="s">
        <v>69</v>
      </c>
      <c r="D101" s="87"/>
      <c r="E101" s="87"/>
      <c r="F101" s="87"/>
      <c r="G101" s="87"/>
      <c r="H101" s="92"/>
      <c r="I101" s="92"/>
      <c r="J101" s="92">
        <f t="shared" si="17"/>
        <v>0</v>
      </c>
      <c r="K101" s="413">
        <f t="shared" si="18"/>
        <v>0</v>
      </c>
      <c r="L101" s="413">
        <f t="shared" si="13"/>
        <v>0</v>
      </c>
    </row>
    <row r="102" spans="1:12" x14ac:dyDescent="0.2">
      <c r="A102" s="119" t="s">
        <v>121</v>
      </c>
      <c r="B102" s="110" t="s">
        <v>428</v>
      </c>
      <c r="C102" s="113" t="s">
        <v>429</v>
      </c>
      <c r="D102" s="87"/>
      <c r="E102" s="87"/>
      <c r="F102" s="87"/>
      <c r="G102" s="87"/>
      <c r="H102" s="92"/>
      <c r="I102" s="92"/>
      <c r="J102" s="92">
        <f t="shared" si="17"/>
        <v>0</v>
      </c>
      <c r="K102" s="413">
        <f t="shared" si="18"/>
        <v>0</v>
      </c>
      <c r="L102" s="413">
        <f t="shared" si="13"/>
        <v>0</v>
      </c>
    </row>
    <row r="103" spans="1:12" x14ac:dyDescent="0.2">
      <c r="A103" s="119" t="s">
        <v>122</v>
      </c>
      <c r="B103" s="127" t="s">
        <v>431</v>
      </c>
      <c r="C103" s="128" t="s">
        <v>432</v>
      </c>
      <c r="D103" s="96">
        <f t="shared" ref="D103:I103" si="29">D58+D62+D87+D90+D95+D100+D101+D102</f>
        <v>42401149.75</v>
      </c>
      <c r="E103" s="96">
        <f t="shared" si="29"/>
        <v>42836974.875</v>
      </c>
      <c r="F103" s="96">
        <f t="shared" si="29"/>
        <v>39851762</v>
      </c>
      <c r="G103" s="96">
        <f t="shared" si="29"/>
        <v>6768700.4749999996</v>
      </c>
      <c r="H103" s="96">
        <f t="shared" si="29"/>
        <v>7163396.6099999994</v>
      </c>
      <c r="I103" s="96">
        <f t="shared" si="29"/>
        <v>6360959</v>
      </c>
      <c r="J103" s="92">
        <f t="shared" si="17"/>
        <v>49169850.225000001</v>
      </c>
      <c r="K103" s="413">
        <f t="shared" si="18"/>
        <v>50000371.484999999</v>
      </c>
      <c r="L103" s="413">
        <f t="shared" si="13"/>
        <v>46212721</v>
      </c>
    </row>
    <row r="104" spans="1:12" x14ac:dyDescent="0.2">
      <c r="A104" s="119" t="s">
        <v>123</v>
      </c>
      <c r="B104" s="119"/>
      <c r="C104" s="129" t="s">
        <v>434</v>
      </c>
      <c r="D104" s="93">
        <v>9</v>
      </c>
      <c r="E104" s="93">
        <v>8.5</v>
      </c>
      <c r="F104" s="93">
        <v>8</v>
      </c>
      <c r="G104" s="93">
        <v>1</v>
      </c>
      <c r="H104" s="93">
        <v>1</v>
      </c>
      <c r="I104" s="93">
        <v>1</v>
      </c>
      <c r="J104" s="97">
        <f t="shared" si="17"/>
        <v>10</v>
      </c>
      <c r="K104" s="134">
        <f t="shared" si="18"/>
        <v>9.5</v>
      </c>
      <c r="L104" s="134">
        <f t="shared" si="13"/>
        <v>9</v>
      </c>
    </row>
    <row r="105" spans="1:12" x14ac:dyDescent="0.2">
      <c r="D105" s="99"/>
      <c r="E105" s="99"/>
      <c r="F105" s="99"/>
      <c r="G105" s="99"/>
      <c r="H105" s="99"/>
      <c r="I105" s="99"/>
      <c r="J105" s="99"/>
      <c r="K105" s="99"/>
      <c r="L105" s="99"/>
    </row>
    <row r="106" spans="1:12" s="114" customFormat="1" x14ac:dyDescent="0.2">
      <c r="A106" s="80"/>
      <c r="B106" s="130"/>
      <c r="C106" s="79" t="s">
        <v>435</v>
      </c>
      <c r="D106" s="87">
        <f>D34</f>
        <v>42401150</v>
      </c>
      <c r="E106" s="87">
        <f>E34</f>
        <v>42836975</v>
      </c>
      <c r="F106" s="87">
        <f t="shared" ref="F106:L106" si="30">F34</f>
        <v>42836826</v>
      </c>
      <c r="G106" s="87">
        <f t="shared" si="30"/>
        <v>6768700</v>
      </c>
      <c r="H106" s="87">
        <f t="shared" si="30"/>
        <v>7163396</v>
      </c>
      <c r="I106" s="87">
        <f t="shared" si="30"/>
        <v>7163296</v>
      </c>
      <c r="J106" s="87">
        <f t="shared" si="30"/>
        <v>49169850</v>
      </c>
      <c r="K106" s="87">
        <f t="shared" si="30"/>
        <v>50000371</v>
      </c>
      <c r="L106" s="87">
        <f t="shared" si="30"/>
        <v>50000122</v>
      </c>
    </row>
    <row r="107" spans="1:12" s="114" customFormat="1" x14ac:dyDescent="0.2">
      <c r="A107" s="80"/>
      <c r="B107" s="130"/>
      <c r="C107" s="79" t="s">
        <v>436</v>
      </c>
      <c r="D107" s="87">
        <f>D103</f>
        <v>42401149.75</v>
      </c>
      <c r="E107" s="87">
        <f>E103</f>
        <v>42836974.875</v>
      </c>
      <c r="F107" s="87">
        <f t="shared" ref="F107:L107" si="31">F103</f>
        <v>39851762</v>
      </c>
      <c r="G107" s="87">
        <f t="shared" si="31"/>
        <v>6768700.4749999996</v>
      </c>
      <c r="H107" s="87">
        <f t="shared" si="31"/>
        <v>7163396.6099999994</v>
      </c>
      <c r="I107" s="87">
        <f t="shared" si="31"/>
        <v>6360959</v>
      </c>
      <c r="J107" s="87">
        <f t="shared" si="31"/>
        <v>49169850.225000001</v>
      </c>
      <c r="K107" s="87">
        <f t="shared" si="31"/>
        <v>50000371.484999999</v>
      </c>
      <c r="L107" s="87">
        <f t="shared" si="31"/>
        <v>46212721</v>
      </c>
    </row>
    <row r="108" spans="1:12" x14ac:dyDescent="0.2">
      <c r="A108" s="119"/>
      <c r="B108" s="80"/>
      <c r="C108" s="80" t="s">
        <v>447</v>
      </c>
      <c r="D108" s="97">
        <f>D106-D107</f>
        <v>0.25</v>
      </c>
      <c r="E108" s="97">
        <f>E106-E107</f>
        <v>0.125</v>
      </c>
      <c r="F108" s="97">
        <f t="shared" ref="F108:K108" si="32">F106-F107</f>
        <v>2985064</v>
      </c>
      <c r="G108" s="97">
        <f t="shared" si="32"/>
        <v>-0.47499999962747097</v>
      </c>
      <c r="H108" s="97">
        <f t="shared" si="32"/>
        <v>-0.60999999940395355</v>
      </c>
      <c r="I108" s="97">
        <f t="shared" si="32"/>
        <v>802337</v>
      </c>
      <c r="J108" s="97">
        <f t="shared" si="32"/>
        <v>-0.22500000149011612</v>
      </c>
      <c r="K108" s="97">
        <f t="shared" si="32"/>
        <v>-0.48499999940395355</v>
      </c>
      <c r="L108" s="97">
        <f>L106-L107</f>
        <v>3787401</v>
      </c>
    </row>
  </sheetData>
  <mergeCells count="41">
    <mergeCell ref="D38:F38"/>
    <mergeCell ref="D41:F41"/>
    <mergeCell ref="G41:I41"/>
    <mergeCell ref="J41:L41"/>
    <mergeCell ref="G38:I38"/>
    <mergeCell ref="J38:L38"/>
    <mergeCell ref="D39:F39"/>
    <mergeCell ref="G39:I39"/>
    <mergeCell ref="J39:L39"/>
    <mergeCell ref="A9:A11"/>
    <mergeCell ref="B9:B11"/>
    <mergeCell ref="A40:A42"/>
    <mergeCell ref="B40:B42"/>
    <mergeCell ref="B34:C34"/>
    <mergeCell ref="B39:C39"/>
    <mergeCell ref="B38:C38"/>
    <mergeCell ref="B37:C37"/>
    <mergeCell ref="G9:I9"/>
    <mergeCell ref="G10:I10"/>
    <mergeCell ref="D9:F9"/>
    <mergeCell ref="D10:F10"/>
    <mergeCell ref="G8:I8"/>
    <mergeCell ref="G37:I37"/>
    <mergeCell ref="D8:F8"/>
    <mergeCell ref="G6:I6"/>
    <mergeCell ref="G7:I7"/>
    <mergeCell ref="B6:C6"/>
    <mergeCell ref="B7:C7"/>
    <mergeCell ref="B8:C8"/>
    <mergeCell ref="D40:F40"/>
    <mergeCell ref="G40:I40"/>
    <mergeCell ref="D6:F6"/>
    <mergeCell ref="D7:F7"/>
    <mergeCell ref="D37:F37"/>
    <mergeCell ref="J40:L40"/>
    <mergeCell ref="J6:L6"/>
    <mergeCell ref="J7:L7"/>
    <mergeCell ref="J8:L8"/>
    <mergeCell ref="J9:L9"/>
    <mergeCell ref="J10:L10"/>
    <mergeCell ref="J37:L37"/>
  </mergeCells>
  <phoneticPr fontId="25" type="noConversion"/>
  <pageMargins left="0.59055118110236227" right="0.51181102362204722" top="0.6692913385826772" bottom="0.78740157480314965" header="0.51181102362204722" footer="0.51181102362204722"/>
  <pageSetup paperSize="9" scale="4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9"/>
  <sheetViews>
    <sheetView view="pageBreakPreview" zoomScaleNormal="100" zoomScaleSheetLayoutView="100" workbookViewId="0">
      <pane xSplit="3" ySplit="11" topLeftCell="G90" activePane="bottomRight" state="frozen"/>
      <selection pane="topRight" activeCell="D1" sqref="D1"/>
      <selection pane="bottomLeft" activeCell="A11" sqref="A11"/>
      <selection pane="bottomRight" activeCell="I45" sqref="I45"/>
    </sheetView>
  </sheetViews>
  <sheetFormatPr defaultRowHeight="15" x14ac:dyDescent="0.2"/>
  <cols>
    <col min="1" max="1" width="7" style="101" customWidth="1"/>
    <col min="2" max="2" width="10.42578125" style="101" bestFit="1" customWidth="1"/>
    <col min="3" max="3" width="60.5703125" style="102" bestFit="1" customWidth="1"/>
    <col min="4" max="15" width="13.7109375" style="102" customWidth="1"/>
    <col min="16" max="16384" width="9.140625" style="103"/>
  </cols>
  <sheetData>
    <row r="1" spans="1:15" x14ac:dyDescent="0.2">
      <c r="A1" s="199" t="s">
        <v>1095</v>
      </c>
      <c r="B1" s="199"/>
      <c r="C1" s="199"/>
    </row>
    <row r="2" spans="1:15" ht="18" x14ac:dyDescent="0.2">
      <c r="A2" s="100" t="s">
        <v>846</v>
      </c>
    </row>
    <row r="3" spans="1:15" ht="18" x14ac:dyDescent="0.2">
      <c r="A3" s="290" t="s">
        <v>597</v>
      </c>
    </row>
    <row r="5" spans="1:15" ht="15.75" x14ac:dyDescent="0.2">
      <c r="A5" s="104" t="s">
        <v>132</v>
      </c>
      <c r="B5" s="104"/>
      <c r="C5" s="104"/>
    </row>
    <row r="6" spans="1:15" s="131" customFormat="1" ht="13.5" x14ac:dyDescent="0.2">
      <c r="A6" s="105"/>
      <c r="B6" s="1109"/>
      <c r="C6" s="1109"/>
      <c r="D6" s="1097" t="s">
        <v>133</v>
      </c>
      <c r="E6" s="1098"/>
      <c r="F6" s="1099"/>
      <c r="G6" s="1097" t="s">
        <v>536</v>
      </c>
      <c r="H6" s="1098"/>
      <c r="I6" s="1099"/>
      <c r="J6" s="1097" t="s">
        <v>634</v>
      </c>
      <c r="K6" s="1098"/>
      <c r="L6" s="1099"/>
      <c r="M6" s="1144" t="s">
        <v>213</v>
      </c>
      <c r="N6" s="1144"/>
      <c r="O6" s="1144"/>
    </row>
    <row r="7" spans="1:15" s="131" customFormat="1" ht="13.5" x14ac:dyDescent="0.2">
      <c r="A7" s="105"/>
      <c r="B7" s="1114" t="s">
        <v>154</v>
      </c>
      <c r="C7" s="1115"/>
      <c r="D7" s="1094" t="s">
        <v>155</v>
      </c>
      <c r="E7" s="1095"/>
      <c r="F7" s="1096"/>
      <c r="G7" s="1094" t="s">
        <v>537</v>
      </c>
      <c r="H7" s="1095"/>
      <c r="I7" s="1096"/>
      <c r="J7" s="1094" t="s">
        <v>635</v>
      </c>
      <c r="K7" s="1095"/>
      <c r="L7" s="1096"/>
      <c r="M7" s="1091"/>
      <c r="N7" s="1092"/>
      <c r="O7" s="1093"/>
    </row>
    <row r="8" spans="1:15" s="131" customFormat="1" ht="13.5" x14ac:dyDescent="0.2">
      <c r="A8" s="105"/>
      <c r="B8" s="1088"/>
      <c r="C8" s="1090"/>
      <c r="D8" s="1088" t="s">
        <v>178</v>
      </c>
      <c r="E8" s="1089"/>
      <c r="F8" s="1090"/>
      <c r="G8" s="1088" t="s">
        <v>538</v>
      </c>
      <c r="H8" s="1089"/>
      <c r="I8" s="1090"/>
      <c r="J8" s="1088" t="s">
        <v>636</v>
      </c>
      <c r="K8" s="1089"/>
      <c r="L8" s="1090"/>
      <c r="M8" s="1128" t="s">
        <v>599</v>
      </c>
      <c r="N8" s="1129"/>
      <c r="O8" s="1130"/>
    </row>
    <row r="9" spans="1:15" ht="15" customHeight="1" x14ac:dyDescent="0.2">
      <c r="A9" s="1117" t="s">
        <v>195</v>
      </c>
      <c r="B9" s="1120" t="s">
        <v>196</v>
      </c>
      <c r="C9" s="106"/>
      <c r="D9" s="1073" t="s">
        <v>198</v>
      </c>
      <c r="E9" s="1074"/>
      <c r="F9" s="1075"/>
      <c r="G9" s="1073" t="s">
        <v>539</v>
      </c>
      <c r="H9" s="1074"/>
      <c r="I9" s="1075"/>
      <c r="J9" s="1076" t="s">
        <v>199</v>
      </c>
      <c r="K9" s="1077"/>
      <c r="L9" s="1078"/>
      <c r="M9" s="1076" t="s">
        <v>600</v>
      </c>
      <c r="N9" s="1077"/>
      <c r="O9" s="1078"/>
    </row>
    <row r="10" spans="1:15" s="122" customFormat="1" x14ac:dyDescent="0.2">
      <c r="A10" s="1118"/>
      <c r="B10" s="1121"/>
      <c r="C10" s="108" t="s">
        <v>1</v>
      </c>
      <c r="D10" s="1070" t="s">
        <v>207</v>
      </c>
      <c r="E10" s="1071"/>
      <c r="F10" s="1072"/>
      <c r="G10" s="1070" t="s">
        <v>207</v>
      </c>
      <c r="H10" s="1071"/>
      <c r="I10" s="1072"/>
      <c r="J10" s="1070" t="s">
        <v>207</v>
      </c>
      <c r="K10" s="1071"/>
      <c r="L10" s="1072"/>
      <c r="M10" s="1070" t="s">
        <v>179</v>
      </c>
      <c r="N10" s="1071"/>
      <c r="O10" s="1072"/>
    </row>
    <row r="11" spans="1:15" s="122" customFormat="1" ht="25.5" x14ac:dyDescent="0.2">
      <c r="A11" s="1119"/>
      <c r="B11" s="1122"/>
      <c r="C11" s="109"/>
      <c r="D11" s="378" t="s">
        <v>673</v>
      </c>
      <c r="E11" s="378" t="s">
        <v>674</v>
      </c>
      <c r="F11" s="378" t="s">
        <v>845</v>
      </c>
      <c r="G11" s="378" t="s">
        <v>673</v>
      </c>
      <c r="H11" s="378" t="s">
        <v>674</v>
      </c>
      <c r="I11" s="378" t="s">
        <v>845</v>
      </c>
      <c r="J11" s="378" t="s">
        <v>673</v>
      </c>
      <c r="K11" s="378" t="s">
        <v>674</v>
      </c>
      <c r="L11" s="378" t="s">
        <v>845</v>
      </c>
      <c r="M11" s="378" t="s">
        <v>673</v>
      </c>
      <c r="N11" s="378" t="s">
        <v>674</v>
      </c>
      <c r="O11" s="378" t="s">
        <v>845</v>
      </c>
    </row>
    <row r="12" spans="1:15" s="132" customFormat="1" x14ac:dyDescent="0.2">
      <c r="A12" s="107" t="s">
        <v>0</v>
      </c>
      <c r="B12" s="110" t="s">
        <v>234</v>
      </c>
      <c r="C12" s="111" t="s">
        <v>235</v>
      </c>
      <c r="D12" s="87"/>
      <c r="E12" s="87"/>
      <c r="F12" s="87"/>
      <c r="G12" s="87"/>
      <c r="H12" s="87"/>
      <c r="I12" s="87"/>
      <c r="J12" s="87"/>
      <c r="K12" s="92"/>
      <c r="L12" s="92"/>
      <c r="M12" s="92">
        <f t="shared" ref="M12:O14" si="0">D12+G12+J12</f>
        <v>0</v>
      </c>
      <c r="N12" s="92">
        <f t="shared" si="0"/>
        <v>0</v>
      </c>
      <c r="O12" s="92">
        <f t="shared" si="0"/>
        <v>0</v>
      </c>
    </row>
    <row r="13" spans="1:15" s="132" customFormat="1" x14ac:dyDescent="0.2">
      <c r="A13" s="107" t="s">
        <v>6</v>
      </c>
      <c r="B13" s="110" t="s">
        <v>244</v>
      </c>
      <c r="C13" s="111" t="s">
        <v>245</v>
      </c>
      <c r="D13" s="87"/>
      <c r="E13" s="87"/>
      <c r="F13" s="87"/>
      <c r="G13" s="87"/>
      <c r="H13" s="87"/>
      <c r="I13" s="87"/>
      <c r="J13" s="87"/>
      <c r="K13" s="92"/>
      <c r="L13" s="92"/>
      <c r="M13" s="92">
        <f t="shared" si="0"/>
        <v>0</v>
      </c>
      <c r="N13" s="92">
        <f t="shared" si="0"/>
        <v>0</v>
      </c>
      <c r="O13" s="92">
        <f t="shared" si="0"/>
        <v>0</v>
      </c>
    </row>
    <row r="14" spans="1:15" s="132" customFormat="1" x14ac:dyDescent="0.2">
      <c r="A14" s="107" t="s">
        <v>14</v>
      </c>
      <c r="B14" s="107" t="s">
        <v>254</v>
      </c>
      <c r="C14" s="121" t="s">
        <v>255</v>
      </c>
      <c r="D14" s="291"/>
      <c r="E14" s="291"/>
      <c r="F14" s="291"/>
      <c r="G14" s="291"/>
      <c r="H14" s="291"/>
      <c r="I14" s="291"/>
      <c r="J14" s="291"/>
      <c r="K14" s="411"/>
      <c r="L14" s="411"/>
      <c r="M14" s="90">
        <f t="shared" si="0"/>
        <v>0</v>
      </c>
      <c r="N14" s="90">
        <f t="shared" si="0"/>
        <v>0</v>
      </c>
      <c r="O14" s="90">
        <f t="shared" si="0"/>
        <v>0</v>
      </c>
    </row>
    <row r="15" spans="1:15" s="102" customFormat="1" x14ac:dyDescent="0.2">
      <c r="A15" s="107" t="s">
        <v>17</v>
      </c>
      <c r="B15" s="107" t="s">
        <v>256</v>
      </c>
      <c r="C15" s="112" t="s">
        <v>257</v>
      </c>
      <c r="D15" s="89"/>
      <c r="E15" s="89"/>
      <c r="F15" s="89"/>
      <c r="G15" s="89"/>
      <c r="H15" s="89"/>
      <c r="I15" s="89"/>
      <c r="J15" s="89">
        <f>'aládolgozó számítások'!D176</f>
        <v>38427074.399999999</v>
      </c>
      <c r="K15" s="90">
        <f>'aládolgozó számítások'!D236+1300857</f>
        <v>42596400.212800004</v>
      </c>
      <c r="L15" s="90">
        <v>42352289</v>
      </c>
      <c r="M15" s="90">
        <f t="shared" ref="M15:M37" si="1">D15+G15+J15</f>
        <v>38427074.399999999</v>
      </c>
      <c r="N15" s="90">
        <f t="shared" ref="N15:O37" si="2">E15+H15+K15</f>
        <v>42596400.212800004</v>
      </c>
      <c r="O15" s="90">
        <f t="shared" ref="O15:O23" si="3">F15+I15+L15</f>
        <v>42352289</v>
      </c>
    </row>
    <row r="16" spans="1:15" s="102" customFormat="1" x14ac:dyDescent="0.2">
      <c r="A16" s="107" t="s">
        <v>33</v>
      </c>
      <c r="B16" s="107" t="s">
        <v>258</v>
      </c>
      <c r="C16" s="112" t="s">
        <v>259</v>
      </c>
      <c r="D16" s="89"/>
      <c r="E16" s="89"/>
      <c r="F16" s="89"/>
      <c r="G16" s="89"/>
      <c r="H16" s="89"/>
      <c r="I16" s="89"/>
      <c r="J16" s="89"/>
      <c r="K16" s="90"/>
      <c r="L16" s="90"/>
      <c r="M16" s="90">
        <f t="shared" si="1"/>
        <v>0</v>
      </c>
      <c r="N16" s="90">
        <f t="shared" si="2"/>
        <v>0</v>
      </c>
      <c r="O16" s="90">
        <f t="shared" si="3"/>
        <v>0</v>
      </c>
    </row>
    <row r="17" spans="1:15" s="102" customFormat="1" x14ac:dyDescent="0.2">
      <c r="A17" s="107" t="s">
        <v>35</v>
      </c>
      <c r="B17" s="107" t="s">
        <v>260</v>
      </c>
      <c r="C17" s="112" t="s">
        <v>261</v>
      </c>
      <c r="D17" s="89"/>
      <c r="E17" s="89"/>
      <c r="F17" s="89"/>
      <c r="G17" s="89"/>
      <c r="H17" s="89"/>
      <c r="I17" s="89"/>
      <c r="J17" s="89"/>
      <c r="K17" s="90"/>
      <c r="L17" s="90"/>
      <c r="M17" s="90">
        <f t="shared" si="1"/>
        <v>0</v>
      </c>
      <c r="N17" s="90">
        <f t="shared" si="2"/>
        <v>0</v>
      </c>
      <c r="O17" s="90">
        <f t="shared" si="3"/>
        <v>0</v>
      </c>
    </row>
    <row r="18" spans="1:15" s="102" customFormat="1" x14ac:dyDescent="0.2">
      <c r="A18" s="107" t="s">
        <v>30</v>
      </c>
      <c r="B18" s="107" t="s">
        <v>262</v>
      </c>
      <c r="C18" s="112" t="s">
        <v>263</v>
      </c>
      <c r="D18" s="89">
        <f>'aládolgozó számítások'!D168</f>
        <v>6142773.75</v>
      </c>
      <c r="E18" s="89">
        <f>'aládolgozó számítások'!D226+852629</f>
        <v>6142774.25</v>
      </c>
      <c r="F18" s="89">
        <v>5134697</v>
      </c>
      <c r="G18" s="89"/>
      <c r="H18" s="89"/>
      <c r="I18" s="89"/>
      <c r="J18" s="89"/>
      <c r="K18" s="90"/>
      <c r="L18" s="90"/>
      <c r="M18" s="90">
        <f t="shared" si="1"/>
        <v>6142773.75</v>
      </c>
      <c r="N18" s="90">
        <f>E18+H18+K18</f>
        <v>6142774.25</v>
      </c>
      <c r="O18" s="90">
        <f t="shared" si="3"/>
        <v>5134697</v>
      </c>
    </row>
    <row r="19" spans="1:15" s="102" customFormat="1" x14ac:dyDescent="0.2">
      <c r="A19" s="107" t="s">
        <v>18</v>
      </c>
      <c r="B19" s="107" t="s">
        <v>264</v>
      </c>
      <c r="C19" s="112" t="s">
        <v>265</v>
      </c>
      <c r="D19" s="89">
        <f>D18*0.27</f>
        <v>1658548.9125000001</v>
      </c>
      <c r="E19" s="89">
        <f>E18*0.27-236626</f>
        <v>1421923.0475000001</v>
      </c>
      <c r="F19" s="89">
        <v>1386353</v>
      </c>
      <c r="G19" s="89"/>
      <c r="H19" s="89"/>
      <c r="I19" s="89"/>
      <c r="J19" s="89">
        <f>J15*0.27</f>
        <v>10375310.088</v>
      </c>
      <c r="K19" s="89">
        <f>K15*0.27-0.4</f>
        <v>11501027.657456001</v>
      </c>
      <c r="L19" s="90">
        <v>11435083</v>
      </c>
      <c r="M19" s="90">
        <f t="shared" si="1"/>
        <v>12033859.000499999</v>
      </c>
      <c r="N19" s="90">
        <f t="shared" si="2"/>
        <v>12922950.704956001</v>
      </c>
      <c r="O19" s="90">
        <f t="shared" si="3"/>
        <v>12821436</v>
      </c>
    </row>
    <row r="20" spans="1:15" s="102" customFormat="1" x14ac:dyDescent="0.2">
      <c r="A20" s="107" t="s">
        <v>19</v>
      </c>
      <c r="B20" s="107" t="s">
        <v>266</v>
      </c>
      <c r="C20" s="112" t="s">
        <v>267</v>
      </c>
      <c r="D20" s="89"/>
      <c r="E20" s="89"/>
      <c r="F20" s="89"/>
      <c r="G20" s="89"/>
      <c r="H20" s="89"/>
      <c r="I20" s="89"/>
      <c r="J20" s="89"/>
      <c r="K20" s="90"/>
      <c r="L20" s="90"/>
      <c r="M20" s="90">
        <f t="shared" si="1"/>
        <v>0</v>
      </c>
      <c r="N20" s="90">
        <f t="shared" si="2"/>
        <v>0</v>
      </c>
      <c r="O20" s="90">
        <f t="shared" si="3"/>
        <v>0</v>
      </c>
    </row>
    <row r="21" spans="1:15" s="102" customFormat="1" x14ac:dyDescent="0.2">
      <c r="A21" s="107" t="s">
        <v>20</v>
      </c>
      <c r="B21" s="107" t="s">
        <v>268</v>
      </c>
      <c r="C21" s="112" t="s">
        <v>269</v>
      </c>
      <c r="D21" s="89"/>
      <c r="E21" s="89"/>
      <c r="F21" s="89"/>
      <c r="G21" s="89"/>
      <c r="H21" s="89"/>
      <c r="I21" s="89"/>
      <c r="J21" s="89">
        <v>200</v>
      </c>
      <c r="K21" s="90">
        <v>200</v>
      </c>
      <c r="L21" s="90">
        <v>0</v>
      </c>
      <c r="M21" s="90">
        <f t="shared" si="1"/>
        <v>200</v>
      </c>
      <c r="N21" s="90">
        <f t="shared" si="2"/>
        <v>200</v>
      </c>
      <c r="O21" s="90">
        <f t="shared" si="3"/>
        <v>0</v>
      </c>
    </row>
    <row r="22" spans="1:15" s="102" customFormat="1" x14ac:dyDescent="0.2">
      <c r="A22" s="107" t="s">
        <v>21</v>
      </c>
      <c r="B22" s="107" t="s">
        <v>270</v>
      </c>
      <c r="C22" s="112" t="s">
        <v>271</v>
      </c>
      <c r="D22" s="89"/>
      <c r="E22" s="89"/>
      <c r="F22" s="89"/>
      <c r="G22" s="89"/>
      <c r="H22" s="89"/>
      <c r="I22" s="89"/>
      <c r="J22" s="89"/>
      <c r="K22" s="90"/>
      <c r="L22" s="90"/>
      <c r="M22" s="90">
        <f t="shared" si="1"/>
        <v>0</v>
      </c>
      <c r="N22" s="90">
        <f t="shared" si="2"/>
        <v>0</v>
      </c>
      <c r="O22" s="90">
        <f t="shared" si="3"/>
        <v>0</v>
      </c>
    </row>
    <row r="23" spans="1:15" s="102" customFormat="1" x14ac:dyDescent="0.2">
      <c r="A23" s="107" t="s">
        <v>31</v>
      </c>
      <c r="B23" s="107" t="s">
        <v>272</v>
      </c>
      <c r="C23" s="112" t="s">
        <v>273</v>
      </c>
      <c r="D23" s="89">
        <v>50</v>
      </c>
      <c r="E23" s="89">
        <v>50</v>
      </c>
      <c r="F23" s="89">
        <v>0</v>
      </c>
      <c r="G23" s="89"/>
      <c r="H23" s="89"/>
      <c r="I23" s="89"/>
      <c r="J23" s="89">
        <v>50</v>
      </c>
      <c r="K23" s="90">
        <v>50</v>
      </c>
      <c r="L23" s="90">
        <v>3</v>
      </c>
      <c r="M23" s="90">
        <f t="shared" si="1"/>
        <v>100</v>
      </c>
      <c r="N23" s="90">
        <f t="shared" si="2"/>
        <v>100</v>
      </c>
      <c r="O23" s="90">
        <f t="shared" si="3"/>
        <v>3</v>
      </c>
    </row>
    <row r="24" spans="1:15" s="132" customFormat="1" x14ac:dyDescent="0.2">
      <c r="A24" s="107" t="s">
        <v>22</v>
      </c>
      <c r="B24" s="110" t="s">
        <v>274</v>
      </c>
      <c r="C24" s="113" t="s">
        <v>2</v>
      </c>
      <c r="D24" s="87">
        <f t="shared" ref="D24:L24" si="4">SUM(D14:D23)</f>
        <v>7801372.6624999996</v>
      </c>
      <c r="E24" s="87">
        <f t="shared" si="4"/>
        <v>7564747.2975000003</v>
      </c>
      <c r="F24" s="87">
        <f t="shared" si="4"/>
        <v>6521050</v>
      </c>
      <c r="G24" s="87">
        <f t="shared" si="4"/>
        <v>0</v>
      </c>
      <c r="H24" s="87">
        <f t="shared" si="4"/>
        <v>0</v>
      </c>
      <c r="I24" s="87">
        <f t="shared" si="4"/>
        <v>0</v>
      </c>
      <c r="J24" s="87">
        <f t="shared" si="4"/>
        <v>48802634.487999998</v>
      </c>
      <c r="K24" s="87">
        <f t="shared" si="4"/>
        <v>54097677.870256007</v>
      </c>
      <c r="L24" s="87">
        <f t="shared" si="4"/>
        <v>53787375</v>
      </c>
      <c r="M24" s="413">
        <f t="shared" si="1"/>
        <v>56604007.1505</v>
      </c>
      <c r="N24" s="413">
        <f t="shared" si="2"/>
        <v>61662425.167756006</v>
      </c>
      <c r="O24" s="413">
        <f t="shared" si="2"/>
        <v>60308425</v>
      </c>
    </row>
    <row r="25" spans="1:15" s="102" customFormat="1" x14ac:dyDescent="0.2">
      <c r="A25" s="107" t="s">
        <v>24</v>
      </c>
      <c r="B25" s="107" t="s">
        <v>277</v>
      </c>
      <c r="C25" s="112" t="s">
        <v>278</v>
      </c>
      <c r="D25" s="89"/>
      <c r="E25" s="89"/>
      <c r="F25" s="89"/>
      <c r="G25" s="89"/>
      <c r="H25" s="89"/>
      <c r="I25" s="89"/>
      <c r="J25" s="89"/>
      <c r="K25" s="90"/>
      <c r="L25" s="90"/>
      <c r="M25" s="90">
        <f t="shared" si="1"/>
        <v>0</v>
      </c>
      <c r="N25" s="90">
        <f t="shared" si="2"/>
        <v>0</v>
      </c>
      <c r="O25" s="90">
        <f t="shared" si="2"/>
        <v>0</v>
      </c>
    </row>
    <row r="26" spans="1:15" s="132" customFormat="1" x14ac:dyDescent="0.2">
      <c r="A26" s="107" t="s">
        <v>39</v>
      </c>
      <c r="B26" s="110" t="s">
        <v>279</v>
      </c>
      <c r="C26" s="111" t="s">
        <v>3</v>
      </c>
      <c r="D26" s="87">
        <f t="shared" ref="D26:L26" si="5">SUM(D25:D25)</f>
        <v>0</v>
      </c>
      <c r="E26" s="87">
        <f t="shared" si="5"/>
        <v>0</v>
      </c>
      <c r="F26" s="87">
        <f t="shared" si="5"/>
        <v>0</v>
      </c>
      <c r="G26" s="87">
        <f t="shared" si="5"/>
        <v>0</v>
      </c>
      <c r="H26" s="87">
        <f t="shared" si="5"/>
        <v>0</v>
      </c>
      <c r="I26" s="87">
        <f t="shared" si="5"/>
        <v>0</v>
      </c>
      <c r="J26" s="87">
        <f t="shared" si="5"/>
        <v>0</v>
      </c>
      <c r="K26" s="87">
        <f t="shared" si="5"/>
        <v>0</v>
      </c>
      <c r="L26" s="87">
        <f t="shared" si="5"/>
        <v>0</v>
      </c>
      <c r="M26" s="413">
        <f t="shared" si="1"/>
        <v>0</v>
      </c>
      <c r="N26" s="413">
        <f t="shared" si="2"/>
        <v>0</v>
      </c>
      <c r="O26" s="413">
        <f t="shared" si="2"/>
        <v>0</v>
      </c>
    </row>
    <row r="27" spans="1:15" s="102" customFormat="1" x14ac:dyDescent="0.2">
      <c r="A27" s="107" t="s">
        <v>40</v>
      </c>
      <c r="B27" s="107" t="s">
        <v>280</v>
      </c>
      <c r="C27" s="112" t="s">
        <v>281</v>
      </c>
      <c r="D27" s="89"/>
      <c r="E27" s="89"/>
      <c r="F27" s="89"/>
      <c r="G27" s="89"/>
      <c r="H27" s="89"/>
      <c r="I27" s="89"/>
      <c r="J27" s="89"/>
      <c r="K27" s="90"/>
      <c r="L27" s="90"/>
      <c r="M27" s="90">
        <f t="shared" si="1"/>
        <v>0</v>
      </c>
      <c r="N27" s="90">
        <f t="shared" si="2"/>
        <v>0</v>
      </c>
      <c r="O27" s="90">
        <f t="shared" si="2"/>
        <v>0</v>
      </c>
    </row>
    <row r="28" spans="1:15" s="102" customFormat="1" x14ac:dyDescent="0.2">
      <c r="A28" s="107" t="s">
        <v>41</v>
      </c>
      <c r="B28" s="107" t="s">
        <v>282</v>
      </c>
      <c r="C28" s="112" t="s">
        <v>283</v>
      </c>
      <c r="D28" s="89"/>
      <c r="E28" s="89"/>
      <c r="F28" s="89"/>
      <c r="G28" s="89"/>
      <c r="H28" s="89"/>
      <c r="I28" s="89"/>
      <c r="J28" s="89"/>
      <c r="K28" s="90"/>
      <c r="L28" s="90"/>
      <c r="M28" s="90">
        <f t="shared" si="1"/>
        <v>0</v>
      </c>
      <c r="N28" s="90">
        <f t="shared" si="2"/>
        <v>0</v>
      </c>
      <c r="O28" s="90">
        <f t="shared" si="2"/>
        <v>0</v>
      </c>
    </row>
    <row r="29" spans="1:15" s="132" customFormat="1" x14ac:dyDescent="0.2">
      <c r="A29" s="107" t="s">
        <v>42</v>
      </c>
      <c r="B29" s="110" t="s">
        <v>284</v>
      </c>
      <c r="C29" s="113" t="s">
        <v>285</v>
      </c>
      <c r="D29" s="87">
        <f t="shared" ref="D29:L29" si="6">SUM(D27:D28)</f>
        <v>0</v>
      </c>
      <c r="E29" s="87">
        <f t="shared" si="6"/>
        <v>0</v>
      </c>
      <c r="F29" s="87">
        <f t="shared" si="6"/>
        <v>0</v>
      </c>
      <c r="G29" s="87">
        <f t="shared" si="6"/>
        <v>0</v>
      </c>
      <c r="H29" s="87">
        <f t="shared" si="6"/>
        <v>0</v>
      </c>
      <c r="I29" s="87">
        <f t="shared" si="6"/>
        <v>0</v>
      </c>
      <c r="J29" s="87">
        <f t="shared" si="6"/>
        <v>0</v>
      </c>
      <c r="K29" s="87">
        <f t="shared" si="6"/>
        <v>0</v>
      </c>
      <c r="L29" s="87">
        <f t="shared" si="6"/>
        <v>0</v>
      </c>
      <c r="M29" s="413">
        <f t="shared" si="1"/>
        <v>0</v>
      </c>
      <c r="N29" s="413">
        <f t="shared" si="2"/>
        <v>0</v>
      </c>
      <c r="O29" s="413">
        <f t="shared" si="2"/>
        <v>0</v>
      </c>
    </row>
    <row r="30" spans="1:15" s="102" customFormat="1" x14ac:dyDescent="0.2">
      <c r="A30" s="107" t="s">
        <v>43</v>
      </c>
      <c r="B30" s="107" t="s">
        <v>286</v>
      </c>
      <c r="C30" s="112" t="s">
        <v>287</v>
      </c>
      <c r="D30" s="89"/>
      <c r="E30" s="89"/>
      <c r="F30" s="89"/>
      <c r="G30" s="89"/>
      <c r="H30" s="89"/>
      <c r="I30" s="89"/>
      <c r="J30" s="89"/>
      <c r="K30" s="90"/>
      <c r="L30" s="90"/>
      <c r="M30" s="90">
        <f t="shared" si="1"/>
        <v>0</v>
      </c>
      <c r="N30" s="90">
        <f t="shared" si="2"/>
        <v>0</v>
      </c>
      <c r="O30" s="90">
        <f t="shared" si="2"/>
        <v>0</v>
      </c>
    </row>
    <row r="31" spans="1:15" s="102" customFormat="1" x14ac:dyDescent="0.2">
      <c r="A31" s="107" t="s">
        <v>44</v>
      </c>
      <c r="B31" s="107" t="s">
        <v>288</v>
      </c>
      <c r="C31" s="112" t="s">
        <v>289</v>
      </c>
      <c r="D31" s="89"/>
      <c r="E31" s="89"/>
      <c r="F31" s="89"/>
      <c r="G31" s="89"/>
      <c r="H31" s="89"/>
      <c r="I31" s="89"/>
      <c r="J31" s="89"/>
      <c r="K31" s="90"/>
      <c r="L31" s="90"/>
      <c r="M31" s="90">
        <f t="shared" si="1"/>
        <v>0</v>
      </c>
      <c r="N31" s="90">
        <f t="shared" si="2"/>
        <v>0</v>
      </c>
      <c r="O31" s="90">
        <f t="shared" si="2"/>
        <v>0</v>
      </c>
    </row>
    <row r="32" spans="1:15" s="132" customFormat="1" x14ac:dyDescent="0.2">
      <c r="A32" s="107" t="s">
        <v>45</v>
      </c>
      <c r="B32" s="110" t="s">
        <v>290</v>
      </c>
      <c r="C32" s="113" t="s">
        <v>291</v>
      </c>
      <c r="D32" s="87">
        <f t="shared" ref="D32:L32" si="7">SUM(D30:D31)</f>
        <v>0</v>
      </c>
      <c r="E32" s="87">
        <f t="shared" si="7"/>
        <v>0</v>
      </c>
      <c r="F32" s="87">
        <f t="shared" si="7"/>
        <v>0</v>
      </c>
      <c r="G32" s="87">
        <f t="shared" si="7"/>
        <v>0</v>
      </c>
      <c r="H32" s="87">
        <f t="shared" si="7"/>
        <v>0</v>
      </c>
      <c r="I32" s="87">
        <f t="shared" si="7"/>
        <v>0</v>
      </c>
      <c r="J32" s="87">
        <f t="shared" si="7"/>
        <v>0</v>
      </c>
      <c r="K32" s="87">
        <f t="shared" si="7"/>
        <v>0</v>
      </c>
      <c r="L32" s="87">
        <f t="shared" si="7"/>
        <v>0</v>
      </c>
      <c r="M32" s="413">
        <f t="shared" si="1"/>
        <v>0</v>
      </c>
      <c r="N32" s="413">
        <f t="shared" si="2"/>
        <v>0</v>
      </c>
      <c r="O32" s="413">
        <f t="shared" si="2"/>
        <v>0</v>
      </c>
    </row>
    <row r="33" spans="1:15" s="122" customFormat="1" x14ac:dyDescent="0.2">
      <c r="A33" s="107" t="s">
        <v>46</v>
      </c>
      <c r="B33" s="107" t="s">
        <v>292</v>
      </c>
      <c r="C33" s="112" t="s">
        <v>293</v>
      </c>
      <c r="D33" s="89"/>
      <c r="E33" s="89"/>
      <c r="F33" s="89"/>
      <c r="G33" s="89"/>
      <c r="H33" s="89"/>
      <c r="I33" s="89"/>
      <c r="J33" s="89"/>
      <c r="K33" s="90"/>
      <c r="L33" s="90"/>
      <c r="M33" s="90">
        <f t="shared" si="1"/>
        <v>0</v>
      </c>
      <c r="N33" s="90">
        <f t="shared" si="2"/>
        <v>0</v>
      </c>
      <c r="O33" s="90">
        <f t="shared" si="2"/>
        <v>0</v>
      </c>
    </row>
    <row r="34" spans="1:15" s="122" customFormat="1" x14ac:dyDescent="0.2">
      <c r="A34" s="107" t="s">
        <v>47</v>
      </c>
      <c r="B34" s="107" t="s">
        <v>294</v>
      </c>
      <c r="C34" s="112" t="s">
        <v>295</v>
      </c>
      <c r="D34" s="89"/>
      <c r="E34" s="89"/>
      <c r="F34" s="89"/>
      <c r="G34" s="89"/>
      <c r="H34" s="89"/>
      <c r="I34" s="89"/>
      <c r="J34" s="89">
        <v>14022</v>
      </c>
      <c r="K34" s="90">
        <v>10522</v>
      </c>
      <c r="L34" s="90">
        <v>10522</v>
      </c>
      <c r="M34" s="90">
        <f t="shared" si="1"/>
        <v>14022</v>
      </c>
      <c r="N34" s="90">
        <f t="shared" si="2"/>
        <v>10522</v>
      </c>
      <c r="O34" s="90">
        <f t="shared" si="2"/>
        <v>10522</v>
      </c>
    </row>
    <row r="35" spans="1:15" s="122" customFormat="1" x14ac:dyDescent="0.2">
      <c r="A35" s="107" t="s">
        <v>50</v>
      </c>
      <c r="B35" s="107" t="s">
        <v>445</v>
      </c>
      <c r="C35" s="112" t="s">
        <v>446</v>
      </c>
      <c r="D35" s="69">
        <f>12782000+9675484</f>
        <v>22457484</v>
      </c>
      <c r="E35" s="69">
        <f>14344000+18104430*0.7+922240+1511096</f>
        <v>29450437</v>
      </c>
      <c r="F35" s="69">
        <f>27355101+8162155</f>
        <v>35517256</v>
      </c>
      <c r="G35" s="89">
        <v>92340</v>
      </c>
      <c r="H35" s="89">
        <v>219222</v>
      </c>
      <c r="I35" s="89">
        <f>224694+162</f>
        <v>224856</v>
      </c>
      <c r="J35" s="89">
        <v>3499786</v>
      </c>
      <c r="K35" s="90">
        <v>6120360</v>
      </c>
      <c r="L35" s="90"/>
      <c r="M35" s="90">
        <f t="shared" si="1"/>
        <v>26049610</v>
      </c>
      <c r="N35" s="90">
        <f t="shared" si="2"/>
        <v>35790019</v>
      </c>
      <c r="O35" s="90">
        <f t="shared" si="2"/>
        <v>35742112</v>
      </c>
    </row>
    <row r="36" spans="1:15" s="132" customFormat="1" x14ac:dyDescent="0.2">
      <c r="A36" s="107" t="s">
        <v>52</v>
      </c>
      <c r="B36" s="110" t="s">
        <v>296</v>
      </c>
      <c r="C36" s="113" t="s">
        <v>297</v>
      </c>
      <c r="D36" s="87">
        <f t="shared" ref="D36:L36" si="8">SUM(D33:D35)</f>
        <v>22457484</v>
      </c>
      <c r="E36" s="87">
        <f t="shared" si="8"/>
        <v>29450437</v>
      </c>
      <c r="F36" s="87">
        <f t="shared" si="8"/>
        <v>35517256</v>
      </c>
      <c r="G36" s="87">
        <f t="shared" si="8"/>
        <v>92340</v>
      </c>
      <c r="H36" s="87">
        <f t="shared" si="8"/>
        <v>219222</v>
      </c>
      <c r="I36" s="87">
        <f t="shared" si="8"/>
        <v>224856</v>
      </c>
      <c r="J36" s="87">
        <f t="shared" si="8"/>
        <v>3513808</v>
      </c>
      <c r="K36" s="87">
        <f t="shared" si="8"/>
        <v>6130882</v>
      </c>
      <c r="L36" s="87">
        <f t="shared" si="8"/>
        <v>10522</v>
      </c>
      <c r="M36" s="413">
        <f t="shared" si="1"/>
        <v>26063632</v>
      </c>
      <c r="N36" s="413">
        <f t="shared" si="2"/>
        <v>35800541</v>
      </c>
      <c r="O36" s="413">
        <f t="shared" si="2"/>
        <v>35752634</v>
      </c>
    </row>
    <row r="37" spans="1:15" s="132" customFormat="1" ht="24.75" customHeight="1" x14ac:dyDescent="0.2">
      <c r="A37" s="80"/>
      <c r="B37" s="1112" t="s">
        <v>298</v>
      </c>
      <c r="C37" s="1113"/>
      <c r="D37" s="87">
        <f t="shared" ref="D37:L37" si="9">D12+D13+D24+D26+D29+D32+D36</f>
        <v>30258856.662500001</v>
      </c>
      <c r="E37" s="87">
        <f t="shared" si="9"/>
        <v>37015184.297499999</v>
      </c>
      <c r="F37" s="87">
        <f t="shared" si="9"/>
        <v>42038306</v>
      </c>
      <c r="G37" s="87">
        <f t="shared" si="9"/>
        <v>92340</v>
      </c>
      <c r="H37" s="87">
        <f t="shared" si="9"/>
        <v>219222</v>
      </c>
      <c r="I37" s="87">
        <f t="shared" si="9"/>
        <v>224856</v>
      </c>
      <c r="J37" s="87">
        <f t="shared" si="9"/>
        <v>52316442.487999998</v>
      </c>
      <c r="K37" s="87">
        <f t="shared" si="9"/>
        <v>60228559.870256007</v>
      </c>
      <c r="L37" s="87">
        <f t="shared" si="9"/>
        <v>53797897</v>
      </c>
      <c r="M37" s="413">
        <f t="shared" si="1"/>
        <v>82667639.1505</v>
      </c>
      <c r="N37" s="413">
        <f t="shared" si="2"/>
        <v>97462966.167756006</v>
      </c>
      <c r="O37" s="413">
        <f t="shared" si="2"/>
        <v>96061059</v>
      </c>
    </row>
    <row r="38" spans="1:15" s="102" customFormat="1" x14ac:dyDescent="0.2">
      <c r="A38" s="101"/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</row>
    <row r="39" spans="1:15" s="102" customFormat="1" ht="13.5" customHeight="1" x14ac:dyDescent="0.2">
      <c r="A39" s="104" t="s">
        <v>299</v>
      </c>
      <c r="B39" s="104"/>
      <c r="C39" s="104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</row>
    <row r="40" spans="1:15" s="133" customFormat="1" ht="14.25" customHeight="1" x14ac:dyDescent="0.2">
      <c r="A40" s="117"/>
      <c r="B40" s="1116"/>
      <c r="C40" s="1116"/>
      <c r="D40" s="1097" t="s">
        <v>133</v>
      </c>
      <c r="E40" s="1098"/>
      <c r="F40" s="1099"/>
      <c r="G40" s="1097" t="s">
        <v>536</v>
      </c>
      <c r="H40" s="1098"/>
      <c r="I40" s="1099"/>
      <c r="J40" s="1097" t="s">
        <v>634</v>
      </c>
      <c r="K40" s="1098"/>
      <c r="L40" s="1099"/>
      <c r="M40" s="1144" t="s">
        <v>213</v>
      </c>
      <c r="N40" s="1144"/>
      <c r="O40" s="1144"/>
    </row>
    <row r="41" spans="1:15" s="131" customFormat="1" ht="14.25" customHeight="1" x14ac:dyDescent="0.2">
      <c r="A41" s="105"/>
      <c r="B41" s="1110" t="s">
        <v>154</v>
      </c>
      <c r="C41" s="1111"/>
      <c r="D41" s="1094" t="s">
        <v>155</v>
      </c>
      <c r="E41" s="1095"/>
      <c r="F41" s="1096"/>
      <c r="G41" s="1094" t="s">
        <v>537</v>
      </c>
      <c r="H41" s="1095"/>
      <c r="I41" s="1096"/>
      <c r="J41" s="1094" t="s">
        <v>635</v>
      </c>
      <c r="K41" s="1095"/>
      <c r="L41" s="1096"/>
      <c r="M41" s="1091"/>
      <c r="N41" s="1092"/>
      <c r="O41" s="1093"/>
    </row>
    <row r="42" spans="1:15" s="131" customFormat="1" ht="14.25" customHeight="1" x14ac:dyDescent="0.2">
      <c r="A42" s="105"/>
      <c r="B42" s="1085"/>
      <c r="C42" s="1087"/>
      <c r="D42" s="1088" t="s">
        <v>178</v>
      </c>
      <c r="E42" s="1089"/>
      <c r="F42" s="1090"/>
      <c r="G42" s="1088" t="s">
        <v>538</v>
      </c>
      <c r="H42" s="1089"/>
      <c r="I42" s="1090"/>
      <c r="J42" s="1088" t="s">
        <v>636</v>
      </c>
      <c r="K42" s="1089"/>
      <c r="L42" s="1090"/>
      <c r="M42" s="1128" t="s">
        <v>599</v>
      </c>
      <c r="N42" s="1129"/>
      <c r="O42" s="1130"/>
    </row>
    <row r="43" spans="1:15" s="102" customFormat="1" ht="15" customHeight="1" x14ac:dyDescent="0.2">
      <c r="A43" s="1117" t="s">
        <v>195</v>
      </c>
      <c r="B43" s="1131" t="s">
        <v>196</v>
      </c>
      <c r="C43" s="118"/>
      <c r="D43" s="1073" t="s">
        <v>198</v>
      </c>
      <c r="E43" s="1074"/>
      <c r="F43" s="1075"/>
      <c r="G43" s="1073" t="s">
        <v>539</v>
      </c>
      <c r="H43" s="1074"/>
      <c r="I43" s="1075"/>
      <c r="J43" s="1076" t="s">
        <v>199</v>
      </c>
      <c r="K43" s="1077"/>
      <c r="L43" s="1078"/>
      <c r="M43" s="1076" t="s">
        <v>600</v>
      </c>
      <c r="N43" s="1077"/>
      <c r="O43" s="1078"/>
    </row>
    <row r="44" spans="1:15" s="122" customFormat="1" ht="15.75" customHeight="1" x14ac:dyDescent="0.2">
      <c r="A44" s="1118"/>
      <c r="B44" s="1131"/>
      <c r="C44" s="108" t="s">
        <v>1</v>
      </c>
      <c r="D44" s="1070" t="s">
        <v>207</v>
      </c>
      <c r="E44" s="1071"/>
      <c r="F44" s="1072"/>
      <c r="G44" s="1070" t="s">
        <v>207</v>
      </c>
      <c r="H44" s="1071"/>
      <c r="I44" s="1072"/>
      <c r="J44" s="1070" t="s">
        <v>207</v>
      </c>
      <c r="K44" s="1071"/>
      <c r="L44" s="1072"/>
      <c r="M44" s="1070" t="s">
        <v>179</v>
      </c>
      <c r="N44" s="1071"/>
      <c r="O44" s="1072"/>
    </row>
    <row r="45" spans="1:15" s="122" customFormat="1" ht="25.5" x14ac:dyDescent="0.2">
      <c r="A45" s="1119"/>
      <c r="B45" s="1131"/>
      <c r="C45" s="109"/>
      <c r="D45" s="378" t="s">
        <v>673</v>
      </c>
      <c r="E45" s="378" t="s">
        <v>674</v>
      </c>
      <c r="F45" s="378" t="s">
        <v>845</v>
      </c>
      <c r="G45" s="378" t="s">
        <v>673</v>
      </c>
      <c r="H45" s="378" t="s">
        <v>674</v>
      </c>
      <c r="I45" s="378" t="s">
        <v>845</v>
      </c>
      <c r="J45" s="378" t="s">
        <v>673</v>
      </c>
      <c r="K45" s="378" t="s">
        <v>674</v>
      </c>
      <c r="L45" s="378" t="s">
        <v>845</v>
      </c>
      <c r="M45" s="378" t="s">
        <v>673</v>
      </c>
      <c r="N45" s="378" t="s">
        <v>674</v>
      </c>
      <c r="O45" s="378" t="s">
        <v>845</v>
      </c>
    </row>
    <row r="46" spans="1:15" s="102" customFormat="1" ht="14.25" customHeight="1" x14ac:dyDescent="0.2">
      <c r="A46" s="119" t="s">
        <v>0</v>
      </c>
      <c r="B46" s="119" t="s">
        <v>300</v>
      </c>
      <c r="C46" s="120" t="s">
        <v>301</v>
      </c>
      <c r="D46" s="93">
        <f>M46*0.4</f>
        <v>8101480</v>
      </c>
      <c r="E46" s="93">
        <f>N46*0.45</f>
        <v>9024165</v>
      </c>
      <c r="F46" s="93">
        <v>8995602</v>
      </c>
      <c r="G46" s="93"/>
      <c r="H46" s="93"/>
      <c r="I46" s="93"/>
      <c r="J46" s="93">
        <f>M46*0.6</f>
        <v>12152220</v>
      </c>
      <c r="K46" s="93">
        <f>N46*0.55</f>
        <v>11029535</v>
      </c>
      <c r="L46" s="94">
        <v>10994625</v>
      </c>
      <c r="M46" s="94">
        <f>'aládolgozó számítások'!N5</f>
        <v>20253700</v>
      </c>
      <c r="N46" s="94">
        <f>'aládolgozó számítások'!O17-1700000</f>
        <v>20053700</v>
      </c>
      <c r="O46" s="93">
        <f>F46+I46+L46</f>
        <v>19990227</v>
      </c>
    </row>
    <row r="47" spans="1:15" s="102" customFormat="1" ht="14.25" customHeight="1" x14ac:dyDescent="0.2">
      <c r="A47" s="119" t="s">
        <v>6</v>
      </c>
      <c r="B47" s="119" t="s">
        <v>648</v>
      </c>
      <c r="C47" s="120" t="s">
        <v>649</v>
      </c>
      <c r="D47" s="93">
        <f>'aládolgozó számítások'!D6+'aládolgozó számítások'!E6+'aládolgozó számítások'!J6</f>
        <v>0</v>
      </c>
      <c r="E47" s="93">
        <f>N47*0.45</f>
        <v>245340</v>
      </c>
      <c r="F47" s="93">
        <v>245340</v>
      </c>
      <c r="G47" s="93"/>
      <c r="H47" s="93"/>
      <c r="I47" s="93"/>
      <c r="J47" s="93">
        <f>'aládolgozó számítások'!G6+'aládolgozó számítások'!H6+'aládolgozó számítások'!I6+'aládolgozó számítások'!K6+'aládolgozó számítások'!L6+'aládolgozó számítások'!M6</f>
        <v>0</v>
      </c>
      <c r="K47" s="93">
        <f>N47*0.55</f>
        <v>299860</v>
      </c>
      <c r="L47" s="94">
        <v>299860</v>
      </c>
      <c r="M47" s="94">
        <f t="shared" ref="M47:M59" si="10">D47+G47+J47</f>
        <v>0</v>
      </c>
      <c r="N47" s="94">
        <v>545200</v>
      </c>
      <c r="O47" s="93">
        <f t="shared" ref="O47:O103" si="11">F47+I47+L47</f>
        <v>545200</v>
      </c>
    </row>
    <row r="48" spans="1:15" s="102" customFormat="1" ht="14.25" customHeight="1" x14ac:dyDescent="0.2">
      <c r="A48" s="119" t="s">
        <v>14</v>
      </c>
      <c r="B48" s="119" t="s">
        <v>302</v>
      </c>
      <c r="C48" s="120" t="s">
        <v>303</v>
      </c>
      <c r="D48" s="93">
        <f>'aládolgozó számítások'!D7+'aládolgozó számítások'!E7+'aládolgozó számítások'!J7</f>
        <v>0</v>
      </c>
      <c r="E48" s="93">
        <f t="shared" ref="E48:E53" si="12">N48*0.45</f>
        <v>0</v>
      </c>
      <c r="F48" s="93"/>
      <c r="G48" s="93"/>
      <c r="H48" s="93"/>
      <c r="I48" s="93"/>
      <c r="J48" s="93">
        <f>'aládolgozó számítások'!G7+'aládolgozó számítások'!H7+'aládolgozó számítások'!I7+'aládolgozó számítások'!K7+'aládolgozó számítások'!L7+'aládolgozó számítások'!M7</f>
        <v>0</v>
      </c>
      <c r="K48" s="93">
        <f t="shared" ref="K48:K53" si="13">N48*0.55</f>
        <v>0</v>
      </c>
      <c r="L48" s="94"/>
      <c r="M48" s="94">
        <f t="shared" si="10"/>
        <v>0</v>
      </c>
      <c r="N48" s="94">
        <f>'aládolgozó számítások'!O19</f>
        <v>0</v>
      </c>
      <c r="O48" s="93">
        <f t="shared" si="11"/>
        <v>0</v>
      </c>
    </row>
    <row r="49" spans="1:15" s="102" customFormat="1" ht="14.25" customHeight="1" x14ac:dyDescent="0.2">
      <c r="A49" s="119" t="s">
        <v>17</v>
      </c>
      <c r="B49" s="119" t="s">
        <v>304</v>
      </c>
      <c r="C49" s="120" t="s">
        <v>305</v>
      </c>
      <c r="D49" s="93">
        <f>'aládolgozó számítások'!D8+'aládolgozó számítások'!E8+'aládolgozó számítások'!J8</f>
        <v>487200</v>
      </c>
      <c r="E49" s="93">
        <f t="shared" si="12"/>
        <v>219240</v>
      </c>
      <c r="F49" s="93">
        <v>219240</v>
      </c>
      <c r="G49" s="93"/>
      <c r="H49" s="93"/>
      <c r="I49" s="93"/>
      <c r="J49" s="93">
        <f>'aládolgozó számítások'!G8+'aládolgozó számítások'!H8+'aládolgozó számítások'!I8+'aládolgozó számítások'!K8+'aládolgozó számítások'!L8+'aládolgozó számítások'!M8</f>
        <v>0</v>
      </c>
      <c r="K49" s="93">
        <f t="shared" si="13"/>
        <v>267960</v>
      </c>
      <c r="L49" s="94">
        <v>267960</v>
      </c>
      <c r="M49" s="94">
        <f t="shared" si="10"/>
        <v>487200</v>
      </c>
      <c r="N49" s="94">
        <f>'aládolgozó számítások'!O20</f>
        <v>487200</v>
      </c>
      <c r="O49" s="93">
        <f t="shared" si="11"/>
        <v>487200</v>
      </c>
    </row>
    <row r="50" spans="1:15" s="102" customFormat="1" ht="14.25" customHeight="1" x14ac:dyDescent="0.2">
      <c r="A50" s="119" t="s">
        <v>33</v>
      </c>
      <c r="B50" s="119" t="s">
        <v>306</v>
      </c>
      <c r="C50" s="120" t="s">
        <v>607</v>
      </c>
      <c r="D50" s="93">
        <f>'aládolgozó számítások'!D9+'aládolgozó számítások'!E9+'aládolgozó számítások'!J9</f>
        <v>0</v>
      </c>
      <c r="E50" s="93">
        <f t="shared" si="12"/>
        <v>0</v>
      </c>
      <c r="F50" s="93"/>
      <c r="G50" s="93"/>
      <c r="H50" s="93"/>
      <c r="I50" s="93"/>
      <c r="J50" s="93">
        <f>'aládolgozó számítások'!G9+'aládolgozó számítások'!H9+'aládolgozó számítások'!I9+'aládolgozó számítások'!K9+'aládolgozó számítások'!L9+'aládolgozó számítások'!M9</f>
        <v>0</v>
      </c>
      <c r="K50" s="93">
        <f t="shared" si="13"/>
        <v>0</v>
      </c>
      <c r="L50" s="94"/>
      <c r="M50" s="94">
        <f t="shared" si="10"/>
        <v>0</v>
      </c>
      <c r="N50" s="94">
        <f>'aládolgozó számítások'!O21</f>
        <v>0</v>
      </c>
      <c r="O50" s="93">
        <f t="shared" si="11"/>
        <v>0</v>
      </c>
    </row>
    <row r="51" spans="1:15" s="102" customFormat="1" ht="14.25" customHeight="1" x14ac:dyDescent="0.2">
      <c r="A51" s="119" t="s">
        <v>35</v>
      </c>
      <c r="B51" s="119" t="s">
        <v>307</v>
      </c>
      <c r="C51" s="120" t="s">
        <v>308</v>
      </c>
      <c r="D51" s="93">
        <f>'aládolgozó számítások'!D10+'aládolgozó számítások'!E10+'aládolgozó számítások'!J10</f>
        <v>0</v>
      </c>
      <c r="E51" s="93">
        <f t="shared" si="12"/>
        <v>0</v>
      </c>
      <c r="F51" s="93"/>
      <c r="G51" s="93"/>
      <c r="H51" s="93"/>
      <c r="I51" s="93"/>
      <c r="J51" s="93">
        <f>'aládolgozó számítások'!G10+'aládolgozó számítások'!H10+'aládolgozó számítások'!I10+'aládolgozó számítások'!K10+'aládolgozó számítások'!L10+'aládolgozó számítások'!M10</f>
        <v>0</v>
      </c>
      <c r="K51" s="93">
        <f t="shared" si="13"/>
        <v>0</v>
      </c>
      <c r="L51" s="94"/>
      <c r="M51" s="94">
        <f t="shared" si="10"/>
        <v>0</v>
      </c>
      <c r="N51" s="94">
        <f>'aládolgozó számítások'!O22</f>
        <v>0</v>
      </c>
      <c r="O51" s="93">
        <f t="shared" si="11"/>
        <v>0</v>
      </c>
    </row>
    <row r="52" spans="1:15" s="102" customFormat="1" ht="14.25" customHeight="1" x14ac:dyDescent="0.2">
      <c r="A52" s="119" t="s">
        <v>30</v>
      </c>
      <c r="B52" s="119" t="s">
        <v>309</v>
      </c>
      <c r="C52" s="120" t="s">
        <v>310</v>
      </c>
      <c r="D52" s="93">
        <f>'aládolgozó számítások'!D11+'aládolgozó számítások'!E11+'aládolgozó számítások'!J11</f>
        <v>0</v>
      </c>
      <c r="E52" s="93">
        <f t="shared" si="12"/>
        <v>0</v>
      </c>
      <c r="F52" s="93"/>
      <c r="G52" s="93"/>
      <c r="H52" s="93"/>
      <c r="I52" s="93"/>
      <c r="J52" s="93">
        <f>'aládolgozó számítások'!G11+'aládolgozó számítások'!H11+'aládolgozó számítások'!I11+'aládolgozó számítások'!K11+'aládolgozó számítások'!L11+'aládolgozó számítások'!M11</f>
        <v>0</v>
      </c>
      <c r="K52" s="93">
        <f t="shared" si="13"/>
        <v>0</v>
      </c>
      <c r="L52" s="94"/>
      <c r="M52" s="94">
        <f t="shared" si="10"/>
        <v>0</v>
      </c>
      <c r="N52" s="94">
        <f>'aládolgozó számítások'!O23</f>
        <v>0</v>
      </c>
      <c r="O52" s="93">
        <f t="shared" si="11"/>
        <v>0</v>
      </c>
    </row>
    <row r="53" spans="1:15" s="102" customFormat="1" ht="14.25" customHeight="1" x14ac:dyDescent="0.2">
      <c r="A53" s="119" t="s">
        <v>18</v>
      </c>
      <c r="B53" s="119" t="s">
        <v>311</v>
      </c>
      <c r="C53" s="120" t="s">
        <v>605</v>
      </c>
      <c r="D53" s="93">
        <f>'aládolgozó számítások'!D12+'aládolgozó számítások'!E12+'aládolgozó számítások'!J12</f>
        <v>0</v>
      </c>
      <c r="E53" s="93">
        <f t="shared" si="12"/>
        <v>692209.8</v>
      </c>
      <c r="F53" s="93">
        <v>690979</v>
      </c>
      <c r="G53" s="93"/>
      <c r="H53" s="93"/>
      <c r="I53" s="93"/>
      <c r="J53" s="93">
        <f>'aládolgozó számítások'!G12+'aládolgozó számítások'!H12+'aládolgozó számítások'!I12+'aládolgozó számítások'!K12+'aládolgozó számítások'!L12+'aládolgozó számítások'!M12</f>
        <v>0</v>
      </c>
      <c r="K53" s="93">
        <f t="shared" si="13"/>
        <v>846034.20000000007</v>
      </c>
      <c r="L53" s="94">
        <v>844530</v>
      </c>
      <c r="M53" s="94">
        <f t="shared" si="10"/>
        <v>0</v>
      </c>
      <c r="N53" s="94">
        <v>1538244</v>
      </c>
      <c r="O53" s="93">
        <f t="shared" si="11"/>
        <v>1535509</v>
      </c>
    </row>
    <row r="54" spans="1:15" s="102" customFormat="1" ht="14.25" customHeight="1" x14ac:dyDescent="0.2">
      <c r="A54" s="119" t="s">
        <v>19</v>
      </c>
      <c r="B54" s="110" t="s">
        <v>458</v>
      </c>
      <c r="C54" s="111" t="s">
        <v>459</v>
      </c>
      <c r="D54" s="70">
        <f t="shared" ref="D54:L54" si="14">SUM(D46:D53)</f>
        <v>8588680</v>
      </c>
      <c r="E54" s="70">
        <f t="shared" si="14"/>
        <v>10180954.800000001</v>
      </c>
      <c r="F54" s="70">
        <f t="shared" si="14"/>
        <v>10151161</v>
      </c>
      <c r="G54" s="70">
        <f t="shared" si="14"/>
        <v>0</v>
      </c>
      <c r="H54" s="70">
        <f t="shared" si="14"/>
        <v>0</v>
      </c>
      <c r="I54" s="70">
        <f t="shared" si="14"/>
        <v>0</v>
      </c>
      <c r="J54" s="70">
        <f t="shared" si="14"/>
        <v>12152220</v>
      </c>
      <c r="K54" s="70">
        <f t="shared" si="14"/>
        <v>12443389.199999999</v>
      </c>
      <c r="L54" s="70">
        <f t="shared" si="14"/>
        <v>12406975</v>
      </c>
      <c r="M54" s="413">
        <f t="shared" si="10"/>
        <v>20740900</v>
      </c>
      <c r="N54" s="413">
        <f>E54+H54+K54</f>
        <v>22624344</v>
      </c>
      <c r="O54" s="416">
        <f t="shared" si="11"/>
        <v>22558136</v>
      </c>
    </row>
    <row r="55" spans="1:15" s="102" customFormat="1" ht="14.25" customHeight="1" x14ac:dyDescent="0.2">
      <c r="A55" s="119" t="s">
        <v>20</v>
      </c>
      <c r="B55" s="119" t="s">
        <v>314</v>
      </c>
      <c r="C55" s="120" t="s">
        <v>315</v>
      </c>
      <c r="D55" s="93"/>
      <c r="E55" s="93"/>
      <c r="F55" s="93"/>
      <c r="G55" s="93"/>
      <c r="H55" s="93"/>
      <c r="I55" s="93"/>
      <c r="J55" s="93"/>
      <c r="K55" s="94"/>
      <c r="L55" s="94"/>
      <c r="M55" s="94">
        <f t="shared" si="10"/>
        <v>0</v>
      </c>
      <c r="N55" s="94">
        <f>E55+H55+K55</f>
        <v>0</v>
      </c>
      <c r="O55" s="93">
        <f t="shared" si="11"/>
        <v>0</v>
      </c>
    </row>
    <row r="56" spans="1:15" s="102" customFormat="1" ht="14.25" customHeight="1" x14ac:dyDescent="0.2">
      <c r="A56" s="119" t="s">
        <v>21</v>
      </c>
      <c r="B56" s="119" t="s">
        <v>316</v>
      </c>
      <c r="C56" s="120" t="s">
        <v>317</v>
      </c>
      <c r="D56" s="93">
        <v>100000</v>
      </c>
      <c r="E56" s="93">
        <f>N56*0.5</f>
        <v>197000</v>
      </c>
      <c r="F56" s="93">
        <v>177300</v>
      </c>
      <c r="G56" s="93"/>
      <c r="H56" s="93"/>
      <c r="I56" s="93"/>
      <c r="J56" s="93">
        <v>100000</v>
      </c>
      <c r="K56" s="94">
        <f>N56*0.5</f>
        <v>197000</v>
      </c>
      <c r="L56" s="94">
        <v>216700</v>
      </c>
      <c r="M56" s="94">
        <f t="shared" si="10"/>
        <v>200000</v>
      </c>
      <c r="N56" s="94">
        <v>394000</v>
      </c>
      <c r="O56" s="93">
        <f t="shared" si="11"/>
        <v>394000</v>
      </c>
    </row>
    <row r="57" spans="1:15" s="102" customFormat="1" ht="14.25" customHeight="1" x14ac:dyDescent="0.2">
      <c r="A57" s="119" t="s">
        <v>31</v>
      </c>
      <c r="B57" s="110" t="s">
        <v>460</v>
      </c>
      <c r="C57" s="111" t="s">
        <v>461</v>
      </c>
      <c r="D57" s="70">
        <f t="shared" ref="D57:L57" si="15">SUM(D55:D56)</f>
        <v>100000</v>
      </c>
      <c r="E57" s="70">
        <f t="shared" si="15"/>
        <v>197000</v>
      </c>
      <c r="F57" s="70">
        <f t="shared" si="15"/>
        <v>177300</v>
      </c>
      <c r="G57" s="70">
        <f t="shared" si="15"/>
        <v>0</v>
      </c>
      <c r="H57" s="70">
        <f t="shared" si="15"/>
        <v>0</v>
      </c>
      <c r="I57" s="70">
        <f t="shared" si="15"/>
        <v>0</v>
      </c>
      <c r="J57" s="70">
        <f t="shared" si="15"/>
        <v>100000</v>
      </c>
      <c r="K57" s="70">
        <f t="shared" si="15"/>
        <v>197000</v>
      </c>
      <c r="L57" s="70">
        <f t="shared" si="15"/>
        <v>216700</v>
      </c>
      <c r="M57" s="413">
        <f t="shared" si="10"/>
        <v>200000</v>
      </c>
      <c r="N57" s="413">
        <f>E57+H57+K57</f>
        <v>394000</v>
      </c>
      <c r="O57" s="416">
        <f t="shared" si="11"/>
        <v>394000</v>
      </c>
    </row>
    <row r="58" spans="1:15" s="132" customFormat="1" ht="14.25" customHeight="1" x14ac:dyDescent="0.2">
      <c r="A58" s="119" t="s">
        <v>22</v>
      </c>
      <c r="B58" s="110" t="s">
        <v>318</v>
      </c>
      <c r="C58" s="111" t="s">
        <v>319</v>
      </c>
      <c r="D58" s="87">
        <f t="shared" ref="D58:L58" si="16">D54+D57</f>
        <v>8688680</v>
      </c>
      <c r="E58" s="87">
        <f t="shared" si="16"/>
        <v>10377954.800000001</v>
      </c>
      <c r="F58" s="87">
        <f t="shared" si="16"/>
        <v>10328461</v>
      </c>
      <c r="G58" s="87">
        <f t="shared" si="16"/>
        <v>0</v>
      </c>
      <c r="H58" s="87">
        <f t="shared" si="16"/>
        <v>0</v>
      </c>
      <c r="I58" s="87">
        <f t="shared" si="16"/>
        <v>0</v>
      </c>
      <c r="J58" s="87">
        <f t="shared" si="16"/>
        <v>12252220</v>
      </c>
      <c r="K58" s="87">
        <f t="shared" si="16"/>
        <v>12640389.199999999</v>
      </c>
      <c r="L58" s="87">
        <f t="shared" si="16"/>
        <v>12623675</v>
      </c>
      <c r="M58" s="413">
        <f t="shared" si="10"/>
        <v>20940900</v>
      </c>
      <c r="N58" s="413">
        <f>E58+H58+K58</f>
        <v>23018344</v>
      </c>
      <c r="O58" s="416">
        <f t="shared" si="11"/>
        <v>22952136</v>
      </c>
    </row>
    <row r="59" spans="1:15" s="122" customFormat="1" ht="14.25" customHeight="1" x14ac:dyDescent="0.2">
      <c r="A59" s="119" t="s">
        <v>24</v>
      </c>
      <c r="B59" s="107" t="s">
        <v>320</v>
      </c>
      <c r="C59" s="121" t="s">
        <v>713</v>
      </c>
      <c r="D59" s="69">
        <f>(D46+D49)*0.175</f>
        <v>1503019</v>
      </c>
      <c r="E59" s="69">
        <f>N59*0.45</f>
        <v>1632325.5989999999</v>
      </c>
      <c r="F59" s="69">
        <v>1632325</v>
      </c>
      <c r="G59" s="69"/>
      <c r="H59" s="69"/>
      <c r="I59" s="69"/>
      <c r="J59" s="69">
        <f>J46*0.175</f>
        <v>2126638.5</v>
      </c>
      <c r="K59" s="71">
        <f>N59*0.55</f>
        <v>1995064.621</v>
      </c>
      <c r="L59" s="71">
        <v>1995065</v>
      </c>
      <c r="M59" s="94">
        <f t="shared" si="10"/>
        <v>3629657.5</v>
      </c>
      <c r="N59" s="94">
        <f>'aládolgozó számítások'!P17*0.175+'aládolgozó számítások'!Q17*0.155+N53*0.175-258580</f>
        <v>3627390.2199999997</v>
      </c>
      <c r="O59" s="93">
        <f t="shared" si="11"/>
        <v>3627390</v>
      </c>
    </row>
    <row r="60" spans="1:15" s="122" customFormat="1" ht="14.25" customHeight="1" x14ac:dyDescent="0.2">
      <c r="A60" s="119" t="s">
        <v>39</v>
      </c>
      <c r="B60" s="107" t="s">
        <v>320</v>
      </c>
      <c r="C60" s="121" t="s">
        <v>714</v>
      </c>
      <c r="D60" s="69"/>
      <c r="E60" s="69">
        <f>N60*0.45</f>
        <v>73360.800000000003</v>
      </c>
      <c r="F60" s="69">
        <v>73361</v>
      </c>
      <c r="G60" s="69"/>
      <c r="H60" s="69"/>
      <c r="I60" s="69"/>
      <c r="J60" s="69"/>
      <c r="K60" s="71">
        <f>N60*0.55</f>
        <v>89663.200000000012</v>
      </c>
      <c r="L60" s="71">
        <v>89663</v>
      </c>
      <c r="M60" s="94">
        <v>0</v>
      </c>
      <c r="N60" s="94">
        <v>163024</v>
      </c>
      <c r="O60" s="93">
        <f t="shared" si="11"/>
        <v>163024</v>
      </c>
    </row>
    <row r="61" spans="1:15" s="122" customFormat="1" ht="14.25" customHeight="1" x14ac:dyDescent="0.2">
      <c r="A61" s="119" t="s">
        <v>40</v>
      </c>
      <c r="B61" s="107" t="s">
        <v>320</v>
      </c>
      <c r="C61" s="121" t="s">
        <v>650</v>
      </c>
      <c r="D61" s="69">
        <v>15000</v>
      </c>
      <c r="E61" s="69">
        <f>N61*0.45</f>
        <v>13950</v>
      </c>
      <c r="F61" s="69">
        <v>13950</v>
      </c>
      <c r="G61" s="69"/>
      <c r="H61" s="69"/>
      <c r="I61" s="69"/>
      <c r="J61" s="69">
        <v>15000</v>
      </c>
      <c r="K61" s="71">
        <f>N61*0.55</f>
        <v>17050</v>
      </c>
      <c r="L61" s="71">
        <v>17050</v>
      </c>
      <c r="M61" s="94">
        <f>D61+G61+J61</f>
        <v>30000</v>
      </c>
      <c r="N61" s="94">
        <v>31000</v>
      </c>
      <c r="O61" s="93">
        <f t="shared" si="11"/>
        <v>31000</v>
      </c>
    </row>
    <row r="62" spans="1:15" s="132" customFormat="1" ht="14.25" customHeight="1" x14ac:dyDescent="0.2">
      <c r="A62" s="119" t="s">
        <v>41</v>
      </c>
      <c r="B62" s="110" t="s">
        <v>320</v>
      </c>
      <c r="C62" s="111" t="s">
        <v>321</v>
      </c>
      <c r="D62" s="87">
        <f t="shared" ref="D62:L62" si="17">SUM(D59:D61)</f>
        <v>1518019</v>
      </c>
      <c r="E62" s="87">
        <f t="shared" si="17"/>
        <v>1719636.399</v>
      </c>
      <c r="F62" s="87">
        <f t="shared" si="17"/>
        <v>1719636</v>
      </c>
      <c r="G62" s="87">
        <f t="shared" si="17"/>
        <v>0</v>
      </c>
      <c r="H62" s="87">
        <f t="shared" si="17"/>
        <v>0</v>
      </c>
      <c r="I62" s="87">
        <f t="shared" si="17"/>
        <v>0</v>
      </c>
      <c r="J62" s="87">
        <f t="shared" si="17"/>
        <v>2141638.5</v>
      </c>
      <c r="K62" s="87">
        <f t="shared" si="17"/>
        <v>2101777.821</v>
      </c>
      <c r="L62" s="87">
        <f t="shared" si="17"/>
        <v>2101778</v>
      </c>
      <c r="M62" s="413">
        <f>D62+G62+J62</f>
        <v>3659657.5</v>
      </c>
      <c r="N62" s="413">
        <f>E62+H62+K62</f>
        <v>3821414.2199999997</v>
      </c>
      <c r="O62" s="416">
        <f t="shared" si="11"/>
        <v>3821414</v>
      </c>
    </row>
    <row r="63" spans="1:15" s="102" customFormat="1" ht="14.25" customHeight="1" x14ac:dyDescent="0.2">
      <c r="A63" s="119" t="s">
        <v>42</v>
      </c>
      <c r="B63" s="119" t="s">
        <v>322</v>
      </c>
      <c r="C63" s="120" t="s">
        <v>323</v>
      </c>
      <c r="D63" s="93">
        <v>10000</v>
      </c>
      <c r="E63" s="93">
        <f>N63*0.45</f>
        <v>4500</v>
      </c>
      <c r="F63" s="93">
        <v>1561</v>
      </c>
      <c r="G63" s="93"/>
      <c r="H63" s="93"/>
      <c r="I63" s="93"/>
      <c r="J63" s="93"/>
      <c r="K63" s="94">
        <f>N63*0.55</f>
        <v>5500</v>
      </c>
      <c r="L63" s="94">
        <v>1910</v>
      </c>
      <c r="M63" s="94">
        <f>D63+G63+J63</f>
        <v>10000</v>
      </c>
      <c r="N63" s="94">
        <v>10000</v>
      </c>
      <c r="O63" s="93">
        <f t="shared" si="11"/>
        <v>3471</v>
      </c>
    </row>
    <row r="64" spans="1:15" s="102" customFormat="1" ht="14.25" customHeight="1" x14ac:dyDescent="0.2">
      <c r="A64" s="119" t="s">
        <v>43</v>
      </c>
      <c r="B64" s="119" t="s">
        <v>324</v>
      </c>
      <c r="C64" s="120" t="s">
        <v>325</v>
      </c>
      <c r="D64" s="93">
        <f>'aládolgozó számítások'!D145</f>
        <v>13433580</v>
      </c>
      <c r="E64" s="93">
        <f>'aládolgozó számítások'!D194+5000000</f>
        <v>18960086</v>
      </c>
      <c r="F64" s="93">
        <v>18425736</v>
      </c>
      <c r="G64" s="93">
        <v>75000</v>
      </c>
      <c r="H64" s="93">
        <v>208783</v>
      </c>
      <c r="I64" s="93">
        <v>211877</v>
      </c>
      <c r="J64" s="93">
        <f>'aládolgozó számítások'!D154</f>
        <v>26285734.799999997</v>
      </c>
      <c r="K64" s="94">
        <f>'aládolgozó számítások'!D205-5811325</f>
        <v>22224981.399999999</v>
      </c>
      <c r="L64" s="94">
        <v>22520348</v>
      </c>
      <c r="M64" s="94">
        <f>D64+G64+J64</f>
        <v>39794314.799999997</v>
      </c>
      <c r="N64" s="94">
        <f>E64+H64+K64</f>
        <v>41393850.399999999</v>
      </c>
      <c r="O64" s="93">
        <f t="shared" si="11"/>
        <v>41157961</v>
      </c>
    </row>
    <row r="65" spans="1:15" s="132" customFormat="1" ht="14.25" customHeight="1" x14ac:dyDescent="0.2">
      <c r="A65" s="119" t="s">
        <v>44</v>
      </c>
      <c r="B65" s="110" t="s">
        <v>328</v>
      </c>
      <c r="C65" s="111" t="s">
        <v>329</v>
      </c>
      <c r="D65" s="87">
        <f t="shared" ref="D65:L65" si="18">SUM(D63:D64)</f>
        <v>13443580</v>
      </c>
      <c r="E65" s="87">
        <f t="shared" si="18"/>
        <v>18964586</v>
      </c>
      <c r="F65" s="87">
        <f t="shared" si="18"/>
        <v>18427297</v>
      </c>
      <c r="G65" s="87">
        <f t="shared" si="18"/>
        <v>75000</v>
      </c>
      <c r="H65" s="87">
        <f t="shared" si="18"/>
        <v>208783</v>
      </c>
      <c r="I65" s="87">
        <f t="shared" si="18"/>
        <v>211877</v>
      </c>
      <c r="J65" s="87">
        <f t="shared" si="18"/>
        <v>26285734.799999997</v>
      </c>
      <c r="K65" s="87">
        <f t="shared" si="18"/>
        <v>22230481.399999999</v>
      </c>
      <c r="L65" s="87">
        <f t="shared" si="18"/>
        <v>22522258</v>
      </c>
      <c r="M65" s="413">
        <f>D65+G65+J65</f>
        <v>39804314.799999997</v>
      </c>
      <c r="N65" s="413">
        <f>E65+H65+K65</f>
        <v>41403850.399999999</v>
      </c>
      <c r="O65" s="416">
        <f t="shared" si="11"/>
        <v>41161432</v>
      </c>
    </row>
    <row r="66" spans="1:15" s="102" customFormat="1" ht="14.25" customHeight="1" x14ac:dyDescent="0.2">
      <c r="A66" s="119" t="s">
        <v>45</v>
      </c>
      <c r="B66" s="119" t="s">
        <v>330</v>
      </c>
      <c r="C66" s="120" t="s">
        <v>331</v>
      </c>
      <c r="D66" s="93">
        <f>M66*0.4</f>
        <v>152000</v>
      </c>
      <c r="E66" s="93">
        <f>N66*0.45</f>
        <v>171589.5</v>
      </c>
      <c r="F66" s="93">
        <v>171590</v>
      </c>
      <c r="G66" s="93"/>
      <c r="H66" s="93"/>
      <c r="I66" s="93"/>
      <c r="J66" s="93">
        <f>M66*0.6</f>
        <v>228000</v>
      </c>
      <c r="K66" s="93">
        <f>N66*0.55</f>
        <v>209720.50000000003</v>
      </c>
      <c r="L66" s="94">
        <v>209720</v>
      </c>
      <c r="M66" s="94">
        <v>380000</v>
      </c>
      <c r="N66" s="94">
        <v>381310</v>
      </c>
      <c r="O66" s="93">
        <f t="shared" si="11"/>
        <v>381310</v>
      </c>
    </row>
    <row r="67" spans="1:15" s="102" customFormat="1" ht="14.25" customHeight="1" x14ac:dyDescent="0.2">
      <c r="A67" s="119" t="s">
        <v>46</v>
      </c>
      <c r="B67" s="119" t="s">
        <v>332</v>
      </c>
      <c r="C67" s="120" t="s">
        <v>333</v>
      </c>
      <c r="D67" s="93">
        <f>M67*0.4</f>
        <v>32000</v>
      </c>
      <c r="E67" s="93">
        <f>N67*0.45</f>
        <v>36000</v>
      </c>
      <c r="F67" s="93">
        <v>22758</v>
      </c>
      <c r="G67" s="93"/>
      <c r="H67" s="93"/>
      <c r="I67" s="93"/>
      <c r="J67" s="93">
        <f>M67*0.6</f>
        <v>48000</v>
      </c>
      <c r="K67" s="93">
        <f>N67*0.55</f>
        <v>44000</v>
      </c>
      <c r="L67" s="94">
        <v>27814</v>
      </c>
      <c r="M67" s="94">
        <v>80000</v>
      </c>
      <c r="N67" s="94">
        <v>80000</v>
      </c>
      <c r="O67" s="93">
        <f t="shared" si="11"/>
        <v>50572</v>
      </c>
    </row>
    <row r="68" spans="1:15" s="132" customFormat="1" ht="14.25" customHeight="1" x14ac:dyDescent="0.2">
      <c r="A68" s="119" t="s">
        <v>47</v>
      </c>
      <c r="B68" s="110" t="s">
        <v>334</v>
      </c>
      <c r="C68" s="111" t="s">
        <v>335</v>
      </c>
      <c r="D68" s="87">
        <f t="shared" ref="D68:L68" si="19">SUM(D66:D67)</f>
        <v>184000</v>
      </c>
      <c r="E68" s="87">
        <f t="shared" si="19"/>
        <v>207589.5</v>
      </c>
      <c r="F68" s="87">
        <f t="shared" si="19"/>
        <v>194348</v>
      </c>
      <c r="G68" s="87">
        <f t="shared" si="19"/>
        <v>0</v>
      </c>
      <c r="H68" s="87">
        <f t="shared" si="19"/>
        <v>0</v>
      </c>
      <c r="I68" s="87">
        <f t="shared" si="19"/>
        <v>0</v>
      </c>
      <c r="J68" s="87">
        <f t="shared" si="19"/>
        <v>276000</v>
      </c>
      <c r="K68" s="87">
        <f t="shared" si="19"/>
        <v>253720.50000000003</v>
      </c>
      <c r="L68" s="87">
        <f t="shared" si="19"/>
        <v>237534</v>
      </c>
      <c r="M68" s="413">
        <f>D68+G68+J68</f>
        <v>460000</v>
      </c>
      <c r="N68" s="413">
        <f>E68+H68+K68</f>
        <v>461310</v>
      </c>
      <c r="O68" s="416">
        <f t="shared" si="11"/>
        <v>431882</v>
      </c>
    </row>
    <row r="69" spans="1:15" s="131" customFormat="1" ht="14.25" customHeight="1" x14ac:dyDescent="0.2">
      <c r="A69" s="119" t="s">
        <v>50</v>
      </c>
      <c r="B69" s="123" t="s">
        <v>336</v>
      </c>
      <c r="C69" s="124" t="s">
        <v>337</v>
      </c>
      <c r="D69" s="95">
        <f>M69*0.4</f>
        <v>320000</v>
      </c>
      <c r="E69" s="95">
        <f>N69*0.45</f>
        <v>382500</v>
      </c>
      <c r="F69" s="95">
        <v>380565</v>
      </c>
      <c r="G69" s="95"/>
      <c r="H69" s="95"/>
      <c r="I69" s="95"/>
      <c r="J69" s="95">
        <f>M69*0.6</f>
        <v>480000</v>
      </c>
      <c r="K69" s="95">
        <f>N69*0.55</f>
        <v>467500.00000000006</v>
      </c>
      <c r="L69" s="140">
        <v>465134</v>
      </c>
      <c r="M69" s="140">
        <v>800000</v>
      </c>
      <c r="N69" s="140">
        <v>850000</v>
      </c>
      <c r="O69" s="93">
        <f t="shared" si="11"/>
        <v>845699</v>
      </c>
    </row>
    <row r="70" spans="1:15" s="131" customFormat="1" ht="14.25" customHeight="1" x14ac:dyDescent="0.2">
      <c r="A70" s="119" t="s">
        <v>52</v>
      </c>
      <c r="B70" s="123" t="s">
        <v>338</v>
      </c>
      <c r="C70" s="124" t="s">
        <v>339</v>
      </c>
      <c r="D70" s="95">
        <f>M70*0.4</f>
        <v>440000</v>
      </c>
      <c r="E70" s="95">
        <f>N70*0.45</f>
        <v>405000</v>
      </c>
      <c r="F70" s="95">
        <v>404558</v>
      </c>
      <c r="G70" s="95"/>
      <c r="H70" s="95"/>
      <c r="I70" s="95"/>
      <c r="J70" s="95">
        <f>M70*0.6</f>
        <v>660000</v>
      </c>
      <c r="K70" s="95">
        <f>N70*0.55</f>
        <v>495000.00000000006</v>
      </c>
      <c r="L70" s="140">
        <v>494460</v>
      </c>
      <c r="M70" s="140">
        <v>1100000</v>
      </c>
      <c r="N70" s="140">
        <v>900000</v>
      </c>
      <c r="O70" s="93">
        <f t="shared" si="11"/>
        <v>899018</v>
      </c>
    </row>
    <row r="71" spans="1:15" s="131" customFormat="1" ht="14.25" customHeight="1" x14ac:dyDescent="0.2">
      <c r="A71" s="119" t="s">
        <v>54</v>
      </c>
      <c r="B71" s="123" t="s">
        <v>340</v>
      </c>
      <c r="C71" s="124" t="s">
        <v>341</v>
      </c>
      <c r="D71" s="95">
        <f>M71*0.4</f>
        <v>180000</v>
      </c>
      <c r="E71" s="95">
        <f>N71*0.45</f>
        <v>202500</v>
      </c>
      <c r="F71" s="95">
        <v>180352</v>
      </c>
      <c r="G71" s="95"/>
      <c r="H71" s="95"/>
      <c r="I71" s="95"/>
      <c r="J71" s="95">
        <f>M71*0.6</f>
        <v>270000</v>
      </c>
      <c r="K71" s="95">
        <f>N71*0.55</f>
        <v>247500.00000000003</v>
      </c>
      <c r="L71" s="140">
        <v>220430</v>
      </c>
      <c r="M71" s="140">
        <v>450000</v>
      </c>
      <c r="N71" s="140">
        <v>450000</v>
      </c>
      <c r="O71" s="93">
        <f t="shared" si="11"/>
        <v>400782</v>
      </c>
    </row>
    <row r="72" spans="1:15" s="102" customFormat="1" ht="14.25" customHeight="1" x14ac:dyDescent="0.2">
      <c r="A72" s="119" t="s">
        <v>56</v>
      </c>
      <c r="B72" s="119" t="s">
        <v>342</v>
      </c>
      <c r="C72" s="120" t="s">
        <v>343</v>
      </c>
      <c r="D72" s="93">
        <f t="shared" ref="D72:L72" si="20">SUM(D69:D71)</f>
        <v>940000</v>
      </c>
      <c r="E72" s="93">
        <f t="shared" si="20"/>
        <v>990000</v>
      </c>
      <c r="F72" s="93">
        <f t="shared" si="20"/>
        <v>965475</v>
      </c>
      <c r="G72" s="93">
        <f t="shared" si="20"/>
        <v>0</v>
      </c>
      <c r="H72" s="93">
        <f t="shared" si="20"/>
        <v>0</v>
      </c>
      <c r="I72" s="93">
        <f t="shared" si="20"/>
        <v>0</v>
      </c>
      <c r="J72" s="93">
        <f t="shared" si="20"/>
        <v>1410000</v>
      </c>
      <c r="K72" s="93">
        <f t="shared" si="20"/>
        <v>1210000.0000000002</v>
      </c>
      <c r="L72" s="93">
        <f t="shared" si="20"/>
        <v>1180024</v>
      </c>
      <c r="M72" s="94">
        <f>D72+G72+J72</f>
        <v>2350000</v>
      </c>
      <c r="N72" s="94">
        <f>E72+H72+K72</f>
        <v>2200000</v>
      </c>
      <c r="O72" s="93">
        <f t="shared" si="11"/>
        <v>2145499</v>
      </c>
    </row>
    <row r="73" spans="1:15" s="102" customFormat="1" ht="14.25" customHeight="1" x14ac:dyDescent="0.2">
      <c r="A73" s="119" t="s">
        <v>57</v>
      </c>
      <c r="B73" s="119" t="s">
        <v>344</v>
      </c>
      <c r="C73" s="120" t="s">
        <v>345</v>
      </c>
      <c r="D73" s="93">
        <f>M73*0.4</f>
        <v>80000</v>
      </c>
      <c r="E73" s="93">
        <f>N73*0.45</f>
        <v>360209.25</v>
      </c>
      <c r="F73" s="93">
        <v>360209</v>
      </c>
      <c r="G73" s="93"/>
      <c r="H73" s="93"/>
      <c r="I73" s="93"/>
      <c r="J73" s="93">
        <f>M73*0.6</f>
        <v>120000</v>
      </c>
      <c r="K73" s="94">
        <f>N73*0.55</f>
        <v>440255.75000000006</v>
      </c>
      <c r="L73" s="94">
        <v>440256</v>
      </c>
      <c r="M73" s="94">
        <v>200000</v>
      </c>
      <c r="N73" s="94">
        <v>800465</v>
      </c>
      <c r="O73" s="93">
        <f t="shared" si="11"/>
        <v>800465</v>
      </c>
    </row>
    <row r="74" spans="1:15" s="102" customFormat="1" ht="14.25" customHeight="1" x14ac:dyDescent="0.2">
      <c r="A74" s="119" t="s">
        <v>58</v>
      </c>
      <c r="B74" s="119" t="s">
        <v>346</v>
      </c>
      <c r="C74" s="125" t="s">
        <v>347</v>
      </c>
      <c r="D74" s="93">
        <f>M74*0.3845</f>
        <v>0</v>
      </c>
      <c r="E74" s="93"/>
      <c r="F74" s="93"/>
      <c r="G74" s="93"/>
      <c r="H74" s="93"/>
      <c r="I74" s="93"/>
      <c r="J74" s="93">
        <f>M74*0.6155</f>
        <v>0</v>
      </c>
      <c r="K74" s="94"/>
      <c r="L74" s="94"/>
      <c r="M74" s="94">
        <v>0</v>
      </c>
      <c r="N74" s="94">
        <v>0</v>
      </c>
      <c r="O74" s="93">
        <f t="shared" si="11"/>
        <v>0</v>
      </c>
    </row>
    <row r="75" spans="1:15" s="102" customFormat="1" ht="14.25" customHeight="1" x14ac:dyDescent="0.2">
      <c r="A75" s="119" t="s">
        <v>59</v>
      </c>
      <c r="B75" s="119" t="s">
        <v>348</v>
      </c>
      <c r="C75" s="125" t="s">
        <v>349</v>
      </c>
      <c r="D75" s="93">
        <f>M75*0.4</f>
        <v>200000</v>
      </c>
      <c r="E75" s="93">
        <f>N75*0.45</f>
        <v>225000</v>
      </c>
      <c r="F75" s="93">
        <v>185649</v>
      </c>
      <c r="G75" s="93"/>
      <c r="H75" s="93"/>
      <c r="I75" s="93"/>
      <c r="J75" s="93">
        <f>M75*0.6</f>
        <v>300000</v>
      </c>
      <c r="K75" s="94">
        <f>N75*0.55</f>
        <v>275000</v>
      </c>
      <c r="L75" s="94">
        <v>226903</v>
      </c>
      <c r="M75" s="94">
        <v>500000</v>
      </c>
      <c r="N75" s="94">
        <v>500000</v>
      </c>
      <c r="O75" s="93">
        <f t="shared" si="11"/>
        <v>412552</v>
      </c>
    </row>
    <row r="76" spans="1:15" s="102" customFormat="1" ht="14.25" customHeight="1" x14ac:dyDescent="0.2">
      <c r="A76" s="119" t="s">
        <v>65</v>
      </c>
      <c r="B76" s="119" t="s">
        <v>350</v>
      </c>
      <c r="C76" s="125" t="s">
        <v>351</v>
      </c>
      <c r="D76" s="93"/>
      <c r="E76" s="93"/>
      <c r="F76" s="93"/>
      <c r="G76" s="93"/>
      <c r="H76" s="93"/>
      <c r="I76" s="93"/>
      <c r="J76" s="93">
        <v>0</v>
      </c>
      <c r="K76" s="94"/>
      <c r="L76" s="94"/>
      <c r="M76" s="94">
        <f>D76+G76+J76</f>
        <v>0</v>
      </c>
      <c r="N76" s="94">
        <f>E76+H76+K76</f>
        <v>0</v>
      </c>
      <c r="O76" s="93">
        <f t="shared" si="11"/>
        <v>0</v>
      </c>
    </row>
    <row r="77" spans="1:15" s="102" customFormat="1" ht="14.25" customHeight="1" x14ac:dyDescent="0.2">
      <c r="A77" s="119" t="s">
        <v>78</v>
      </c>
      <c r="B77" s="119" t="s">
        <v>352</v>
      </c>
      <c r="C77" s="125" t="s">
        <v>353</v>
      </c>
      <c r="D77" s="93"/>
      <c r="E77" s="93"/>
      <c r="F77" s="93"/>
      <c r="G77" s="93"/>
      <c r="H77" s="93"/>
      <c r="I77" s="93"/>
      <c r="J77" s="93"/>
      <c r="K77" s="94"/>
      <c r="L77" s="94"/>
      <c r="M77" s="94">
        <f>D77+G77+J77</f>
        <v>0</v>
      </c>
      <c r="N77" s="94">
        <f>E77+H77+K77</f>
        <v>0</v>
      </c>
      <c r="O77" s="93">
        <f t="shared" si="11"/>
        <v>0</v>
      </c>
    </row>
    <row r="78" spans="1:15" s="102" customFormat="1" ht="14.25" customHeight="1" x14ac:dyDescent="0.2">
      <c r="A78" s="119" t="s">
        <v>79</v>
      </c>
      <c r="B78" s="119" t="s">
        <v>354</v>
      </c>
      <c r="C78" s="125" t="s">
        <v>355</v>
      </c>
      <c r="D78" s="93">
        <f>M78*0.4</f>
        <v>400000</v>
      </c>
      <c r="E78" s="93">
        <f>N78*0.45</f>
        <v>466833.60000000003</v>
      </c>
      <c r="F78" s="93">
        <v>438646</v>
      </c>
      <c r="G78" s="93"/>
      <c r="H78" s="93"/>
      <c r="I78" s="93"/>
      <c r="J78" s="93">
        <f>M78*0.6</f>
        <v>600000</v>
      </c>
      <c r="K78" s="93">
        <f>N78*0.55</f>
        <v>570574.4</v>
      </c>
      <c r="L78" s="94">
        <v>536122</v>
      </c>
      <c r="M78" s="94">
        <v>1000000</v>
      </c>
      <c r="N78" s="94">
        <v>1037408</v>
      </c>
      <c r="O78" s="93">
        <f t="shared" si="11"/>
        <v>974768</v>
      </c>
    </row>
    <row r="79" spans="1:15" s="132" customFormat="1" ht="14.25" customHeight="1" x14ac:dyDescent="0.2">
      <c r="A79" s="119" t="s">
        <v>80</v>
      </c>
      <c r="B79" s="110" t="s">
        <v>356</v>
      </c>
      <c r="C79" s="113" t="s">
        <v>357</v>
      </c>
      <c r="D79" s="87">
        <f t="shared" ref="D79:L79" si="21">SUM(D72:D78)</f>
        <v>1620000</v>
      </c>
      <c r="E79" s="87">
        <f t="shared" si="21"/>
        <v>2042042.85</v>
      </c>
      <c r="F79" s="87">
        <f t="shared" si="21"/>
        <v>1949979</v>
      </c>
      <c r="G79" s="87">
        <f t="shared" si="21"/>
        <v>0</v>
      </c>
      <c r="H79" s="87">
        <f t="shared" si="21"/>
        <v>0</v>
      </c>
      <c r="I79" s="87">
        <f t="shared" si="21"/>
        <v>0</v>
      </c>
      <c r="J79" s="87">
        <f t="shared" si="21"/>
        <v>2430000</v>
      </c>
      <c r="K79" s="87">
        <f t="shared" si="21"/>
        <v>2495830.1500000004</v>
      </c>
      <c r="L79" s="87">
        <f t="shared" si="21"/>
        <v>2383305</v>
      </c>
      <c r="M79" s="92">
        <f>D79+G79+J79</f>
        <v>4050000</v>
      </c>
      <c r="N79" s="92">
        <f>E79+H79+K79</f>
        <v>4537873</v>
      </c>
      <c r="O79" s="416">
        <f t="shared" si="11"/>
        <v>4333284</v>
      </c>
    </row>
    <row r="80" spans="1:15" s="132" customFormat="1" ht="14.25" customHeight="1" x14ac:dyDescent="0.2">
      <c r="A80" s="119" t="s">
        <v>81</v>
      </c>
      <c r="B80" s="110" t="s">
        <v>358</v>
      </c>
      <c r="C80" s="113" t="s">
        <v>359</v>
      </c>
      <c r="D80" s="87">
        <v>30000</v>
      </c>
      <c r="E80" s="87">
        <f>N80*0.45</f>
        <v>13500</v>
      </c>
      <c r="F80" s="87">
        <v>5912</v>
      </c>
      <c r="G80" s="87"/>
      <c r="H80" s="87"/>
      <c r="I80" s="87"/>
      <c r="J80" s="87"/>
      <c r="K80" s="92">
        <f>N80*0.55</f>
        <v>16500</v>
      </c>
      <c r="L80" s="92">
        <v>7226</v>
      </c>
      <c r="M80" s="92">
        <f>D80+G80+J80</f>
        <v>30000</v>
      </c>
      <c r="N80" s="92">
        <v>30000</v>
      </c>
      <c r="O80" s="416">
        <f t="shared" si="11"/>
        <v>13138</v>
      </c>
    </row>
    <row r="81" spans="1:15" s="132" customFormat="1" ht="14.25" customHeight="1" x14ac:dyDescent="0.2">
      <c r="A81" s="119" t="s">
        <v>82</v>
      </c>
      <c r="B81" s="110" t="s">
        <v>360</v>
      </c>
      <c r="C81" s="113" t="s">
        <v>361</v>
      </c>
      <c r="D81" s="87"/>
      <c r="E81" s="87"/>
      <c r="F81" s="87"/>
      <c r="G81" s="87"/>
      <c r="H81" s="87"/>
      <c r="I81" s="87"/>
      <c r="J81" s="87"/>
      <c r="K81" s="92"/>
      <c r="L81" s="92"/>
      <c r="M81" s="92">
        <f>D81+G81+J81</f>
        <v>0</v>
      </c>
      <c r="N81" s="92">
        <f>E81+H81+K81</f>
        <v>0</v>
      </c>
      <c r="O81" s="416">
        <f t="shared" si="11"/>
        <v>0</v>
      </c>
    </row>
    <row r="82" spans="1:15" s="102" customFormat="1" ht="14.25" customHeight="1" x14ac:dyDescent="0.2">
      <c r="A82" s="119" t="s">
        <v>83</v>
      </c>
      <c r="B82" s="119" t="s">
        <v>362</v>
      </c>
      <c r="C82" s="125" t="s">
        <v>363</v>
      </c>
      <c r="D82" s="93">
        <f>'aládolgozó számítások'!I145+(D68+D79-300000)*0.27</f>
        <v>2796179.142</v>
      </c>
      <c r="E82" s="93">
        <f>'aládolgozó számítások'!I194+(E68+E79)*0.27+775000</f>
        <v>3865868.7799000004</v>
      </c>
      <c r="F82" s="93">
        <v>3821011</v>
      </c>
      <c r="G82" s="93">
        <f>G65*0.27</f>
        <v>20250</v>
      </c>
      <c r="H82" s="93">
        <f>H65*0.05</f>
        <v>10439.150000000001</v>
      </c>
      <c r="I82" s="93">
        <v>12979</v>
      </c>
      <c r="J82" s="93">
        <f>'aládolgozó számítások'!I154+(J68+J79-300000)*0.27</f>
        <v>5352137.95572</v>
      </c>
      <c r="K82" s="93">
        <f>'aládolgozó számítások'!I205+(K68+K79)*0.27-1025816</f>
        <v>4732257.8904600004</v>
      </c>
      <c r="L82" s="94">
        <v>4670121</v>
      </c>
      <c r="M82" s="94">
        <f>D82+G82+J82</f>
        <v>8168567.09772</v>
      </c>
      <c r="N82" s="94">
        <f>E82+H82+K82</f>
        <v>8608565.8203600012</v>
      </c>
      <c r="O82" s="93">
        <f t="shared" si="11"/>
        <v>8504111</v>
      </c>
    </row>
    <row r="83" spans="1:15" s="102" customFormat="1" ht="14.25" customHeight="1" x14ac:dyDescent="0.2">
      <c r="A83" s="119" t="s">
        <v>84</v>
      </c>
      <c r="B83" s="119" t="s">
        <v>364</v>
      </c>
      <c r="C83" s="125" t="s">
        <v>365</v>
      </c>
      <c r="D83" s="93">
        <f>M83*0.4</f>
        <v>2120000</v>
      </c>
      <c r="E83" s="93">
        <f>N83*0.45</f>
        <v>2610000</v>
      </c>
      <c r="F83" s="93">
        <v>2074500</v>
      </c>
      <c r="G83" s="93"/>
      <c r="H83" s="93"/>
      <c r="I83" s="93"/>
      <c r="J83" s="93">
        <f>M83*0.6</f>
        <v>3180000</v>
      </c>
      <c r="K83" s="93">
        <f>N83*0.55</f>
        <v>3190000.0000000005</v>
      </c>
      <c r="L83" s="94">
        <v>2535500</v>
      </c>
      <c r="M83" s="94">
        <v>5300000</v>
      </c>
      <c r="N83" s="94">
        <v>5800000</v>
      </c>
      <c r="O83" s="93">
        <f t="shared" si="11"/>
        <v>4610000</v>
      </c>
    </row>
    <row r="84" spans="1:15" s="102" customFormat="1" ht="14.25" customHeight="1" x14ac:dyDescent="0.2">
      <c r="A84" s="119" t="s">
        <v>85</v>
      </c>
      <c r="B84" s="119" t="s">
        <v>366</v>
      </c>
      <c r="C84" s="125" t="s">
        <v>367</v>
      </c>
      <c r="D84" s="93"/>
      <c r="E84" s="93"/>
      <c r="F84" s="93"/>
      <c r="G84" s="93"/>
      <c r="H84" s="93"/>
      <c r="I84" s="93"/>
      <c r="J84" s="93"/>
      <c r="K84" s="94"/>
      <c r="L84" s="94"/>
      <c r="M84" s="94">
        <f>SUM(D84:J84)</f>
        <v>0</v>
      </c>
      <c r="N84" s="94">
        <f t="shared" ref="N84:N93" si="22">E84+H84+K84</f>
        <v>0</v>
      </c>
      <c r="O84" s="93">
        <f t="shared" si="11"/>
        <v>0</v>
      </c>
    </row>
    <row r="85" spans="1:15" s="102" customFormat="1" ht="14.25" customHeight="1" x14ac:dyDescent="0.2">
      <c r="A85" s="119" t="s">
        <v>86</v>
      </c>
      <c r="B85" s="119" t="s">
        <v>368</v>
      </c>
      <c r="C85" s="125" t="s">
        <v>369</v>
      </c>
      <c r="D85" s="93"/>
      <c r="E85" s="93"/>
      <c r="F85" s="93"/>
      <c r="G85" s="93"/>
      <c r="H85" s="93"/>
      <c r="I85" s="93"/>
      <c r="J85" s="93"/>
      <c r="K85" s="94"/>
      <c r="L85" s="94"/>
      <c r="M85" s="94">
        <f>SUM(D85:J85)</f>
        <v>0</v>
      </c>
      <c r="N85" s="94">
        <f t="shared" si="22"/>
        <v>0</v>
      </c>
      <c r="O85" s="93">
        <f t="shared" si="11"/>
        <v>0</v>
      </c>
    </row>
    <row r="86" spans="1:15" s="102" customFormat="1" ht="14.25" customHeight="1" x14ac:dyDescent="0.2">
      <c r="A86" s="119" t="s">
        <v>87</v>
      </c>
      <c r="B86" s="119" t="s">
        <v>370</v>
      </c>
      <c r="C86" s="125" t="s">
        <v>371</v>
      </c>
      <c r="D86" s="93">
        <v>100</v>
      </c>
      <c r="E86" s="93">
        <v>100</v>
      </c>
      <c r="F86" s="93">
        <v>2</v>
      </c>
      <c r="G86" s="93"/>
      <c r="H86" s="93"/>
      <c r="I86" s="93"/>
      <c r="J86" s="93">
        <v>100</v>
      </c>
      <c r="K86" s="94">
        <v>100</v>
      </c>
      <c r="L86" s="94">
        <v>2</v>
      </c>
      <c r="M86" s="94">
        <f>D86+G86+J86</f>
        <v>200</v>
      </c>
      <c r="N86" s="94">
        <f t="shared" si="22"/>
        <v>200</v>
      </c>
      <c r="O86" s="93">
        <f t="shared" si="11"/>
        <v>4</v>
      </c>
    </row>
    <row r="87" spans="1:15" s="132" customFormat="1" ht="14.25" customHeight="1" x14ac:dyDescent="0.2">
      <c r="A87" s="119" t="s">
        <v>88</v>
      </c>
      <c r="B87" s="110" t="s">
        <v>372</v>
      </c>
      <c r="C87" s="111" t="s">
        <v>373</v>
      </c>
      <c r="D87" s="87">
        <f t="shared" ref="D87:L87" si="23">SUM(D82:D86)</f>
        <v>4916279.142</v>
      </c>
      <c r="E87" s="87">
        <f t="shared" si="23"/>
        <v>6475968.7799000004</v>
      </c>
      <c r="F87" s="87">
        <f t="shared" si="23"/>
        <v>5895513</v>
      </c>
      <c r="G87" s="87">
        <f t="shared" si="23"/>
        <v>20250</v>
      </c>
      <c r="H87" s="87">
        <f t="shared" si="23"/>
        <v>10439.150000000001</v>
      </c>
      <c r="I87" s="87">
        <f t="shared" si="23"/>
        <v>12979</v>
      </c>
      <c r="J87" s="87">
        <f t="shared" si="23"/>
        <v>8532237.95572</v>
      </c>
      <c r="K87" s="87">
        <f t="shared" si="23"/>
        <v>7922357.8904600013</v>
      </c>
      <c r="L87" s="87">
        <f t="shared" si="23"/>
        <v>7205623</v>
      </c>
      <c r="M87" s="92">
        <f>D87+G87+J87</f>
        <v>13468767.097720001</v>
      </c>
      <c r="N87" s="413">
        <f t="shared" si="22"/>
        <v>14408765.820360001</v>
      </c>
      <c r="O87" s="416">
        <f t="shared" si="11"/>
        <v>13114115</v>
      </c>
    </row>
    <row r="88" spans="1:15" s="132" customFormat="1" ht="14.25" customHeight="1" x14ac:dyDescent="0.2">
      <c r="A88" s="119" t="s">
        <v>105</v>
      </c>
      <c r="B88" s="110" t="s">
        <v>374</v>
      </c>
      <c r="C88" s="111" t="s">
        <v>375</v>
      </c>
      <c r="D88" s="87">
        <f>D65+D68+D79+D80+D81+D87</f>
        <v>20193859.142000001</v>
      </c>
      <c r="E88" s="87">
        <f>E65+E68+E79+E80+E81+E87</f>
        <v>27703687.129900001</v>
      </c>
      <c r="F88" s="87">
        <f t="shared" ref="F88:L88" si="24">F65+F68+F79+F80+F81+F87</f>
        <v>26473049</v>
      </c>
      <c r="G88" s="87">
        <f t="shared" si="24"/>
        <v>95250</v>
      </c>
      <c r="H88" s="87">
        <f t="shared" si="24"/>
        <v>219222.15</v>
      </c>
      <c r="I88" s="87">
        <f t="shared" si="24"/>
        <v>224856</v>
      </c>
      <c r="J88" s="87">
        <f t="shared" si="24"/>
        <v>37523972.755719997</v>
      </c>
      <c r="K88" s="87">
        <f t="shared" si="24"/>
        <v>32918889.940459996</v>
      </c>
      <c r="L88" s="87">
        <f t="shared" si="24"/>
        <v>32355946</v>
      </c>
      <c r="M88" s="92">
        <f>D88+G88+J88</f>
        <v>57813081.897719994</v>
      </c>
      <c r="N88" s="413">
        <f t="shared" si="22"/>
        <v>60841799.220359996</v>
      </c>
      <c r="O88" s="416">
        <f t="shared" si="11"/>
        <v>59053851</v>
      </c>
    </row>
    <row r="89" spans="1:15" s="102" customFormat="1" ht="14.25" customHeight="1" x14ac:dyDescent="0.2">
      <c r="A89" s="119" t="s">
        <v>106</v>
      </c>
      <c r="B89" s="119" t="s">
        <v>390</v>
      </c>
      <c r="C89" s="125" t="s">
        <v>98</v>
      </c>
      <c r="D89" s="93"/>
      <c r="E89" s="93"/>
      <c r="F89" s="93"/>
      <c r="G89" s="93"/>
      <c r="H89" s="93"/>
      <c r="I89" s="93"/>
      <c r="J89" s="93"/>
      <c r="K89" s="94"/>
      <c r="L89" s="94"/>
      <c r="M89" s="94">
        <f>SUM(D89:J89)</f>
        <v>0</v>
      </c>
      <c r="N89" s="94">
        <f t="shared" si="22"/>
        <v>0</v>
      </c>
      <c r="O89" s="93">
        <f t="shared" si="11"/>
        <v>0</v>
      </c>
    </row>
    <row r="90" spans="1:15" s="132" customFormat="1" ht="14.25" customHeight="1" x14ac:dyDescent="0.2">
      <c r="A90" s="119" t="s">
        <v>89</v>
      </c>
      <c r="B90" s="110" t="s">
        <v>391</v>
      </c>
      <c r="C90" s="113" t="s">
        <v>97</v>
      </c>
      <c r="D90" s="87">
        <f t="shared" ref="D90:L90" si="25">D89</f>
        <v>0</v>
      </c>
      <c r="E90" s="87">
        <f t="shared" si="25"/>
        <v>0</v>
      </c>
      <c r="F90" s="87">
        <f t="shared" si="25"/>
        <v>0</v>
      </c>
      <c r="G90" s="87">
        <f t="shared" si="25"/>
        <v>0</v>
      </c>
      <c r="H90" s="87">
        <f t="shared" si="25"/>
        <v>0</v>
      </c>
      <c r="I90" s="87">
        <f t="shared" si="25"/>
        <v>0</v>
      </c>
      <c r="J90" s="87">
        <f t="shared" si="25"/>
        <v>0</v>
      </c>
      <c r="K90" s="87">
        <f t="shared" si="25"/>
        <v>0</v>
      </c>
      <c r="L90" s="87">
        <f t="shared" si="25"/>
        <v>0</v>
      </c>
      <c r="M90" s="92">
        <f>D90+G90+J90</f>
        <v>0</v>
      </c>
      <c r="N90" s="413">
        <f t="shared" si="22"/>
        <v>0</v>
      </c>
      <c r="O90" s="416">
        <f t="shared" si="11"/>
        <v>0</v>
      </c>
    </row>
    <row r="91" spans="1:15" s="102" customFormat="1" ht="14.25" customHeight="1" x14ac:dyDescent="0.2">
      <c r="A91" s="119" t="s">
        <v>90</v>
      </c>
      <c r="B91" s="119" t="s">
        <v>392</v>
      </c>
      <c r="C91" s="125" t="s">
        <v>393</v>
      </c>
      <c r="D91" s="93"/>
      <c r="E91" s="93"/>
      <c r="F91" s="93"/>
      <c r="G91" s="93"/>
      <c r="H91" s="93"/>
      <c r="I91" s="93"/>
      <c r="J91" s="93"/>
      <c r="K91" s="94"/>
      <c r="L91" s="94"/>
      <c r="M91" s="94">
        <f t="shared" ref="M91:M101" si="26">SUM(D91:J91)</f>
        <v>0</v>
      </c>
      <c r="N91" s="94">
        <f t="shared" si="22"/>
        <v>0</v>
      </c>
      <c r="O91" s="93">
        <f t="shared" si="11"/>
        <v>0</v>
      </c>
    </row>
    <row r="92" spans="1:15" s="102" customFormat="1" ht="14.25" customHeight="1" x14ac:dyDescent="0.2">
      <c r="A92" s="119" t="s">
        <v>91</v>
      </c>
      <c r="B92" s="119" t="s">
        <v>394</v>
      </c>
      <c r="C92" s="125" t="s">
        <v>395</v>
      </c>
      <c r="D92" s="93"/>
      <c r="E92" s="93"/>
      <c r="F92" s="93"/>
      <c r="G92" s="93"/>
      <c r="H92" s="93"/>
      <c r="I92" s="93"/>
      <c r="J92" s="93"/>
      <c r="K92" s="94"/>
      <c r="L92" s="94"/>
      <c r="M92" s="94">
        <f t="shared" si="26"/>
        <v>0</v>
      </c>
      <c r="N92" s="94">
        <f t="shared" si="22"/>
        <v>0</v>
      </c>
      <c r="O92" s="93">
        <f t="shared" si="11"/>
        <v>0</v>
      </c>
    </row>
    <row r="93" spans="1:15" s="102" customFormat="1" ht="14.25" customHeight="1" x14ac:dyDescent="0.2">
      <c r="A93" s="119" t="s">
        <v>92</v>
      </c>
      <c r="B93" s="119" t="s">
        <v>396</v>
      </c>
      <c r="C93" s="125" t="s">
        <v>397</v>
      </c>
      <c r="D93" s="93"/>
      <c r="E93" s="93"/>
      <c r="F93" s="93"/>
      <c r="G93" s="93"/>
      <c r="H93" s="93"/>
      <c r="I93" s="93"/>
      <c r="J93" s="93"/>
      <c r="K93" s="94"/>
      <c r="L93" s="94"/>
      <c r="M93" s="94">
        <f t="shared" si="26"/>
        <v>0</v>
      </c>
      <c r="N93" s="94">
        <f t="shared" si="22"/>
        <v>0</v>
      </c>
      <c r="O93" s="93">
        <f t="shared" si="11"/>
        <v>0</v>
      </c>
    </row>
    <row r="94" spans="1:15" s="102" customFormat="1" ht="14.25" customHeight="1" x14ac:dyDescent="0.2">
      <c r="A94" s="119" t="s">
        <v>107</v>
      </c>
      <c r="B94" s="119" t="s">
        <v>398</v>
      </c>
      <c r="C94" s="125" t="s">
        <v>399</v>
      </c>
      <c r="D94" s="93">
        <v>200000</v>
      </c>
      <c r="E94" s="93">
        <f>N94*0.45</f>
        <v>405000</v>
      </c>
      <c r="F94" s="93">
        <v>363715</v>
      </c>
      <c r="G94" s="93"/>
      <c r="H94" s="93"/>
      <c r="I94" s="93"/>
      <c r="J94" s="93"/>
      <c r="K94" s="94">
        <f>N94*0.55</f>
        <v>495000.00000000006</v>
      </c>
      <c r="L94" s="94">
        <v>444541</v>
      </c>
      <c r="M94" s="94">
        <f>D94+G94+J94</f>
        <v>200000</v>
      </c>
      <c r="N94" s="94">
        <f>900000</f>
        <v>900000</v>
      </c>
      <c r="O94" s="93">
        <f t="shared" si="11"/>
        <v>808256</v>
      </c>
    </row>
    <row r="95" spans="1:15" s="102" customFormat="1" ht="14.25" customHeight="1" x14ac:dyDescent="0.2">
      <c r="A95" s="119" t="s">
        <v>108</v>
      </c>
      <c r="B95" s="119" t="s">
        <v>400</v>
      </c>
      <c r="C95" s="125" t="s">
        <v>401</v>
      </c>
      <c r="D95" s="93">
        <v>54000</v>
      </c>
      <c r="E95" s="93">
        <f>N95*0.45</f>
        <v>108450</v>
      </c>
      <c r="F95" s="93">
        <v>98203</v>
      </c>
      <c r="G95" s="93"/>
      <c r="H95" s="93"/>
      <c r="I95" s="93"/>
      <c r="J95" s="93"/>
      <c r="K95" s="94">
        <f>N95*0.55</f>
        <v>132550</v>
      </c>
      <c r="L95" s="94">
        <v>120025</v>
      </c>
      <c r="M95" s="94">
        <f>D95+G95+J95</f>
        <v>54000</v>
      </c>
      <c r="N95" s="94">
        <f>241000</f>
        <v>241000</v>
      </c>
      <c r="O95" s="93">
        <f t="shared" si="11"/>
        <v>218228</v>
      </c>
    </row>
    <row r="96" spans="1:15" s="132" customFormat="1" ht="14.25" customHeight="1" x14ac:dyDescent="0.2">
      <c r="A96" s="119" t="s">
        <v>109</v>
      </c>
      <c r="B96" s="110" t="s">
        <v>402</v>
      </c>
      <c r="C96" s="113" t="s">
        <v>403</v>
      </c>
      <c r="D96" s="87">
        <f>SUM(D91:D95)</f>
        <v>254000</v>
      </c>
      <c r="E96" s="87">
        <f>SUM(E91:E95)</f>
        <v>513450</v>
      </c>
      <c r="F96" s="87">
        <f t="shared" ref="F96:L96" si="27">SUM(F91:F95)</f>
        <v>461918</v>
      </c>
      <c r="G96" s="87">
        <f t="shared" si="27"/>
        <v>0</v>
      </c>
      <c r="H96" s="87">
        <f t="shared" si="27"/>
        <v>0</v>
      </c>
      <c r="I96" s="87">
        <f t="shared" si="27"/>
        <v>0</v>
      </c>
      <c r="J96" s="87">
        <f t="shared" si="27"/>
        <v>0</v>
      </c>
      <c r="K96" s="87">
        <f t="shared" si="27"/>
        <v>627550</v>
      </c>
      <c r="L96" s="87">
        <f t="shared" si="27"/>
        <v>564566</v>
      </c>
      <c r="M96" s="413">
        <f>D96+G96+J96</f>
        <v>254000</v>
      </c>
      <c r="N96" s="413">
        <f t="shared" ref="N96:N103" si="28">E96+H96+K96</f>
        <v>1141000</v>
      </c>
      <c r="O96" s="416">
        <f t="shared" si="11"/>
        <v>1026484</v>
      </c>
    </row>
    <row r="97" spans="1:15" s="132" customFormat="1" ht="14.25" customHeight="1" x14ac:dyDescent="0.2">
      <c r="A97" s="119" t="s">
        <v>110</v>
      </c>
      <c r="B97" s="119" t="s">
        <v>404</v>
      </c>
      <c r="C97" s="125" t="s">
        <v>405</v>
      </c>
      <c r="D97" s="291"/>
      <c r="E97" s="89">
        <f>N97*0.45</f>
        <v>3061561.95</v>
      </c>
      <c r="F97" s="89">
        <v>3061562</v>
      </c>
      <c r="G97" s="291"/>
      <c r="H97" s="291"/>
      <c r="I97" s="291"/>
      <c r="J97" s="291"/>
      <c r="K97" s="90">
        <f>N97*0.55</f>
        <v>3741909.0500000003</v>
      </c>
      <c r="L97" s="90">
        <v>3741909</v>
      </c>
      <c r="M97" s="411"/>
      <c r="N97" s="90">
        <v>6803471</v>
      </c>
      <c r="O97" s="93">
        <f t="shared" si="11"/>
        <v>6803471</v>
      </c>
    </row>
    <row r="98" spans="1:15" s="132" customFormat="1" ht="14.25" customHeight="1" x14ac:dyDescent="0.2">
      <c r="A98" s="119" t="s">
        <v>113</v>
      </c>
      <c r="B98" s="119" t="s">
        <v>410</v>
      </c>
      <c r="C98" s="125" t="s">
        <v>411</v>
      </c>
      <c r="D98" s="291"/>
      <c r="E98" s="89">
        <f>N98*0.45</f>
        <v>826622.1</v>
      </c>
      <c r="F98" s="89">
        <v>826622</v>
      </c>
      <c r="G98" s="291"/>
      <c r="H98" s="291"/>
      <c r="I98" s="291"/>
      <c r="J98" s="291"/>
      <c r="K98" s="90">
        <f>N98*0.55</f>
        <v>1010315.9000000001</v>
      </c>
      <c r="L98" s="90">
        <v>1010316</v>
      </c>
      <c r="M98" s="411"/>
      <c r="N98" s="90">
        <v>1836938</v>
      </c>
      <c r="O98" s="93">
        <f t="shared" si="11"/>
        <v>1836938</v>
      </c>
    </row>
    <row r="99" spans="1:15" s="132" customFormat="1" ht="14.25" customHeight="1" x14ac:dyDescent="0.2">
      <c r="A99" s="119" t="s">
        <v>114</v>
      </c>
      <c r="B99" s="110" t="s">
        <v>412</v>
      </c>
      <c r="C99" s="113" t="s">
        <v>413</v>
      </c>
      <c r="D99" s="87"/>
      <c r="E99" s="87">
        <f>SUM(E97:E98)</f>
        <v>3888184.0500000003</v>
      </c>
      <c r="F99" s="87">
        <f t="shared" ref="F99:L99" si="29">SUM(F97:F98)</f>
        <v>3888184</v>
      </c>
      <c r="G99" s="87">
        <f t="shared" si="29"/>
        <v>0</v>
      </c>
      <c r="H99" s="87">
        <f t="shared" si="29"/>
        <v>0</v>
      </c>
      <c r="I99" s="87">
        <f t="shared" si="29"/>
        <v>0</v>
      </c>
      <c r="J99" s="87">
        <f t="shared" si="29"/>
        <v>0</v>
      </c>
      <c r="K99" s="87">
        <f t="shared" si="29"/>
        <v>4752224.95</v>
      </c>
      <c r="L99" s="87">
        <f t="shared" si="29"/>
        <v>4752225</v>
      </c>
      <c r="M99" s="92">
        <f t="shared" si="26"/>
        <v>7776368.0500000007</v>
      </c>
      <c r="N99" s="413">
        <f>E99+H99+K99</f>
        <v>8640409</v>
      </c>
      <c r="O99" s="416">
        <f t="shared" si="11"/>
        <v>8640409</v>
      </c>
    </row>
    <row r="100" spans="1:15" s="132" customFormat="1" ht="14.25" customHeight="1" x14ac:dyDescent="0.2">
      <c r="A100" s="119" t="s">
        <v>115</v>
      </c>
      <c r="B100" s="110" t="s">
        <v>420</v>
      </c>
      <c r="C100" s="113" t="s">
        <v>69</v>
      </c>
      <c r="D100" s="87"/>
      <c r="E100" s="87"/>
      <c r="F100" s="87"/>
      <c r="G100" s="87"/>
      <c r="H100" s="87"/>
      <c r="I100" s="87"/>
      <c r="J100" s="87"/>
      <c r="K100" s="92"/>
      <c r="L100" s="92"/>
      <c r="M100" s="92">
        <f t="shared" si="26"/>
        <v>0</v>
      </c>
      <c r="N100" s="413">
        <f t="shared" si="28"/>
        <v>0</v>
      </c>
      <c r="O100" s="416">
        <f t="shared" si="11"/>
        <v>0</v>
      </c>
    </row>
    <row r="101" spans="1:15" s="132" customFormat="1" ht="14.25" customHeight="1" x14ac:dyDescent="0.2">
      <c r="A101" s="119" t="s">
        <v>116</v>
      </c>
      <c r="B101" s="110" t="s">
        <v>428</v>
      </c>
      <c r="C101" s="113" t="s">
        <v>429</v>
      </c>
      <c r="D101" s="87"/>
      <c r="E101" s="87"/>
      <c r="F101" s="87"/>
      <c r="G101" s="87"/>
      <c r="H101" s="87"/>
      <c r="I101" s="87"/>
      <c r="J101" s="87"/>
      <c r="K101" s="92"/>
      <c r="L101" s="92"/>
      <c r="M101" s="92">
        <f t="shared" si="26"/>
        <v>0</v>
      </c>
      <c r="N101" s="413">
        <f t="shared" si="28"/>
        <v>0</v>
      </c>
      <c r="O101" s="416">
        <f t="shared" si="11"/>
        <v>0</v>
      </c>
    </row>
    <row r="102" spans="1:15" s="132" customFormat="1" ht="18.75" customHeight="1" x14ac:dyDescent="0.2">
      <c r="A102" s="119" t="s">
        <v>117</v>
      </c>
      <c r="B102" s="110" t="s">
        <v>431</v>
      </c>
      <c r="C102" s="113" t="s">
        <v>432</v>
      </c>
      <c r="D102" s="87">
        <f t="shared" ref="D102:L102" si="30">D58+D62+D88+D90+D96+D99+D100+D101</f>
        <v>30654558.142000001</v>
      </c>
      <c r="E102" s="87">
        <f t="shared" si="30"/>
        <v>44202912.378899999</v>
      </c>
      <c r="F102" s="87">
        <f t="shared" si="30"/>
        <v>42871248</v>
      </c>
      <c r="G102" s="87">
        <f t="shared" si="30"/>
        <v>95250</v>
      </c>
      <c r="H102" s="87">
        <f t="shared" si="30"/>
        <v>219222.15</v>
      </c>
      <c r="I102" s="87">
        <f t="shared" si="30"/>
        <v>224856</v>
      </c>
      <c r="J102" s="87">
        <f t="shared" si="30"/>
        <v>51917831.255719997</v>
      </c>
      <c r="K102" s="87">
        <f t="shared" si="30"/>
        <v>53040831.911459997</v>
      </c>
      <c r="L102" s="87">
        <f t="shared" si="30"/>
        <v>52398190</v>
      </c>
      <c r="M102" s="92">
        <f>D102+G102+J102</f>
        <v>82667639.397719994</v>
      </c>
      <c r="N102" s="413">
        <f t="shared" si="28"/>
        <v>97462966.440359995</v>
      </c>
      <c r="O102" s="416">
        <f t="shared" si="11"/>
        <v>95494294</v>
      </c>
    </row>
    <row r="103" spans="1:15" s="102" customFormat="1" ht="16.5" customHeight="1" x14ac:dyDescent="0.2">
      <c r="A103" s="119" t="s">
        <v>118</v>
      </c>
      <c r="B103" s="119"/>
      <c r="C103" s="129" t="s">
        <v>434</v>
      </c>
      <c r="D103" s="97">
        <f>M103*0.35</f>
        <v>3.15</v>
      </c>
      <c r="E103" s="97">
        <v>5</v>
      </c>
      <c r="F103" s="97">
        <v>4</v>
      </c>
      <c r="G103" s="97"/>
      <c r="H103" s="97"/>
      <c r="I103" s="97"/>
      <c r="J103" s="97">
        <f>M103*0.65</f>
        <v>5.8500000000000005</v>
      </c>
      <c r="K103" s="134">
        <v>5</v>
      </c>
      <c r="L103" s="134">
        <v>5</v>
      </c>
      <c r="M103" s="134">
        <v>9</v>
      </c>
      <c r="N103" s="411">
        <f t="shared" si="28"/>
        <v>10</v>
      </c>
      <c r="O103" s="97">
        <f t="shared" si="11"/>
        <v>9</v>
      </c>
    </row>
    <row r="104" spans="1:15" s="102" customFormat="1" x14ac:dyDescent="0.2">
      <c r="A104" s="101"/>
      <c r="B104" s="101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</row>
    <row r="105" spans="1:15" s="132" customFormat="1" ht="24.75" customHeight="1" x14ac:dyDescent="0.2">
      <c r="A105" s="80"/>
      <c r="B105" s="130"/>
      <c r="C105" s="79" t="s">
        <v>435</v>
      </c>
      <c r="D105" s="87">
        <f t="shared" ref="D105:L105" si="31">D37</f>
        <v>30258856.662500001</v>
      </c>
      <c r="E105" s="87">
        <f t="shared" si="31"/>
        <v>37015184.297499999</v>
      </c>
      <c r="F105" s="87">
        <f t="shared" si="31"/>
        <v>42038306</v>
      </c>
      <c r="G105" s="87">
        <f t="shared" si="31"/>
        <v>92340</v>
      </c>
      <c r="H105" s="87">
        <f t="shared" si="31"/>
        <v>219222</v>
      </c>
      <c r="I105" s="87">
        <f t="shared" si="31"/>
        <v>224856</v>
      </c>
      <c r="J105" s="87">
        <f t="shared" si="31"/>
        <v>52316442.487999998</v>
      </c>
      <c r="K105" s="87">
        <f t="shared" si="31"/>
        <v>60228559.870256007</v>
      </c>
      <c r="L105" s="87">
        <f t="shared" si="31"/>
        <v>53797897</v>
      </c>
      <c r="M105" s="87">
        <f t="shared" ref="M105:O107" si="32">D105+G105+J105</f>
        <v>82667639.1505</v>
      </c>
      <c r="N105" s="87">
        <f t="shared" si="32"/>
        <v>97462966.167756006</v>
      </c>
      <c r="O105" s="87">
        <f t="shared" si="32"/>
        <v>96061059</v>
      </c>
    </row>
    <row r="106" spans="1:15" s="132" customFormat="1" ht="24.75" customHeight="1" x14ac:dyDescent="0.2">
      <c r="A106" s="80"/>
      <c r="B106" s="130"/>
      <c r="C106" s="79" t="s">
        <v>436</v>
      </c>
      <c r="D106" s="87">
        <f t="shared" ref="D106:L106" si="33">D102</f>
        <v>30654558.142000001</v>
      </c>
      <c r="E106" s="87">
        <f t="shared" si="33"/>
        <v>44202912.378899999</v>
      </c>
      <c r="F106" s="87">
        <f t="shared" si="33"/>
        <v>42871248</v>
      </c>
      <c r="G106" s="87">
        <f t="shared" si="33"/>
        <v>95250</v>
      </c>
      <c r="H106" s="87">
        <f t="shared" si="33"/>
        <v>219222.15</v>
      </c>
      <c r="I106" s="87">
        <f t="shared" si="33"/>
        <v>224856</v>
      </c>
      <c r="J106" s="87">
        <f t="shared" si="33"/>
        <v>51917831.255719997</v>
      </c>
      <c r="K106" s="87">
        <f t="shared" si="33"/>
        <v>53040831.911459997</v>
      </c>
      <c r="L106" s="87">
        <f t="shared" si="33"/>
        <v>52398190</v>
      </c>
      <c r="M106" s="87">
        <f t="shared" si="32"/>
        <v>82667639.397719994</v>
      </c>
      <c r="N106" s="87">
        <f t="shared" si="32"/>
        <v>97462966.440359995</v>
      </c>
      <c r="O106" s="87">
        <f t="shared" si="32"/>
        <v>95494294</v>
      </c>
    </row>
    <row r="107" spans="1:15" s="102" customFormat="1" ht="24.75" customHeight="1" x14ac:dyDescent="0.2">
      <c r="A107" s="119"/>
      <c r="B107" s="135"/>
      <c r="C107" s="86" t="s">
        <v>447</v>
      </c>
      <c r="D107" s="89">
        <f t="shared" ref="D107:L107" si="34">D105-D106</f>
        <v>-395701.47949999943</v>
      </c>
      <c r="E107" s="89">
        <f t="shared" si="34"/>
        <v>-7187728.0813999996</v>
      </c>
      <c r="F107" s="89">
        <f t="shared" si="34"/>
        <v>-832942</v>
      </c>
      <c r="G107" s="89">
        <f t="shared" si="34"/>
        <v>-2910</v>
      </c>
      <c r="H107" s="89">
        <f t="shared" si="34"/>
        <v>-0.14999999999417923</v>
      </c>
      <c r="I107" s="89">
        <f t="shared" si="34"/>
        <v>0</v>
      </c>
      <c r="J107" s="89">
        <f t="shared" si="34"/>
        <v>398611.23228000104</v>
      </c>
      <c r="K107" s="89">
        <f t="shared" si="34"/>
        <v>7187727.9587960094</v>
      </c>
      <c r="L107" s="89">
        <f t="shared" si="34"/>
        <v>1399707</v>
      </c>
      <c r="M107" s="89">
        <f t="shared" si="32"/>
        <v>-0.2472199983894825</v>
      </c>
      <c r="N107" s="89">
        <f t="shared" si="32"/>
        <v>-0.27260399051010609</v>
      </c>
      <c r="O107" s="89">
        <f t="shared" si="32"/>
        <v>566765</v>
      </c>
    </row>
    <row r="109" spans="1:15" x14ac:dyDescent="0.2">
      <c r="M109" s="98"/>
      <c r="N109" s="98"/>
      <c r="O109" s="98"/>
    </row>
  </sheetData>
  <mergeCells count="51">
    <mergeCell ref="A9:A11"/>
    <mergeCell ref="B9:B11"/>
    <mergeCell ref="B6:C6"/>
    <mergeCell ref="B7:C7"/>
    <mergeCell ref="B8:C8"/>
    <mergeCell ref="G6:I6"/>
    <mergeCell ref="G7:I7"/>
    <mergeCell ref="G8:I8"/>
    <mergeCell ref="G9:I9"/>
    <mergeCell ref="G10:I10"/>
    <mergeCell ref="B37:C37"/>
    <mergeCell ref="B40:C40"/>
    <mergeCell ref="B41:C41"/>
    <mergeCell ref="B42:C42"/>
    <mergeCell ref="A43:A45"/>
    <mergeCell ref="B43:B45"/>
    <mergeCell ref="M6:O6"/>
    <mergeCell ref="M7:O7"/>
    <mergeCell ref="M8:O8"/>
    <mergeCell ref="M9:O9"/>
    <mergeCell ref="M10:O10"/>
    <mergeCell ref="J6:L6"/>
    <mergeCell ref="J7:L7"/>
    <mergeCell ref="J8:L8"/>
    <mergeCell ref="J9:L9"/>
    <mergeCell ref="J10:L10"/>
    <mergeCell ref="D6:F6"/>
    <mergeCell ref="D7:F7"/>
    <mergeCell ref="D8:F8"/>
    <mergeCell ref="D9:F9"/>
    <mergeCell ref="D10:F10"/>
    <mergeCell ref="J43:L43"/>
    <mergeCell ref="M43:O43"/>
    <mergeCell ref="D40:F40"/>
    <mergeCell ref="G40:I40"/>
    <mergeCell ref="J40:L40"/>
    <mergeCell ref="M40:O40"/>
    <mergeCell ref="D41:F41"/>
    <mergeCell ref="G41:I41"/>
    <mergeCell ref="J41:L41"/>
    <mergeCell ref="M41:O41"/>
    <mergeCell ref="D44:F44"/>
    <mergeCell ref="G44:I44"/>
    <mergeCell ref="J44:L44"/>
    <mergeCell ref="M44:O44"/>
    <mergeCell ref="D42:F42"/>
    <mergeCell ref="G42:I42"/>
    <mergeCell ref="J42:L42"/>
    <mergeCell ref="M42:O42"/>
    <mergeCell ref="D43:F43"/>
    <mergeCell ref="G43:I4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6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workbookViewId="0">
      <selection activeCell="P125" sqref="P125"/>
    </sheetView>
  </sheetViews>
  <sheetFormatPr defaultRowHeight="15" x14ac:dyDescent="0.2"/>
  <cols>
    <col min="1" max="2" width="9.140625" style="16"/>
    <col min="3" max="3" width="50.85546875" style="16" bestFit="1" customWidth="1"/>
    <col min="4" max="4" width="12.42578125" style="16" bestFit="1" customWidth="1"/>
    <col min="5" max="5" width="12.7109375" style="16" bestFit="1" customWidth="1"/>
    <col min="6" max="6" width="12.5703125" style="16" bestFit="1" customWidth="1"/>
    <col min="7" max="7" width="12.28515625" style="16" customWidth="1"/>
    <col min="8" max="8" width="12.7109375" style="16" customWidth="1"/>
    <col min="9" max="9" width="13.7109375" style="16" customWidth="1"/>
    <col min="10" max="12" width="12.28515625" style="16" customWidth="1"/>
    <col min="13" max="14" width="12.7109375" style="16" bestFit="1" customWidth="1"/>
    <col min="15" max="16" width="12.5703125" style="16" bestFit="1" customWidth="1"/>
    <col min="17" max="17" width="13.140625" style="16" customWidth="1"/>
    <col min="18" max="18" width="12.7109375" style="16" bestFit="1" customWidth="1"/>
    <col min="19" max="19" width="13.5703125" style="16" customWidth="1"/>
    <col min="20" max="20" width="14.42578125" style="16" customWidth="1"/>
    <col min="21" max="21" width="14.140625" style="16" customWidth="1"/>
    <col min="22" max="22" width="13.5703125" style="16" customWidth="1"/>
    <col min="23" max="23" width="15.28515625" style="16" customWidth="1"/>
    <col min="24" max="24" width="11.42578125" style="16" customWidth="1"/>
    <col min="25" max="25" width="11.5703125" style="16" customWidth="1"/>
    <col min="26" max="16384" width="9.140625" style="16"/>
  </cols>
  <sheetData>
    <row r="1" spans="1:17" ht="18" x14ac:dyDescent="0.2">
      <c r="A1" s="145" t="s">
        <v>472</v>
      </c>
    </row>
    <row r="3" spans="1:17" x14ac:dyDescent="0.2">
      <c r="A3" s="146" t="s">
        <v>473</v>
      </c>
    </row>
    <row r="4" spans="1:17" ht="60" x14ac:dyDescent="0.2">
      <c r="C4" s="144"/>
      <c r="D4" s="183" t="s">
        <v>503</v>
      </c>
      <c r="E4" s="183" t="s">
        <v>504</v>
      </c>
      <c r="F4" s="183" t="s">
        <v>681</v>
      </c>
      <c r="G4" s="183" t="s">
        <v>505</v>
      </c>
      <c r="H4" s="183" t="s">
        <v>506</v>
      </c>
      <c r="I4" s="183" t="s">
        <v>680</v>
      </c>
      <c r="J4" s="183" t="s">
        <v>507</v>
      </c>
      <c r="K4" s="183" t="s">
        <v>625</v>
      </c>
      <c r="L4" s="183" t="s">
        <v>678</v>
      </c>
      <c r="M4" s="183" t="s">
        <v>603</v>
      </c>
      <c r="N4" s="61" t="s">
        <v>477</v>
      </c>
      <c r="O4" s="293" t="s">
        <v>608</v>
      </c>
      <c r="P4" s="293" t="s">
        <v>609</v>
      </c>
    </row>
    <row r="5" spans="1:17" x14ac:dyDescent="0.2">
      <c r="A5" s="119" t="s">
        <v>0</v>
      </c>
      <c r="B5" s="119" t="s">
        <v>300</v>
      </c>
      <c r="C5" s="120" t="s">
        <v>301</v>
      </c>
      <c r="D5" s="72">
        <f>240500+260600*11</f>
        <v>3107100</v>
      </c>
      <c r="E5" s="72">
        <f>158000+170000*3.5</f>
        <v>753000</v>
      </c>
      <c r="F5" s="72">
        <f>161000*10</f>
        <v>1610000</v>
      </c>
      <c r="G5" s="72">
        <f>149000+161000*11</f>
        <v>1920000</v>
      </c>
      <c r="H5" s="72">
        <f>178000+191000*11</f>
        <v>2279000</v>
      </c>
      <c r="I5" s="72">
        <f>149000+161000*11</f>
        <v>1920000</v>
      </c>
      <c r="J5" s="72">
        <f>225000+243600*11</f>
        <v>2904600</v>
      </c>
      <c r="K5" s="72">
        <f>149000+161000*11</f>
        <v>1920000</v>
      </c>
      <c r="L5" s="72">
        <f>149000+161000*11</f>
        <v>1920000</v>
      </c>
      <c r="M5" s="72">
        <f>149000+161000*11</f>
        <v>1920000</v>
      </c>
      <c r="N5" s="76">
        <f t="shared" ref="N5:N13" si="0">SUM(D5:M5)</f>
        <v>20253700</v>
      </c>
      <c r="O5" s="292">
        <f>201000+127500*6+176000</f>
        <v>1142000</v>
      </c>
      <c r="P5" s="292">
        <f>N5-O5</f>
        <v>19111700</v>
      </c>
    </row>
    <row r="6" spans="1:17" x14ac:dyDescent="0.2">
      <c r="A6" s="119" t="s">
        <v>6</v>
      </c>
      <c r="B6" s="119" t="s">
        <v>648</v>
      </c>
      <c r="C6" s="120" t="s">
        <v>649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6">
        <f t="shared" si="0"/>
        <v>0</v>
      </c>
    </row>
    <row r="7" spans="1:17" x14ac:dyDescent="0.2">
      <c r="A7" s="119" t="s">
        <v>14</v>
      </c>
      <c r="B7" s="119" t="s">
        <v>302</v>
      </c>
      <c r="C7" s="120" t="s">
        <v>303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6">
        <f t="shared" si="0"/>
        <v>0</v>
      </c>
    </row>
    <row r="8" spans="1:17" x14ac:dyDescent="0.2">
      <c r="A8" s="119" t="s">
        <v>17</v>
      </c>
      <c r="B8" s="119" t="s">
        <v>304</v>
      </c>
      <c r="C8" s="120" t="s">
        <v>305</v>
      </c>
      <c r="D8" s="72"/>
      <c r="E8" s="72"/>
      <c r="F8" s="72"/>
      <c r="G8" s="72"/>
      <c r="H8" s="72"/>
      <c r="I8" s="72"/>
      <c r="J8" s="72">
        <f>243600*2</f>
        <v>487200</v>
      </c>
      <c r="K8" s="72"/>
      <c r="L8" s="72"/>
      <c r="M8" s="72"/>
      <c r="N8" s="76">
        <f t="shared" si="0"/>
        <v>487200</v>
      </c>
    </row>
    <row r="9" spans="1:17" x14ac:dyDescent="0.2">
      <c r="A9" s="119" t="s">
        <v>33</v>
      </c>
      <c r="B9" s="119" t="s">
        <v>306</v>
      </c>
      <c r="C9" s="120" t="s">
        <v>607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6">
        <f t="shared" si="0"/>
        <v>0</v>
      </c>
    </row>
    <row r="10" spans="1:17" x14ac:dyDescent="0.2">
      <c r="A10" s="119" t="s">
        <v>35</v>
      </c>
      <c r="B10" s="119" t="s">
        <v>307</v>
      </c>
      <c r="C10" s="120" t="s">
        <v>308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6">
        <f t="shared" si="0"/>
        <v>0</v>
      </c>
    </row>
    <row r="11" spans="1:17" x14ac:dyDescent="0.2">
      <c r="A11" s="119" t="s">
        <v>30</v>
      </c>
      <c r="B11" s="119" t="s">
        <v>309</v>
      </c>
      <c r="C11" s="120" t="s">
        <v>310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6">
        <f t="shared" si="0"/>
        <v>0</v>
      </c>
    </row>
    <row r="12" spans="1:17" x14ac:dyDescent="0.2">
      <c r="A12" s="119" t="s">
        <v>18</v>
      </c>
      <c r="B12" s="119" t="s">
        <v>311</v>
      </c>
      <c r="C12" s="120" t="s">
        <v>605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6">
        <f t="shared" si="0"/>
        <v>0</v>
      </c>
    </row>
    <row r="13" spans="1:17" x14ac:dyDescent="0.2">
      <c r="A13" s="119" t="s">
        <v>19</v>
      </c>
      <c r="B13" s="110" t="s">
        <v>458</v>
      </c>
      <c r="C13" s="111" t="s">
        <v>459</v>
      </c>
      <c r="D13" s="70">
        <f t="shared" ref="D13:M13" si="1">SUM(D5:D12)</f>
        <v>3107100</v>
      </c>
      <c r="E13" s="70">
        <f t="shared" si="1"/>
        <v>753000</v>
      </c>
      <c r="F13" s="70">
        <f t="shared" si="1"/>
        <v>1610000</v>
      </c>
      <c r="G13" s="70">
        <f t="shared" si="1"/>
        <v>1920000</v>
      </c>
      <c r="H13" s="70">
        <f t="shared" si="1"/>
        <v>2279000</v>
      </c>
      <c r="I13" s="70">
        <f t="shared" si="1"/>
        <v>1920000</v>
      </c>
      <c r="J13" s="70">
        <f t="shared" si="1"/>
        <v>3391800</v>
      </c>
      <c r="K13" s="70">
        <f t="shared" si="1"/>
        <v>1920000</v>
      </c>
      <c r="L13" s="70">
        <f t="shared" si="1"/>
        <v>1920000</v>
      </c>
      <c r="M13" s="70">
        <f t="shared" si="1"/>
        <v>1920000</v>
      </c>
      <c r="N13" s="70">
        <f t="shared" si="0"/>
        <v>20740900</v>
      </c>
    </row>
    <row r="15" spans="1:17" x14ac:dyDescent="0.2">
      <c r="A15" s="146" t="s">
        <v>679</v>
      </c>
    </row>
    <row r="16" spans="1:17" ht="60" x14ac:dyDescent="0.2">
      <c r="C16" s="144"/>
      <c r="D16" s="183" t="s">
        <v>503</v>
      </c>
      <c r="E16" s="183" t="s">
        <v>682</v>
      </c>
      <c r="F16" s="183" t="s">
        <v>504</v>
      </c>
      <c r="G16" s="183" t="s">
        <v>681</v>
      </c>
      <c r="H16" s="183" t="s">
        <v>505</v>
      </c>
      <c r="I16" s="183" t="s">
        <v>506</v>
      </c>
      <c r="J16" s="183" t="s">
        <v>680</v>
      </c>
      <c r="K16" s="183" t="s">
        <v>507</v>
      </c>
      <c r="L16" s="183" t="s">
        <v>625</v>
      </c>
      <c r="M16" s="183" t="s">
        <v>678</v>
      </c>
      <c r="N16" s="183" t="s">
        <v>603</v>
      </c>
      <c r="O16" s="61" t="s">
        <v>477</v>
      </c>
      <c r="P16" s="293" t="s">
        <v>684</v>
      </c>
      <c r="Q16" s="293" t="s">
        <v>683</v>
      </c>
    </row>
    <row r="17" spans="1:17" x14ac:dyDescent="0.2">
      <c r="A17" s="119" t="s">
        <v>0</v>
      </c>
      <c r="B17" s="119" t="s">
        <v>300</v>
      </c>
      <c r="C17" s="120" t="s">
        <v>301</v>
      </c>
      <c r="D17" s="72">
        <f>240500+260600*11</f>
        <v>3107100</v>
      </c>
      <c r="E17" s="72">
        <f>60000+240000*6</f>
        <v>1500000</v>
      </c>
      <c r="F17" s="72">
        <f>158000+170000*3.5</f>
        <v>753000</v>
      </c>
      <c r="G17" s="72">
        <f>161000*10</f>
        <v>1610000</v>
      </c>
      <c r="H17" s="72">
        <f>149000+161000*11</f>
        <v>1920000</v>
      </c>
      <c r="I17" s="72">
        <f>178000+191000*11</f>
        <v>2279000</v>
      </c>
      <c r="J17" s="72">
        <f>149000+161000*11</f>
        <v>1920000</v>
      </c>
      <c r="K17" s="72">
        <f>225000+243600*11</f>
        <v>2904600</v>
      </c>
      <c r="L17" s="72">
        <f>149000+161000*11</f>
        <v>1920000</v>
      </c>
      <c r="M17" s="72">
        <f>149000+161000*11</f>
        <v>1920000</v>
      </c>
      <c r="N17" s="72">
        <f>149000+161000*11</f>
        <v>1920000</v>
      </c>
      <c r="O17" s="76">
        <f t="shared" ref="O17:O25" si="2">SUM(D17:N17)</f>
        <v>21753700</v>
      </c>
      <c r="P17" s="292">
        <f>240500+260600*6+60001+240000+753000+161000*35+149000*5+178000+191000*6+225000+243600*6</f>
        <v>12247701</v>
      </c>
      <c r="Q17" s="292">
        <f>O17-P17</f>
        <v>9505999</v>
      </c>
    </row>
    <row r="18" spans="1:17" x14ac:dyDescent="0.2">
      <c r="A18" s="119" t="s">
        <v>6</v>
      </c>
      <c r="B18" s="119" t="s">
        <v>648</v>
      </c>
      <c r="C18" s="120" t="s">
        <v>649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6">
        <f t="shared" si="2"/>
        <v>0</v>
      </c>
    </row>
    <row r="19" spans="1:17" x14ac:dyDescent="0.2">
      <c r="A19" s="119" t="s">
        <v>14</v>
      </c>
      <c r="B19" s="119" t="s">
        <v>302</v>
      </c>
      <c r="C19" s="120" t="s">
        <v>303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6">
        <f t="shared" si="2"/>
        <v>0</v>
      </c>
    </row>
    <row r="20" spans="1:17" x14ac:dyDescent="0.2">
      <c r="A20" s="119" t="s">
        <v>17</v>
      </c>
      <c r="B20" s="119" t="s">
        <v>304</v>
      </c>
      <c r="C20" s="120" t="s">
        <v>305</v>
      </c>
      <c r="D20" s="72"/>
      <c r="E20" s="72"/>
      <c r="F20" s="72"/>
      <c r="G20" s="72"/>
      <c r="H20" s="72"/>
      <c r="I20" s="72"/>
      <c r="J20" s="72"/>
      <c r="K20" s="72">
        <f>243600*2</f>
        <v>487200</v>
      </c>
      <c r="L20" s="72"/>
      <c r="M20" s="72"/>
      <c r="N20" s="72"/>
      <c r="O20" s="76">
        <f t="shared" si="2"/>
        <v>487200</v>
      </c>
    </row>
    <row r="21" spans="1:17" x14ac:dyDescent="0.2">
      <c r="A21" s="119" t="s">
        <v>33</v>
      </c>
      <c r="B21" s="119" t="s">
        <v>306</v>
      </c>
      <c r="C21" s="120" t="s">
        <v>607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6">
        <f t="shared" si="2"/>
        <v>0</v>
      </c>
    </row>
    <row r="22" spans="1:17" x14ac:dyDescent="0.2">
      <c r="A22" s="119" t="s">
        <v>35</v>
      </c>
      <c r="B22" s="119" t="s">
        <v>307</v>
      </c>
      <c r="C22" s="120" t="s">
        <v>308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6">
        <f t="shared" si="2"/>
        <v>0</v>
      </c>
    </row>
    <row r="23" spans="1:17" x14ac:dyDescent="0.2">
      <c r="A23" s="119" t="s">
        <v>30</v>
      </c>
      <c r="B23" s="119" t="s">
        <v>309</v>
      </c>
      <c r="C23" s="120" t="s">
        <v>310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6">
        <f t="shared" si="2"/>
        <v>0</v>
      </c>
    </row>
    <row r="24" spans="1:17" x14ac:dyDescent="0.2">
      <c r="A24" s="119" t="s">
        <v>18</v>
      </c>
      <c r="B24" s="119" t="s">
        <v>311</v>
      </c>
      <c r="C24" s="120" t="s">
        <v>605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6">
        <f t="shared" si="2"/>
        <v>0</v>
      </c>
    </row>
    <row r="25" spans="1:17" x14ac:dyDescent="0.2">
      <c r="A25" s="119" t="s">
        <v>19</v>
      </c>
      <c r="B25" s="110" t="s">
        <v>458</v>
      </c>
      <c r="C25" s="111" t="s">
        <v>459</v>
      </c>
      <c r="D25" s="70">
        <f t="shared" ref="D25:N25" si="3">SUM(D17:D24)</f>
        <v>3107100</v>
      </c>
      <c r="E25" s="70">
        <f t="shared" si="3"/>
        <v>1500000</v>
      </c>
      <c r="F25" s="70">
        <f t="shared" si="3"/>
        <v>753000</v>
      </c>
      <c r="G25" s="70">
        <f t="shared" si="3"/>
        <v>1610000</v>
      </c>
      <c r="H25" s="70">
        <f t="shared" si="3"/>
        <v>1920000</v>
      </c>
      <c r="I25" s="70">
        <f t="shared" si="3"/>
        <v>2279000</v>
      </c>
      <c r="J25" s="70">
        <f t="shared" si="3"/>
        <v>1920000</v>
      </c>
      <c r="K25" s="70">
        <f t="shared" si="3"/>
        <v>3391800</v>
      </c>
      <c r="L25" s="70">
        <f t="shared" si="3"/>
        <v>1920000</v>
      </c>
      <c r="M25" s="70">
        <f t="shared" si="3"/>
        <v>1920000</v>
      </c>
      <c r="N25" s="70">
        <f t="shared" si="3"/>
        <v>1920000</v>
      </c>
      <c r="O25" s="70">
        <f t="shared" si="2"/>
        <v>22240900</v>
      </c>
    </row>
    <row r="27" spans="1:17" x14ac:dyDescent="0.2">
      <c r="A27" s="146" t="s">
        <v>474</v>
      </c>
    </row>
    <row r="28" spans="1:17" ht="30" x14ac:dyDescent="0.2">
      <c r="C28" s="144"/>
      <c r="D28" s="183" t="s">
        <v>496</v>
      </c>
      <c r="E28" s="183" t="s">
        <v>497</v>
      </c>
      <c r="F28" s="183" t="s">
        <v>498</v>
      </c>
      <c r="G28" s="183" t="s">
        <v>638</v>
      </c>
      <c r="H28" s="61" t="s">
        <v>477</v>
      </c>
      <c r="I28" s="293" t="s">
        <v>608</v>
      </c>
      <c r="J28" s="293" t="s">
        <v>609</v>
      </c>
      <c r="K28" s="293"/>
      <c r="L28" s="293"/>
      <c r="M28" s="293"/>
    </row>
    <row r="29" spans="1:17" x14ac:dyDescent="0.2">
      <c r="A29" s="119" t="s">
        <v>0</v>
      </c>
      <c r="B29" s="119" t="s">
        <v>300</v>
      </c>
      <c r="C29" s="120" t="s">
        <v>301</v>
      </c>
      <c r="D29" s="463">
        <f>215000+235000*11</f>
        <v>2800000</v>
      </c>
      <c r="E29" s="463">
        <f>215000+235000*11</f>
        <v>2800000</v>
      </c>
      <c r="F29" s="463">
        <f>215000+235000*11</f>
        <v>2800000</v>
      </c>
      <c r="G29" s="463">
        <f>195000+210600*11</f>
        <v>2511600</v>
      </c>
      <c r="H29" s="76">
        <f>SUM(D29:G29)</f>
        <v>10911600</v>
      </c>
      <c r="I29" s="292">
        <f>180000*2+158000+180500</f>
        <v>698500</v>
      </c>
      <c r="J29" s="292">
        <f>H29-I29</f>
        <v>10213100</v>
      </c>
      <c r="K29" s="292"/>
      <c r="L29" s="292"/>
      <c r="M29" s="292"/>
    </row>
    <row r="30" spans="1:17" x14ac:dyDescent="0.2">
      <c r="A30" s="119" t="s">
        <v>6</v>
      </c>
      <c r="B30" s="119" t="s">
        <v>648</v>
      </c>
      <c r="C30" s="120" t="s">
        <v>649</v>
      </c>
      <c r="D30" s="72"/>
      <c r="E30" s="72"/>
      <c r="F30" s="72"/>
      <c r="G30" s="72"/>
      <c r="H30" s="76">
        <f t="shared" ref="H30:H37" si="4">SUM(D30:G30)</f>
        <v>0</v>
      </c>
    </row>
    <row r="31" spans="1:17" x14ac:dyDescent="0.2">
      <c r="A31" s="119" t="s">
        <v>14</v>
      </c>
      <c r="B31" s="119" t="s">
        <v>302</v>
      </c>
      <c r="C31" s="120" t="s">
        <v>303</v>
      </c>
      <c r="D31" s="72"/>
      <c r="E31" s="72"/>
      <c r="F31" s="72"/>
      <c r="G31" s="72"/>
      <c r="H31" s="76">
        <f t="shared" si="4"/>
        <v>0</v>
      </c>
    </row>
    <row r="32" spans="1:17" x14ac:dyDescent="0.2">
      <c r="A32" s="119" t="s">
        <v>17</v>
      </c>
      <c r="B32" s="119" t="s">
        <v>304</v>
      </c>
      <c r="C32" s="120" t="s">
        <v>305</v>
      </c>
      <c r="D32" s="72"/>
      <c r="E32" s="72"/>
      <c r="F32" s="72"/>
      <c r="G32" s="72"/>
      <c r="H32" s="76">
        <f t="shared" si="4"/>
        <v>0</v>
      </c>
    </row>
    <row r="33" spans="1:13" x14ac:dyDescent="0.2">
      <c r="A33" s="119" t="s">
        <v>33</v>
      </c>
      <c r="B33" s="119" t="s">
        <v>306</v>
      </c>
      <c r="C33" s="120" t="s">
        <v>607</v>
      </c>
      <c r="D33" s="72"/>
      <c r="E33" s="72"/>
      <c r="F33" s="72"/>
      <c r="G33" s="72"/>
      <c r="H33" s="76">
        <f t="shared" si="4"/>
        <v>0</v>
      </c>
    </row>
    <row r="34" spans="1:13" x14ac:dyDescent="0.2">
      <c r="A34" s="119" t="s">
        <v>35</v>
      </c>
      <c r="B34" s="119" t="s">
        <v>307</v>
      </c>
      <c r="C34" s="120" t="s">
        <v>308</v>
      </c>
      <c r="D34" s="72"/>
      <c r="E34" s="72"/>
      <c r="F34" s="72"/>
      <c r="G34" s="72"/>
      <c r="H34" s="76">
        <f t="shared" si="4"/>
        <v>0</v>
      </c>
    </row>
    <row r="35" spans="1:13" x14ac:dyDescent="0.2">
      <c r="A35" s="119" t="s">
        <v>30</v>
      </c>
      <c r="B35" s="119" t="s">
        <v>309</v>
      </c>
      <c r="C35" s="120" t="s">
        <v>310</v>
      </c>
      <c r="D35" s="72"/>
      <c r="E35" s="72"/>
      <c r="F35" s="72"/>
      <c r="G35" s="72"/>
      <c r="H35" s="76">
        <f t="shared" si="4"/>
        <v>0</v>
      </c>
    </row>
    <row r="36" spans="1:13" x14ac:dyDescent="0.2">
      <c r="A36" s="119" t="s">
        <v>18</v>
      </c>
      <c r="B36" s="119" t="s">
        <v>311</v>
      </c>
      <c r="C36" s="120" t="s">
        <v>605</v>
      </c>
      <c r="D36" s="72"/>
      <c r="E36" s="72"/>
      <c r="F36" s="72"/>
      <c r="G36" s="72"/>
      <c r="H36" s="76">
        <f t="shared" si="4"/>
        <v>0</v>
      </c>
    </row>
    <row r="37" spans="1:13" x14ac:dyDescent="0.2">
      <c r="A37" s="119" t="s">
        <v>19</v>
      </c>
      <c r="B37" s="110" t="s">
        <v>458</v>
      </c>
      <c r="C37" s="111" t="s">
        <v>459</v>
      </c>
      <c r="D37" s="70">
        <f>SUM(D29:D36)</f>
        <v>2800000</v>
      </c>
      <c r="E37" s="70">
        <f>SUM(E29:E36)</f>
        <v>2800000</v>
      </c>
      <c r="F37" s="70">
        <f>SUM(F29:F36)</f>
        <v>2800000</v>
      </c>
      <c r="G37" s="70">
        <f>SUM(G29:G36)</f>
        <v>2511600</v>
      </c>
      <c r="H37" s="70">
        <f t="shared" si="4"/>
        <v>10911600</v>
      </c>
    </row>
    <row r="39" spans="1:13" x14ac:dyDescent="0.2">
      <c r="A39" s="146" t="s">
        <v>765</v>
      </c>
    </row>
    <row r="40" spans="1:13" ht="30" x14ac:dyDescent="0.2">
      <c r="C40" s="144"/>
      <c r="D40" s="183" t="s">
        <v>496</v>
      </c>
      <c r="E40" s="183" t="s">
        <v>497</v>
      </c>
      <c r="F40" s="183" t="s">
        <v>498</v>
      </c>
      <c r="G40" s="183" t="s">
        <v>638</v>
      </c>
      <c r="H40" s="61" t="s">
        <v>477</v>
      </c>
      <c r="I40" s="293" t="s">
        <v>746</v>
      </c>
      <c r="J40" s="293" t="s">
        <v>747</v>
      </c>
      <c r="K40" s="293"/>
      <c r="L40" s="293"/>
      <c r="M40" s="293"/>
    </row>
    <row r="41" spans="1:13" x14ac:dyDescent="0.2">
      <c r="A41" s="119" t="s">
        <v>0</v>
      </c>
      <c r="B41" s="119" t="s">
        <v>300</v>
      </c>
      <c r="C41" s="120" t="s">
        <v>301</v>
      </c>
      <c r="D41" s="463">
        <f>215000+235000*11</f>
        <v>2800000</v>
      </c>
      <c r="E41" s="463">
        <f>215000+235000*11</f>
        <v>2800000</v>
      </c>
      <c r="F41" s="463">
        <f>215000+235000*11</f>
        <v>2800000</v>
      </c>
      <c r="G41" s="463">
        <f>195000+210600*3.5+78975*7.5</f>
        <v>1524412.5</v>
      </c>
      <c r="H41" s="76">
        <f>SUM(D41:G41)</f>
        <v>9924412.5</v>
      </c>
      <c r="I41" s="292">
        <f>215000*3+235000*3*6+195000+210600*3.5+78975*2.5</f>
        <v>6004537.5</v>
      </c>
      <c r="J41" s="292">
        <f>H41-I41</f>
        <v>3919875</v>
      </c>
      <c r="K41" s="292"/>
      <c r="L41" s="292"/>
      <c r="M41" s="292"/>
    </row>
    <row r="42" spans="1:13" x14ac:dyDescent="0.2">
      <c r="A42" s="119" t="s">
        <v>6</v>
      </c>
      <c r="B42" s="119" t="s">
        <v>648</v>
      </c>
      <c r="C42" s="120" t="s">
        <v>649</v>
      </c>
      <c r="D42" s="72">
        <v>150376</v>
      </c>
      <c r="E42" s="72"/>
      <c r="F42" s="72"/>
      <c r="G42" s="72"/>
      <c r="H42" s="76">
        <f t="shared" ref="H42:H49" si="5">SUM(D42:G42)</f>
        <v>150376</v>
      </c>
    </row>
    <row r="43" spans="1:13" x14ac:dyDescent="0.2">
      <c r="A43" s="119" t="s">
        <v>14</v>
      </c>
      <c r="B43" s="119" t="s">
        <v>302</v>
      </c>
      <c r="C43" s="120" t="s">
        <v>303</v>
      </c>
      <c r="D43" s="72"/>
      <c r="E43" s="72"/>
      <c r="F43" s="72"/>
      <c r="G43" s="72"/>
      <c r="H43" s="76">
        <f t="shared" si="5"/>
        <v>0</v>
      </c>
    </row>
    <row r="44" spans="1:13" x14ac:dyDescent="0.2">
      <c r="A44" s="119" t="s">
        <v>17</v>
      </c>
      <c r="B44" s="119" t="s">
        <v>304</v>
      </c>
      <c r="C44" s="120" t="s">
        <v>305</v>
      </c>
      <c r="D44" s="72"/>
      <c r="E44" s="72"/>
      <c r="F44" s="72"/>
      <c r="G44" s="72"/>
      <c r="H44" s="76">
        <f t="shared" si="5"/>
        <v>0</v>
      </c>
    </row>
    <row r="45" spans="1:13" x14ac:dyDescent="0.2">
      <c r="A45" s="119" t="s">
        <v>33</v>
      </c>
      <c r="B45" s="119" t="s">
        <v>306</v>
      </c>
      <c r="C45" s="120" t="s">
        <v>607</v>
      </c>
      <c r="D45" s="72"/>
      <c r="E45" s="72"/>
      <c r="F45" s="72"/>
      <c r="G45" s="72"/>
      <c r="H45" s="76">
        <f t="shared" si="5"/>
        <v>0</v>
      </c>
    </row>
    <row r="46" spans="1:13" x14ac:dyDescent="0.2">
      <c r="A46" s="119" t="s">
        <v>35</v>
      </c>
      <c r="B46" s="119" t="s">
        <v>307</v>
      </c>
      <c r="C46" s="120" t="s">
        <v>308</v>
      </c>
      <c r="D46" s="72"/>
      <c r="E46" s="72"/>
      <c r="F46" s="72"/>
      <c r="G46" s="72"/>
      <c r="H46" s="76">
        <f t="shared" si="5"/>
        <v>0</v>
      </c>
    </row>
    <row r="47" spans="1:13" x14ac:dyDescent="0.2">
      <c r="A47" s="119" t="s">
        <v>30</v>
      </c>
      <c r="B47" s="119" t="s">
        <v>309</v>
      </c>
      <c r="C47" s="120" t="s">
        <v>310</v>
      </c>
      <c r="D47" s="72"/>
      <c r="E47" s="72"/>
      <c r="F47" s="72"/>
      <c r="G47" s="72"/>
      <c r="H47" s="76">
        <f t="shared" si="5"/>
        <v>0</v>
      </c>
    </row>
    <row r="48" spans="1:13" x14ac:dyDescent="0.2">
      <c r="A48" s="119" t="s">
        <v>18</v>
      </c>
      <c r="B48" s="119" t="s">
        <v>311</v>
      </c>
      <c r="C48" s="120" t="s">
        <v>605</v>
      </c>
      <c r="D48" s="72"/>
      <c r="E48" s="72"/>
      <c r="F48" s="72"/>
      <c r="G48" s="72"/>
      <c r="H48" s="76">
        <f t="shared" si="5"/>
        <v>0</v>
      </c>
    </row>
    <row r="49" spans="1:16" x14ac:dyDescent="0.2">
      <c r="A49" s="119" t="s">
        <v>19</v>
      </c>
      <c r="B49" s="110" t="s">
        <v>458</v>
      </c>
      <c r="C49" s="111" t="s">
        <v>459</v>
      </c>
      <c r="D49" s="70">
        <f>SUM(D41:D48)</f>
        <v>2950376</v>
      </c>
      <c r="E49" s="70">
        <f>SUM(E41:E48)</f>
        <v>2800000</v>
      </c>
      <c r="F49" s="70">
        <f>SUM(F41:F48)</f>
        <v>2800000</v>
      </c>
      <c r="G49" s="70">
        <f>SUM(G41:G48)</f>
        <v>1524412.5</v>
      </c>
      <c r="H49" s="70">
        <f t="shared" si="5"/>
        <v>10074788.5</v>
      </c>
    </row>
    <row r="51" spans="1:16" x14ac:dyDescent="0.2">
      <c r="A51" s="146" t="s">
        <v>499</v>
      </c>
    </row>
    <row r="52" spans="1:16" ht="30" x14ac:dyDescent="0.2">
      <c r="C52" s="144"/>
      <c r="D52" s="183" t="s">
        <v>500</v>
      </c>
      <c r="E52" s="183"/>
      <c r="F52" s="183"/>
      <c r="G52" s="61" t="s">
        <v>477</v>
      </c>
      <c r="H52" s="293"/>
      <c r="I52" s="293"/>
      <c r="J52" s="184"/>
      <c r="K52" s="184"/>
      <c r="L52" s="184"/>
      <c r="M52" s="184"/>
      <c r="N52" s="184"/>
      <c r="O52" s="184"/>
      <c r="P52" s="184"/>
    </row>
    <row r="53" spans="1:16" x14ac:dyDescent="0.2">
      <c r="A53" s="119" t="s">
        <v>0</v>
      </c>
      <c r="B53" s="119" t="s">
        <v>300</v>
      </c>
      <c r="C53" s="120" t="s">
        <v>301</v>
      </c>
      <c r="D53" s="72">
        <f>146250*3+210600*9</f>
        <v>2334150</v>
      </c>
      <c r="E53" s="72"/>
      <c r="F53" s="72"/>
      <c r="G53" s="76">
        <f>SUM(D53:F53)</f>
        <v>2334150</v>
      </c>
      <c r="H53" s="185"/>
      <c r="I53" s="185"/>
      <c r="J53" s="185"/>
      <c r="K53" s="185"/>
      <c r="L53" s="185"/>
      <c r="M53" s="185"/>
      <c r="N53" s="185"/>
      <c r="O53" s="185"/>
      <c r="P53" s="185"/>
    </row>
    <row r="54" spans="1:16" x14ac:dyDescent="0.2">
      <c r="A54" s="119" t="s">
        <v>6</v>
      </c>
      <c r="B54" s="119" t="s">
        <v>648</v>
      </c>
      <c r="C54" s="120" t="s">
        <v>649</v>
      </c>
      <c r="D54" s="72"/>
      <c r="E54" s="72"/>
      <c r="F54" s="72"/>
      <c r="G54" s="76">
        <f t="shared" ref="G54:G60" si="6">SUM(D54:F54)</f>
        <v>0</v>
      </c>
      <c r="H54" s="185"/>
      <c r="I54" s="185"/>
      <c r="J54" s="185"/>
      <c r="K54" s="185"/>
      <c r="L54" s="185"/>
      <c r="M54" s="185"/>
      <c r="N54" s="185"/>
      <c r="O54" s="185"/>
      <c r="P54" s="185"/>
    </row>
    <row r="55" spans="1:16" x14ac:dyDescent="0.2">
      <c r="A55" s="119" t="s">
        <v>14</v>
      </c>
      <c r="B55" s="119" t="s">
        <v>302</v>
      </c>
      <c r="C55" s="120" t="s">
        <v>303</v>
      </c>
      <c r="D55" s="72"/>
      <c r="E55" s="72"/>
      <c r="F55" s="72"/>
      <c r="G55" s="76">
        <f t="shared" si="6"/>
        <v>0</v>
      </c>
      <c r="H55" s="185"/>
      <c r="I55" s="185"/>
      <c r="J55" s="185"/>
      <c r="K55" s="185"/>
      <c r="L55" s="185"/>
      <c r="M55" s="185"/>
      <c r="N55" s="185"/>
      <c r="O55" s="185"/>
      <c r="P55" s="185"/>
    </row>
    <row r="56" spans="1:16" x14ac:dyDescent="0.2">
      <c r="A56" s="119" t="s">
        <v>17</v>
      </c>
      <c r="B56" s="119" t="s">
        <v>304</v>
      </c>
      <c r="C56" s="120" t="s">
        <v>305</v>
      </c>
      <c r="D56" s="72"/>
      <c r="E56" s="72"/>
      <c r="F56" s="72"/>
      <c r="G56" s="76">
        <f t="shared" si="6"/>
        <v>0</v>
      </c>
      <c r="H56" s="185"/>
      <c r="I56" s="185"/>
      <c r="J56" s="185"/>
      <c r="K56" s="185"/>
      <c r="L56" s="185"/>
      <c r="M56" s="185"/>
      <c r="N56" s="185"/>
      <c r="O56" s="185"/>
      <c r="P56" s="185"/>
    </row>
    <row r="57" spans="1:16" x14ac:dyDescent="0.2">
      <c r="A57" s="119" t="s">
        <v>33</v>
      </c>
      <c r="B57" s="119" t="s">
        <v>306</v>
      </c>
      <c r="C57" s="120" t="s">
        <v>607</v>
      </c>
      <c r="D57" s="72"/>
      <c r="E57" s="72"/>
      <c r="F57" s="72"/>
      <c r="G57" s="76">
        <f t="shared" si="6"/>
        <v>0</v>
      </c>
      <c r="H57" s="185"/>
      <c r="I57" s="185"/>
      <c r="J57" s="185"/>
      <c r="K57" s="185"/>
      <c r="L57" s="185"/>
      <c r="M57" s="185"/>
      <c r="N57" s="185"/>
      <c r="O57" s="185"/>
      <c r="P57" s="185"/>
    </row>
    <row r="58" spans="1:16" x14ac:dyDescent="0.2">
      <c r="A58" s="119" t="s">
        <v>35</v>
      </c>
      <c r="B58" s="119" t="s">
        <v>307</v>
      </c>
      <c r="C58" s="120" t="s">
        <v>308</v>
      </c>
      <c r="D58" s="72"/>
      <c r="E58" s="72"/>
      <c r="F58" s="72"/>
      <c r="G58" s="76">
        <f t="shared" si="6"/>
        <v>0</v>
      </c>
      <c r="H58" s="185"/>
      <c r="I58" s="185"/>
      <c r="J58" s="185"/>
      <c r="K58" s="185"/>
      <c r="L58" s="185"/>
      <c r="M58" s="185"/>
      <c r="N58" s="185"/>
      <c r="O58" s="185"/>
      <c r="P58" s="185"/>
    </row>
    <row r="59" spans="1:16" x14ac:dyDescent="0.2">
      <c r="A59" s="119" t="s">
        <v>30</v>
      </c>
      <c r="B59" s="119" t="s">
        <v>309</v>
      </c>
      <c r="C59" s="120" t="s">
        <v>310</v>
      </c>
      <c r="D59" s="72"/>
      <c r="E59" s="72"/>
      <c r="F59" s="72"/>
      <c r="G59" s="76">
        <f t="shared" si="6"/>
        <v>0</v>
      </c>
      <c r="H59" s="185"/>
      <c r="I59" s="185"/>
      <c r="J59" s="185"/>
      <c r="K59" s="185"/>
      <c r="L59" s="185"/>
      <c r="M59" s="185"/>
      <c r="N59" s="185"/>
      <c r="O59" s="185"/>
      <c r="P59" s="185"/>
    </row>
    <row r="60" spans="1:16" x14ac:dyDescent="0.2">
      <c r="A60" s="119" t="s">
        <v>18</v>
      </c>
      <c r="B60" s="119" t="s">
        <v>311</v>
      </c>
      <c r="C60" s="120" t="s">
        <v>605</v>
      </c>
      <c r="D60" s="72"/>
      <c r="E60" s="72"/>
      <c r="F60" s="72"/>
      <c r="G60" s="76">
        <f t="shared" si="6"/>
        <v>0</v>
      </c>
      <c r="H60" s="185"/>
      <c r="I60" s="185"/>
      <c r="J60" s="185"/>
      <c r="K60" s="185"/>
      <c r="L60" s="185"/>
      <c r="M60" s="185"/>
      <c r="N60" s="185"/>
      <c r="O60" s="185"/>
      <c r="P60" s="185"/>
    </row>
    <row r="61" spans="1:16" x14ac:dyDescent="0.2">
      <c r="A61" s="119" t="s">
        <v>19</v>
      </c>
      <c r="B61" s="110" t="s">
        <v>458</v>
      </c>
      <c r="C61" s="111" t="s">
        <v>459</v>
      </c>
      <c r="D61" s="70">
        <f>SUM(D53:D60)</f>
        <v>2334150</v>
      </c>
      <c r="E61" s="70">
        <f>SUM(E53:E60)</f>
        <v>0</v>
      </c>
      <c r="F61" s="70">
        <f>SUM(F53:F60)</f>
        <v>0</v>
      </c>
      <c r="G61" s="70">
        <f>SUM(D61:F61)</f>
        <v>2334150</v>
      </c>
      <c r="H61" s="186"/>
      <c r="I61" s="186"/>
      <c r="J61" s="186"/>
      <c r="K61" s="186"/>
      <c r="L61" s="186"/>
      <c r="M61" s="186"/>
      <c r="N61" s="186"/>
      <c r="O61" s="186"/>
      <c r="P61" s="186"/>
    </row>
    <row r="63" spans="1:16" x14ac:dyDescent="0.2">
      <c r="A63" s="146" t="s">
        <v>766</v>
      </c>
    </row>
    <row r="64" spans="1:16" ht="30" x14ac:dyDescent="0.2">
      <c r="C64" s="144"/>
      <c r="D64" s="183" t="s">
        <v>500</v>
      </c>
      <c r="E64" s="183"/>
      <c r="F64" s="183"/>
      <c r="G64" s="61" t="s">
        <v>477</v>
      </c>
      <c r="H64" s="293" t="s">
        <v>746</v>
      </c>
      <c r="I64" s="293" t="s">
        <v>747</v>
      </c>
      <c r="J64" s="184"/>
      <c r="K64" s="184"/>
      <c r="L64" s="184"/>
      <c r="M64" s="184"/>
      <c r="N64" s="184"/>
      <c r="O64" s="184"/>
      <c r="P64" s="184"/>
    </row>
    <row r="65" spans="1:16" x14ac:dyDescent="0.2">
      <c r="A65" s="119" t="s">
        <v>0</v>
      </c>
      <c r="B65" s="119" t="s">
        <v>300</v>
      </c>
      <c r="C65" s="120" t="s">
        <v>301</v>
      </c>
      <c r="D65" s="72">
        <f>146250+157950*6+246250*6</f>
        <v>2571450</v>
      </c>
      <c r="E65" s="72"/>
      <c r="F65" s="72"/>
      <c r="G65" s="76">
        <f>SUM(D65:F65)</f>
        <v>2571450</v>
      </c>
      <c r="H65" s="185">
        <f>146250+157950*6</f>
        <v>1093950</v>
      </c>
      <c r="I65" s="185">
        <f>246250*6</f>
        <v>1477500</v>
      </c>
      <c r="J65" s="185"/>
      <c r="K65" s="185"/>
      <c r="L65" s="185"/>
      <c r="M65" s="185"/>
      <c r="N65" s="185"/>
      <c r="O65" s="185"/>
      <c r="P65" s="185"/>
    </row>
    <row r="66" spans="1:16" x14ac:dyDescent="0.2">
      <c r="A66" s="119" t="s">
        <v>6</v>
      </c>
      <c r="B66" s="119" t="s">
        <v>648</v>
      </c>
      <c r="C66" s="120" t="s">
        <v>649</v>
      </c>
      <c r="D66" s="72"/>
      <c r="E66" s="72"/>
      <c r="F66" s="72"/>
      <c r="G66" s="76">
        <f t="shared" ref="G66:G72" si="7">SUM(D66:F66)</f>
        <v>0</v>
      </c>
      <c r="H66" s="185"/>
      <c r="I66" s="185"/>
      <c r="J66" s="185"/>
      <c r="K66" s="185"/>
      <c r="L66" s="185"/>
      <c r="M66" s="185"/>
      <c r="N66" s="185"/>
      <c r="O66" s="185"/>
      <c r="P66" s="185"/>
    </row>
    <row r="67" spans="1:16" x14ac:dyDescent="0.2">
      <c r="A67" s="119" t="s">
        <v>14</v>
      </c>
      <c r="B67" s="119" t="s">
        <v>302</v>
      </c>
      <c r="C67" s="120" t="s">
        <v>303</v>
      </c>
      <c r="D67" s="72"/>
      <c r="E67" s="72"/>
      <c r="F67" s="72"/>
      <c r="G67" s="76">
        <f t="shared" si="7"/>
        <v>0</v>
      </c>
      <c r="H67" s="185"/>
      <c r="I67" s="185"/>
      <c r="J67" s="185"/>
      <c r="K67" s="185"/>
      <c r="L67" s="185"/>
      <c r="M67" s="185"/>
      <c r="N67" s="185"/>
      <c r="O67" s="185"/>
      <c r="P67" s="185"/>
    </row>
    <row r="68" spans="1:16" x14ac:dyDescent="0.2">
      <c r="A68" s="119" t="s">
        <v>17</v>
      </c>
      <c r="B68" s="119" t="s">
        <v>304</v>
      </c>
      <c r="C68" s="120" t="s">
        <v>305</v>
      </c>
      <c r="D68" s="72"/>
      <c r="E68" s="72"/>
      <c r="F68" s="72"/>
      <c r="G68" s="76">
        <f t="shared" si="7"/>
        <v>0</v>
      </c>
      <c r="H68" s="185"/>
      <c r="I68" s="185"/>
      <c r="J68" s="185"/>
      <c r="K68" s="185"/>
      <c r="L68" s="185"/>
      <c r="M68" s="185"/>
      <c r="N68" s="185"/>
      <c r="O68" s="185"/>
      <c r="P68" s="185"/>
    </row>
    <row r="69" spans="1:16" x14ac:dyDescent="0.2">
      <c r="A69" s="119" t="s">
        <v>33</v>
      </c>
      <c r="B69" s="119" t="s">
        <v>306</v>
      </c>
      <c r="C69" s="120" t="s">
        <v>607</v>
      </c>
      <c r="D69" s="72"/>
      <c r="E69" s="72"/>
      <c r="F69" s="72"/>
      <c r="G69" s="76">
        <f t="shared" si="7"/>
        <v>0</v>
      </c>
      <c r="H69" s="185"/>
      <c r="I69" s="185"/>
      <c r="J69" s="185"/>
      <c r="K69" s="185"/>
      <c r="L69" s="185"/>
      <c r="M69" s="185"/>
      <c r="N69" s="185"/>
      <c r="O69" s="185"/>
      <c r="P69" s="185"/>
    </row>
    <row r="70" spans="1:16" x14ac:dyDescent="0.2">
      <c r="A70" s="119" t="s">
        <v>35</v>
      </c>
      <c r="B70" s="119" t="s">
        <v>307</v>
      </c>
      <c r="C70" s="120" t="s">
        <v>308</v>
      </c>
      <c r="D70" s="72"/>
      <c r="E70" s="72"/>
      <c r="F70" s="72"/>
      <c r="G70" s="76">
        <f t="shared" si="7"/>
        <v>0</v>
      </c>
      <c r="H70" s="185"/>
      <c r="I70" s="185"/>
      <c r="J70" s="185"/>
      <c r="K70" s="185"/>
      <c r="L70" s="185"/>
      <c r="M70" s="185"/>
      <c r="N70" s="185"/>
      <c r="O70" s="185"/>
      <c r="P70" s="185"/>
    </row>
    <row r="71" spans="1:16" x14ac:dyDescent="0.2">
      <c r="A71" s="119" t="s">
        <v>30</v>
      </c>
      <c r="B71" s="119" t="s">
        <v>309</v>
      </c>
      <c r="C71" s="120" t="s">
        <v>310</v>
      </c>
      <c r="D71" s="72"/>
      <c r="E71" s="72"/>
      <c r="F71" s="72"/>
      <c r="G71" s="76">
        <f t="shared" si="7"/>
        <v>0</v>
      </c>
      <c r="H71" s="185"/>
      <c r="I71" s="185"/>
      <c r="J71" s="185"/>
      <c r="K71" s="185"/>
      <c r="L71" s="185"/>
      <c r="M71" s="185"/>
      <c r="N71" s="185"/>
      <c r="O71" s="185"/>
      <c r="P71" s="185"/>
    </row>
    <row r="72" spans="1:16" x14ac:dyDescent="0.2">
      <c r="A72" s="119" t="s">
        <v>18</v>
      </c>
      <c r="B72" s="119" t="s">
        <v>311</v>
      </c>
      <c r="C72" s="120" t="s">
        <v>605</v>
      </c>
      <c r="D72" s="72"/>
      <c r="E72" s="72"/>
      <c r="F72" s="72"/>
      <c r="G72" s="76">
        <f t="shared" si="7"/>
        <v>0</v>
      </c>
      <c r="H72" s="185"/>
      <c r="I72" s="185"/>
      <c r="J72" s="185"/>
      <c r="K72" s="185"/>
      <c r="L72" s="185"/>
      <c r="M72" s="185"/>
      <c r="N72" s="185"/>
      <c r="O72" s="185"/>
      <c r="P72" s="185"/>
    </row>
    <row r="73" spans="1:16" x14ac:dyDescent="0.2">
      <c r="A73" s="119" t="s">
        <v>19</v>
      </c>
      <c r="B73" s="110" t="s">
        <v>458</v>
      </c>
      <c r="C73" s="111" t="s">
        <v>459</v>
      </c>
      <c r="D73" s="70">
        <f>SUM(D65:D72)</f>
        <v>2571450</v>
      </c>
      <c r="E73" s="70">
        <f>SUM(E65:E72)</f>
        <v>0</v>
      </c>
      <c r="F73" s="70">
        <f>SUM(F65:F72)</f>
        <v>0</v>
      </c>
      <c r="G73" s="70">
        <f>SUM(D73:F73)</f>
        <v>2571450</v>
      </c>
      <c r="H73" s="186"/>
      <c r="I73" s="186"/>
      <c r="J73" s="186"/>
      <c r="K73" s="186"/>
      <c r="L73" s="186"/>
      <c r="M73" s="186"/>
      <c r="N73" s="186"/>
      <c r="O73" s="186"/>
      <c r="P73" s="186"/>
    </row>
    <row r="75" spans="1:16" x14ac:dyDescent="0.2">
      <c r="A75" s="146" t="s">
        <v>784</v>
      </c>
    </row>
    <row r="76" spans="1:16" ht="30" x14ac:dyDescent="0.2">
      <c r="C76" s="144"/>
      <c r="D76" s="183" t="s">
        <v>785</v>
      </c>
      <c r="E76" s="183" t="s">
        <v>786</v>
      </c>
      <c r="F76" s="183" t="s">
        <v>787</v>
      </c>
      <c r="G76" s="61" t="s">
        <v>477</v>
      </c>
      <c r="H76" s="293" t="s">
        <v>746</v>
      </c>
      <c r="I76" s="293" t="s">
        <v>747</v>
      </c>
      <c r="J76" s="184"/>
      <c r="K76" s="184"/>
      <c r="L76" s="184"/>
      <c r="M76" s="184"/>
      <c r="N76" s="184"/>
      <c r="O76" s="184"/>
      <c r="P76" s="184"/>
    </row>
    <row r="77" spans="1:16" x14ac:dyDescent="0.2">
      <c r="A77" s="119" t="s">
        <v>0</v>
      </c>
      <c r="B77" s="119" t="s">
        <v>300</v>
      </c>
      <c r="C77" s="120" t="s">
        <v>301</v>
      </c>
      <c r="D77" s="72">
        <f>980000*6</f>
        <v>5880000</v>
      </c>
      <c r="E77" s="72">
        <f>300000*6</f>
        <v>1800000</v>
      </c>
      <c r="F77" s="72">
        <f>40250*5.5</f>
        <v>221375</v>
      </c>
      <c r="G77" s="76">
        <f>SUM(D77:F77)</f>
        <v>7901375</v>
      </c>
      <c r="H77" s="185">
        <f>980000+300000+20125</f>
        <v>1300125</v>
      </c>
      <c r="I77" s="185">
        <f>G77-H77</f>
        <v>6601250</v>
      </c>
      <c r="J77" s="185"/>
      <c r="K77" s="185"/>
      <c r="L77" s="185"/>
      <c r="M77" s="185"/>
      <c r="N77" s="185"/>
      <c r="O77" s="185"/>
      <c r="P77" s="185"/>
    </row>
    <row r="78" spans="1:16" x14ac:dyDescent="0.2">
      <c r="A78" s="119" t="s">
        <v>6</v>
      </c>
      <c r="B78" s="119" t="s">
        <v>648</v>
      </c>
      <c r="C78" s="120" t="s">
        <v>649</v>
      </c>
      <c r="D78" s="72"/>
      <c r="E78" s="72"/>
      <c r="F78" s="72"/>
      <c r="G78" s="76">
        <f t="shared" ref="G78:G84" si="8">SUM(D78:F78)</f>
        <v>0</v>
      </c>
      <c r="H78" s="185"/>
      <c r="I78" s="185"/>
      <c r="J78" s="185"/>
      <c r="K78" s="185"/>
      <c r="L78" s="185"/>
      <c r="M78" s="185"/>
      <c r="N78" s="185"/>
      <c r="O78" s="185"/>
      <c r="P78" s="185"/>
    </row>
    <row r="79" spans="1:16" x14ac:dyDescent="0.2">
      <c r="A79" s="119" t="s">
        <v>14</v>
      </c>
      <c r="B79" s="119" t="s">
        <v>302</v>
      </c>
      <c r="C79" s="120" t="s">
        <v>303</v>
      </c>
      <c r="D79" s="72"/>
      <c r="E79" s="72"/>
      <c r="F79" s="72"/>
      <c r="G79" s="76">
        <f t="shared" si="8"/>
        <v>0</v>
      </c>
      <c r="H79" s="185"/>
      <c r="I79" s="185"/>
      <c r="J79" s="185"/>
      <c r="K79" s="185"/>
      <c r="L79" s="185"/>
      <c r="M79" s="185"/>
      <c r="N79" s="185"/>
      <c r="O79" s="185"/>
      <c r="P79" s="185"/>
    </row>
    <row r="80" spans="1:16" x14ac:dyDescent="0.2">
      <c r="A80" s="119" t="s">
        <v>17</v>
      </c>
      <c r="B80" s="119" t="s">
        <v>304</v>
      </c>
      <c r="C80" s="120" t="s">
        <v>305</v>
      </c>
      <c r="D80" s="72"/>
      <c r="E80" s="72"/>
      <c r="F80" s="72"/>
      <c r="G80" s="76">
        <f t="shared" si="8"/>
        <v>0</v>
      </c>
      <c r="H80" s="185"/>
      <c r="I80" s="185"/>
      <c r="J80" s="185"/>
      <c r="K80" s="185"/>
      <c r="L80" s="185"/>
      <c r="M80" s="185"/>
      <c r="N80" s="185"/>
      <c r="O80" s="185"/>
      <c r="P80" s="185"/>
    </row>
    <row r="81" spans="1:16" x14ac:dyDescent="0.2">
      <c r="A81" s="119" t="s">
        <v>33</v>
      </c>
      <c r="B81" s="119" t="s">
        <v>306</v>
      </c>
      <c r="C81" s="120" t="s">
        <v>607</v>
      </c>
      <c r="D81" s="72"/>
      <c r="E81" s="72"/>
      <c r="F81" s="72"/>
      <c r="G81" s="76">
        <f t="shared" si="8"/>
        <v>0</v>
      </c>
      <c r="H81" s="185"/>
      <c r="I81" s="185"/>
      <c r="J81" s="185"/>
      <c r="K81" s="185"/>
      <c r="L81" s="185"/>
      <c r="M81" s="185"/>
      <c r="N81" s="185"/>
      <c r="O81" s="185"/>
      <c r="P81" s="185"/>
    </row>
    <row r="82" spans="1:16" x14ac:dyDescent="0.2">
      <c r="A82" s="119" t="s">
        <v>35</v>
      </c>
      <c r="B82" s="119" t="s">
        <v>307</v>
      </c>
      <c r="C82" s="120" t="s">
        <v>308</v>
      </c>
      <c r="D82" s="72"/>
      <c r="E82" s="72"/>
      <c r="F82" s="72"/>
      <c r="G82" s="76">
        <f t="shared" si="8"/>
        <v>0</v>
      </c>
      <c r="H82" s="185"/>
      <c r="I82" s="185"/>
      <c r="J82" s="185"/>
      <c r="K82" s="185"/>
      <c r="L82" s="185"/>
      <c r="M82" s="185"/>
      <c r="N82" s="185"/>
      <c r="O82" s="185"/>
      <c r="P82" s="185"/>
    </row>
    <row r="83" spans="1:16" x14ac:dyDescent="0.2">
      <c r="A83" s="119" t="s">
        <v>30</v>
      </c>
      <c r="B83" s="119" t="s">
        <v>309</v>
      </c>
      <c r="C83" s="120" t="s">
        <v>310</v>
      </c>
      <c r="D83" s="72"/>
      <c r="E83" s="72"/>
      <c r="F83" s="72"/>
      <c r="G83" s="76">
        <f t="shared" si="8"/>
        <v>0</v>
      </c>
      <c r="H83" s="185"/>
      <c r="I83" s="185"/>
      <c r="J83" s="185"/>
      <c r="K83" s="185"/>
      <c r="L83" s="185"/>
      <c r="M83" s="185"/>
      <c r="N83" s="185"/>
      <c r="O83" s="185"/>
      <c r="P83" s="185"/>
    </row>
    <row r="84" spans="1:16" x14ac:dyDescent="0.2">
      <c r="A84" s="119" t="s">
        <v>18</v>
      </c>
      <c r="B84" s="119" t="s">
        <v>311</v>
      </c>
      <c r="C84" s="120" t="s">
        <v>605</v>
      </c>
      <c r="D84" s="72">
        <v>500000</v>
      </c>
      <c r="E84" s="72">
        <v>500000</v>
      </c>
      <c r="F84" s="72"/>
      <c r="G84" s="76">
        <f t="shared" si="8"/>
        <v>1000000</v>
      </c>
      <c r="H84" s="185"/>
      <c r="I84" s="185"/>
      <c r="J84" s="185"/>
      <c r="K84" s="185"/>
      <c r="L84" s="185"/>
      <c r="M84" s="185"/>
      <c r="N84" s="185"/>
      <c r="O84" s="185"/>
      <c r="P84" s="185"/>
    </row>
    <row r="85" spans="1:16" x14ac:dyDescent="0.2">
      <c r="A85" s="119" t="s">
        <v>19</v>
      </c>
      <c r="B85" s="110" t="s">
        <v>458</v>
      </c>
      <c r="C85" s="111" t="s">
        <v>459</v>
      </c>
      <c r="D85" s="70">
        <f>SUM(D77:D84)</f>
        <v>6380000</v>
      </c>
      <c r="E85" s="70">
        <f>SUM(E77:E84)</f>
        <v>2300000</v>
      </c>
      <c r="F85" s="70">
        <f>SUM(F77:F84)</f>
        <v>221375</v>
      </c>
      <c r="G85" s="70">
        <f>SUM(D85:F85)</f>
        <v>8901375</v>
      </c>
      <c r="H85" s="186"/>
      <c r="I85" s="186"/>
      <c r="J85" s="186"/>
      <c r="K85" s="186"/>
      <c r="L85" s="186"/>
      <c r="M85" s="186"/>
      <c r="N85" s="186"/>
      <c r="O85" s="186"/>
      <c r="P85" s="186"/>
    </row>
    <row r="86" spans="1:16" s="197" customFormat="1" x14ac:dyDescent="0.2">
      <c r="A86" s="464"/>
      <c r="B86" s="399"/>
      <c r="C86" s="465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</row>
    <row r="87" spans="1:16" x14ac:dyDescent="0.2">
      <c r="A87" s="146" t="s">
        <v>475</v>
      </c>
    </row>
    <row r="88" spans="1:16" ht="45" x14ac:dyDescent="0.2">
      <c r="D88" s="183" t="s">
        <v>639</v>
      </c>
      <c r="E88" s="183" t="s">
        <v>640</v>
      </c>
      <c r="F88" s="183" t="s">
        <v>641</v>
      </c>
      <c r="G88" s="183" t="s">
        <v>508</v>
      </c>
      <c r="H88" s="183" t="s">
        <v>622</v>
      </c>
      <c r="I88" s="183" t="s">
        <v>623</v>
      </c>
      <c r="J88" s="183" t="s">
        <v>642</v>
      </c>
      <c r="K88" s="183" t="s">
        <v>514</v>
      </c>
      <c r="L88" s="183" t="s">
        <v>515</v>
      </c>
      <c r="M88" s="183" t="s">
        <v>516</v>
      </c>
      <c r="N88" s="61" t="s">
        <v>477</v>
      </c>
      <c r="O88" s="293"/>
      <c r="P88" s="293"/>
    </row>
    <row r="89" spans="1:16" x14ac:dyDescent="0.2">
      <c r="A89" s="119" t="s">
        <v>0</v>
      </c>
      <c r="B89" s="119" t="s">
        <v>300</v>
      </c>
      <c r="C89" s="120" t="s">
        <v>301</v>
      </c>
      <c r="D89" s="72">
        <f>219240*12</f>
        <v>2630880</v>
      </c>
      <c r="E89" s="72">
        <f>337995*12</f>
        <v>4055940</v>
      </c>
      <c r="F89" s="72">
        <f>337995+347130*11</f>
        <v>4156425</v>
      </c>
      <c r="G89" s="72">
        <f>(283185+73080+18270)*12</f>
        <v>4494420</v>
      </c>
      <c r="H89" s="72">
        <f>208700+225300*11</f>
        <v>2687000</v>
      </c>
      <c r="I89" s="72">
        <f>182700+219240*11</f>
        <v>2594340</v>
      </c>
      <c r="J89" s="72">
        <f>208700+225300*11</f>
        <v>2687000</v>
      </c>
      <c r="K89" s="72">
        <f>208700+225300*11</f>
        <v>2687000</v>
      </c>
      <c r="L89" s="72">
        <f>208700+225300*11</f>
        <v>2687000</v>
      </c>
      <c r="M89" s="72">
        <f>208700+225300*11</f>
        <v>2687000</v>
      </c>
      <c r="N89" s="76">
        <f t="shared" ref="N89:N97" si="9">SUM(D89:M89)</f>
        <v>31367005</v>
      </c>
      <c r="O89" s="292"/>
      <c r="P89" s="292"/>
    </row>
    <row r="90" spans="1:16" x14ac:dyDescent="0.2">
      <c r="A90" s="119" t="s">
        <v>6</v>
      </c>
      <c r="B90" s="119" t="s">
        <v>648</v>
      </c>
      <c r="C90" s="120" t="s">
        <v>649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6">
        <f t="shared" si="9"/>
        <v>0</v>
      </c>
      <c r="O90" s="292"/>
    </row>
    <row r="91" spans="1:16" x14ac:dyDescent="0.2">
      <c r="A91" s="119" t="s">
        <v>14</v>
      </c>
      <c r="B91" s="119" t="s">
        <v>302</v>
      </c>
      <c r="C91" s="120" t="s">
        <v>303</v>
      </c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6">
        <f t="shared" si="9"/>
        <v>0</v>
      </c>
      <c r="O91" s="292"/>
    </row>
    <row r="92" spans="1:16" x14ac:dyDescent="0.2">
      <c r="A92" s="119" t="s">
        <v>17</v>
      </c>
      <c r="B92" s="119" t="s">
        <v>304</v>
      </c>
      <c r="C92" s="120" t="s">
        <v>305</v>
      </c>
      <c r="D92" s="72"/>
      <c r="E92" s="72">
        <f>337995*3</f>
        <v>1013985</v>
      </c>
      <c r="F92" s="72"/>
      <c r="G92" s="72"/>
      <c r="H92" s="72"/>
      <c r="I92" s="72"/>
      <c r="J92" s="72"/>
      <c r="K92" s="72"/>
      <c r="L92" s="72"/>
      <c r="M92" s="72"/>
      <c r="N92" s="76">
        <f t="shared" si="9"/>
        <v>1013985</v>
      </c>
      <c r="O92" s="292"/>
    </row>
    <row r="93" spans="1:16" x14ac:dyDescent="0.2">
      <c r="A93" s="119" t="s">
        <v>33</v>
      </c>
      <c r="B93" s="119" t="s">
        <v>306</v>
      </c>
      <c r="C93" s="120" t="s">
        <v>607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6">
        <f t="shared" si="9"/>
        <v>0</v>
      </c>
      <c r="O93" s="292"/>
      <c r="P93" s="292"/>
    </row>
    <row r="94" spans="1:16" x14ac:dyDescent="0.2">
      <c r="A94" s="119" t="s">
        <v>35</v>
      </c>
      <c r="B94" s="119" t="s">
        <v>307</v>
      </c>
      <c r="C94" s="120" t="s">
        <v>308</v>
      </c>
      <c r="D94" s="72">
        <v>160000</v>
      </c>
      <c r="E94" s="72">
        <v>35000</v>
      </c>
      <c r="F94" s="72">
        <v>150000</v>
      </c>
      <c r="G94" s="72"/>
      <c r="H94" s="72"/>
      <c r="I94" s="72"/>
      <c r="J94" s="72">
        <v>150000</v>
      </c>
      <c r="K94" s="72"/>
      <c r="L94" s="72"/>
      <c r="M94" s="72"/>
      <c r="N94" s="76">
        <f t="shared" si="9"/>
        <v>495000</v>
      </c>
      <c r="O94" s="292"/>
    </row>
    <row r="95" spans="1:16" x14ac:dyDescent="0.2">
      <c r="A95" s="119" t="s">
        <v>30</v>
      </c>
      <c r="B95" s="119" t="s">
        <v>309</v>
      </c>
      <c r="C95" s="120" t="s">
        <v>310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6">
        <f t="shared" si="9"/>
        <v>0</v>
      </c>
      <c r="O95" s="292"/>
    </row>
    <row r="96" spans="1:16" x14ac:dyDescent="0.2">
      <c r="A96" s="119" t="s">
        <v>18</v>
      </c>
      <c r="B96" s="119" t="s">
        <v>311</v>
      </c>
      <c r="C96" s="120" t="s">
        <v>643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6">
        <f t="shared" si="9"/>
        <v>0</v>
      </c>
      <c r="O96" s="292"/>
      <c r="P96" s="292"/>
    </row>
    <row r="97" spans="1:17" x14ac:dyDescent="0.2">
      <c r="A97" s="119" t="s">
        <v>19</v>
      </c>
      <c r="B97" s="110" t="s">
        <v>458</v>
      </c>
      <c r="C97" s="111" t="s">
        <v>459</v>
      </c>
      <c r="D97" s="70">
        <f t="shared" ref="D97:M97" si="10">SUM(D89:D96)</f>
        <v>2790880</v>
      </c>
      <c r="E97" s="70">
        <f t="shared" si="10"/>
        <v>5104925</v>
      </c>
      <c r="F97" s="70">
        <f t="shared" si="10"/>
        <v>4306425</v>
      </c>
      <c r="G97" s="70">
        <f t="shared" si="10"/>
        <v>4494420</v>
      </c>
      <c r="H97" s="70">
        <f t="shared" si="10"/>
        <v>2687000</v>
      </c>
      <c r="I97" s="70">
        <f t="shared" si="10"/>
        <v>2594340</v>
      </c>
      <c r="J97" s="70">
        <f>SUM(J89:J96)</f>
        <v>2837000</v>
      </c>
      <c r="K97" s="70">
        <f t="shared" si="10"/>
        <v>2687000</v>
      </c>
      <c r="L97" s="70">
        <f t="shared" si="10"/>
        <v>2687000</v>
      </c>
      <c r="M97" s="70">
        <f t="shared" si="10"/>
        <v>2687000</v>
      </c>
      <c r="N97" s="70">
        <f t="shared" si="9"/>
        <v>32875990</v>
      </c>
      <c r="O97" s="292"/>
    </row>
    <row r="99" spans="1:17" x14ac:dyDescent="0.2">
      <c r="A99" s="146" t="s">
        <v>767</v>
      </c>
    </row>
    <row r="100" spans="1:17" ht="45" x14ac:dyDescent="0.2">
      <c r="D100" s="183" t="s">
        <v>639</v>
      </c>
      <c r="E100" s="183" t="s">
        <v>640</v>
      </c>
      <c r="F100" s="183" t="s">
        <v>641</v>
      </c>
      <c r="G100" s="183" t="s">
        <v>508</v>
      </c>
      <c r="H100" s="183" t="s">
        <v>622</v>
      </c>
      <c r="I100" s="183" t="s">
        <v>623</v>
      </c>
      <c r="J100" s="183" t="s">
        <v>642</v>
      </c>
      <c r="K100" s="183" t="s">
        <v>768</v>
      </c>
      <c r="L100" s="183" t="s">
        <v>514</v>
      </c>
      <c r="M100" s="183" t="s">
        <v>515</v>
      </c>
      <c r="N100" s="183" t="s">
        <v>516</v>
      </c>
      <c r="O100" s="61" t="s">
        <v>477</v>
      </c>
      <c r="P100" s="293" t="s">
        <v>746</v>
      </c>
      <c r="Q100" s="293" t="s">
        <v>747</v>
      </c>
    </row>
    <row r="101" spans="1:17" x14ac:dyDescent="0.2">
      <c r="A101" s="119" t="s">
        <v>0</v>
      </c>
      <c r="B101" s="119" t="s">
        <v>300</v>
      </c>
      <c r="C101" s="120" t="s">
        <v>301</v>
      </c>
      <c r="D101" s="72">
        <f>219240*7+241164*5</f>
        <v>2740500</v>
      </c>
      <c r="E101" s="72">
        <f>337995*7+371795*5</f>
        <v>4224940</v>
      </c>
      <c r="F101" s="72">
        <f>337995+347130*6+381843*5</f>
        <v>4329990</v>
      </c>
      <c r="G101" s="72">
        <f>374535*7+439394*5</f>
        <v>4818715</v>
      </c>
      <c r="H101" s="72">
        <f>208700+225300*4+237510*2+261261*5</f>
        <v>2891225</v>
      </c>
      <c r="I101" s="72">
        <f>182700+219240*6+241164*5</f>
        <v>2703960</v>
      </c>
      <c r="J101" s="72">
        <v>659300</v>
      </c>
      <c r="K101" s="72">
        <f>225300*8.5</f>
        <v>1915050</v>
      </c>
      <c r="L101" s="72">
        <f>208700+225300*11</f>
        <v>2687000</v>
      </c>
      <c r="M101" s="72">
        <f>208700+225300*11</f>
        <v>2687000</v>
      </c>
      <c r="N101" s="72">
        <f>208700+225300*11</f>
        <v>2687000</v>
      </c>
      <c r="O101" s="76">
        <f t="shared" ref="O101:O109" si="11">SUM(D101:N101)</f>
        <v>32344680</v>
      </c>
      <c r="P101" s="292">
        <f>219240*7+337995*8+347130*6+374535*7+208700+225300*4+237510*2+182700+219240*6+659300+225300*3.5+208700*3+225300*18</f>
        <v>18155575</v>
      </c>
      <c r="Q101" s="292">
        <f>241164*5+371795*5+381843*5+439394*5+261261*5+241164*5+225300*20</f>
        <v>14189105</v>
      </c>
    </row>
    <row r="102" spans="1:17" x14ac:dyDescent="0.2">
      <c r="A102" s="119" t="s">
        <v>6</v>
      </c>
      <c r="B102" s="119" t="s">
        <v>648</v>
      </c>
      <c r="C102" s="120" t="s">
        <v>649</v>
      </c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187"/>
      <c r="O102" s="76">
        <f t="shared" si="11"/>
        <v>0</v>
      </c>
      <c r="P102" s="292"/>
    </row>
    <row r="103" spans="1:17" x14ac:dyDescent="0.2">
      <c r="A103" s="119" t="s">
        <v>14</v>
      </c>
      <c r="B103" s="119" t="s">
        <v>302</v>
      </c>
      <c r="C103" s="120" t="s">
        <v>303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6">
        <f t="shared" si="11"/>
        <v>0</v>
      </c>
      <c r="P103" s="292"/>
    </row>
    <row r="104" spans="1:17" x14ac:dyDescent="0.2">
      <c r="A104" s="119" t="s">
        <v>17</v>
      </c>
      <c r="B104" s="119" t="s">
        <v>304</v>
      </c>
      <c r="C104" s="120" t="s">
        <v>305</v>
      </c>
      <c r="D104" s="72"/>
      <c r="E104" s="72">
        <f>371795*3</f>
        <v>1115385</v>
      </c>
      <c r="F104" s="72"/>
      <c r="G104" s="72"/>
      <c r="H104" s="72"/>
      <c r="I104" s="72"/>
      <c r="J104" s="72"/>
      <c r="K104" s="72"/>
      <c r="L104" s="72"/>
      <c r="M104" s="72"/>
      <c r="N104" s="72"/>
      <c r="O104" s="76">
        <f t="shared" si="11"/>
        <v>1115385</v>
      </c>
      <c r="P104" s="292"/>
    </row>
    <row r="105" spans="1:17" x14ac:dyDescent="0.2">
      <c r="A105" s="119" t="s">
        <v>33</v>
      </c>
      <c r="B105" s="119" t="s">
        <v>306</v>
      </c>
      <c r="C105" s="120" t="s">
        <v>607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6">
        <f t="shared" si="11"/>
        <v>0</v>
      </c>
      <c r="P105" s="292"/>
      <c r="Q105" s="292"/>
    </row>
    <row r="106" spans="1:17" x14ac:dyDescent="0.2">
      <c r="A106" s="119" t="s">
        <v>35</v>
      </c>
      <c r="B106" s="119" t="s">
        <v>307</v>
      </c>
      <c r="C106" s="120" t="s">
        <v>308</v>
      </c>
      <c r="D106" s="72">
        <v>160000</v>
      </c>
      <c r="E106" s="72">
        <v>35000</v>
      </c>
      <c r="F106" s="72">
        <v>150000</v>
      </c>
      <c r="G106" s="72"/>
      <c r="H106" s="72"/>
      <c r="I106" s="72"/>
      <c r="J106" s="72">
        <v>20000</v>
      </c>
      <c r="K106" s="72"/>
      <c r="L106" s="72"/>
      <c r="M106" s="72"/>
      <c r="N106" s="72"/>
      <c r="O106" s="76">
        <f t="shared" si="11"/>
        <v>365000</v>
      </c>
      <c r="P106" s="292"/>
    </row>
    <row r="107" spans="1:17" x14ac:dyDescent="0.2">
      <c r="A107" s="119" t="s">
        <v>30</v>
      </c>
      <c r="B107" s="119" t="s">
        <v>309</v>
      </c>
      <c r="C107" s="120" t="s">
        <v>310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6">
        <f t="shared" si="11"/>
        <v>0</v>
      </c>
      <c r="P107" s="292"/>
    </row>
    <row r="108" spans="1:17" x14ac:dyDescent="0.2">
      <c r="A108" s="119" t="s">
        <v>18</v>
      </c>
      <c r="B108" s="119" t="s">
        <v>311</v>
      </c>
      <c r="C108" s="120" t="s">
        <v>643</v>
      </c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6">
        <f t="shared" si="11"/>
        <v>0</v>
      </c>
      <c r="P108" s="292"/>
      <c r="Q108" s="292"/>
    </row>
    <row r="109" spans="1:17" x14ac:dyDescent="0.2">
      <c r="A109" s="119" t="s">
        <v>19</v>
      </c>
      <c r="B109" s="110" t="s">
        <v>458</v>
      </c>
      <c r="C109" s="111" t="s">
        <v>459</v>
      </c>
      <c r="D109" s="70">
        <f t="shared" ref="D109:I109" si="12">SUM(D101:D108)</f>
        <v>2900500</v>
      </c>
      <c r="E109" s="70">
        <f t="shared" si="12"/>
        <v>5375325</v>
      </c>
      <c r="F109" s="70">
        <f t="shared" si="12"/>
        <v>4479990</v>
      </c>
      <c r="G109" s="70">
        <f t="shared" si="12"/>
        <v>4818715</v>
      </c>
      <c r="H109" s="70">
        <f t="shared" si="12"/>
        <v>2891225</v>
      </c>
      <c r="I109" s="70">
        <f t="shared" si="12"/>
        <v>2703960</v>
      </c>
      <c r="J109" s="70">
        <f>SUM(J101:J108)</f>
        <v>679300</v>
      </c>
      <c r="K109" s="70">
        <f>SUM(K101:K108)</f>
        <v>1915050</v>
      </c>
      <c r="L109" s="70">
        <f>SUM(L101:L108)</f>
        <v>2687000</v>
      </c>
      <c r="M109" s="70">
        <f>SUM(M101:M108)</f>
        <v>2687000</v>
      </c>
      <c r="N109" s="70">
        <f>SUM(N101:N108)</f>
        <v>2687000</v>
      </c>
      <c r="O109" s="70">
        <f t="shared" si="11"/>
        <v>33825065</v>
      </c>
      <c r="P109" s="292"/>
    </row>
    <row r="111" spans="1:17" x14ac:dyDescent="0.2">
      <c r="A111" s="146" t="s">
        <v>476</v>
      </c>
    </row>
    <row r="112" spans="1:17" ht="45" x14ac:dyDescent="0.2">
      <c r="D112" s="183" t="s">
        <v>509</v>
      </c>
      <c r="E112" s="183" t="s">
        <v>742</v>
      </c>
      <c r="F112" s="183" t="s">
        <v>604</v>
      </c>
      <c r="G112" s="183" t="s">
        <v>510</v>
      </c>
      <c r="H112" s="183" t="s">
        <v>511</v>
      </c>
      <c r="I112" s="183" t="s">
        <v>624</v>
      </c>
      <c r="J112" s="183" t="s">
        <v>512</v>
      </c>
      <c r="K112" s="183" t="s">
        <v>513</v>
      </c>
      <c r="L112" s="183" t="s">
        <v>502</v>
      </c>
      <c r="M112" s="183" t="s">
        <v>501</v>
      </c>
      <c r="N112" s="183" t="s">
        <v>477</v>
      </c>
      <c r="O112" s="293" t="s">
        <v>608</v>
      </c>
      <c r="P112" s="293" t="s">
        <v>609</v>
      </c>
    </row>
    <row r="113" spans="1:18" x14ac:dyDescent="0.2">
      <c r="A113" s="119" t="s">
        <v>0</v>
      </c>
      <c r="B113" s="119" t="s">
        <v>300</v>
      </c>
      <c r="C113" s="120" t="s">
        <v>301</v>
      </c>
      <c r="D113" s="72">
        <f>253400+315000*11</f>
        <v>3718400</v>
      </c>
      <c r="E113" s="72">
        <f>300000*8</f>
        <v>2400000</v>
      </c>
      <c r="F113" s="72">
        <f>206600+(222200+100000)*11</f>
        <v>3750800</v>
      </c>
      <c r="G113" s="72">
        <f>260000*3+350000*9</f>
        <v>3930000</v>
      </c>
      <c r="H113" s="72">
        <f>450000*12</f>
        <v>5400000</v>
      </c>
      <c r="I113" s="72">
        <f>195000+(210600+10000)*11</f>
        <v>2621600</v>
      </c>
      <c r="J113" s="72">
        <f>210000+(210600+20000)*11</f>
        <v>2746600</v>
      </c>
      <c r="K113" s="72">
        <f>330000*12</f>
        <v>3960000</v>
      </c>
      <c r="L113" s="72">
        <f>206600+(222200+20000)*11</f>
        <v>2870800</v>
      </c>
      <c r="M113" s="72">
        <f>130375+140875*11</f>
        <v>1680000</v>
      </c>
      <c r="N113" s="76">
        <f t="shared" ref="N113:N120" si="13">SUM(D113:M113)</f>
        <v>33078200</v>
      </c>
      <c r="O113" s="292">
        <f>182800+325000+350000+190000+250000+168100+111563+10000+11200+12800</f>
        <v>1611463</v>
      </c>
      <c r="P113" s="292">
        <f>N113-O113-E113-D113</f>
        <v>25348337</v>
      </c>
    </row>
    <row r="114" spans="1:18" x14ac:dyDescent="0.2">
      <c r="A114" s="119" t="s">
        <v>6</v>
      </c>
      <c r="B114" s="119" t="s">
        <v>648</v>
      </c>
      <c r="C114" s="120" t="s">
        <v>649</v>
      </c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6">
        <f t="shared" si="13"/>
        <v>0</v>
      </c>
      <c r="O114" s="292"/>
    </row>
    <row r="115" spans="1:18" x14ac:dyDescent="0.2">
      <c r="A115" s="119" t="s">
        <v>14</v>
      </c>
      <c r="B115" s="119" t="s">
        <v>304</v>
      </c>
      <c r="C115" s="120" t="s">
        <v>305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6">
        <f t="shared" si="13"/>
        <v>0</v>
      </c>
      <c r="O115" s="292"/>
    </row>
    <row r="116" spans="1:18" x14ac:dyDescent="0.2">
      <c r="A116" s="119" t="s">
        <v>17</v>
      </c>
      <c r="B116" s="119" t="s">
        <v>306</v>
      </c>
      <c r="C116" s="120" t="s">
        <v>606</v>
      </c>
      <c r="D116" s="72">
        <v>150943</v>
      </c>
      <c r="E116" s="72">
        <v>100629</v>
      </c>
      <c r="F116" s="72">
        <v>150943</v>
      </c>
      <c r="G116" s="72">
        <v>150943</v>
      </c>
      <c r="H116" s="72">
        <v>150943</v>
      </c>
      <c r="I116" s="72">
        <v>150943</v>
      </c>
      <c r="J116" s="72">
        <v>150943</v>
      </c>
      <c r="K116" s="72">
        <v>150943</v>
      </c>
      <c r="L116" s="72">
        <v>150943</v>
      </c>
      <c r="M116" s="72"/>
      <c r="N116" s="76">
        <f t="shared" si="13"/>
        <v>1308173</v>
      </c>
      <c r="O116" s="292"/>
      <c r="P116" s="292"/>
    </row>
    <row r="117" spans="1:18" x14ac:dyDescent="0.2">
      <c r="A117" s="119" t="s">
        <v>33</v>
      </c>
      <c r="B117" s="119" t="s">
        <v>307</v>
      </c>
      <c r="C117" s="120" t="s">
        <v>308</v>
      </c>
      <c r="D117" s="72"/>
      <c r="E117" s="72"/>
      <c r="F117" s="72"/>
      <c r="G117" s="72"/>
      <c r="H117" s="72">
        <v>70000</v>
      </c>
      <c r="I117" s="72"/>
      <c r="J117" s="72"/>
      <c r="K117" s="72"/>
      <c r="L117" s="72"/>
      <c r="M117" s="72"/>
      <c r="N117" s="76">
        <f t="shared" si="13"/>
        <v>70000</v>
      </c>
      <c r="O117" s="292"/>
    </row>
    <row r="118" spans="1:18" x14ac:dyDescent="0.2">
      <c r="A118" s="119" t="s">
        <v>35</v>
      </c>
      <c r="B118" s="119" t="s">
        <v>309</v>
      </c>
      <c r="C118" s="120" t="s">
        <v>310</v>
      </c>
      <c r="D118" s="72">
        <v>30000</v>
      </c>
      <c r="E118" s="72">
        <v>30000</v>
      </c>
      <c r="F118" s="72">
        <v>30000</v>
      </c>
      <c r="G118" s="72">
        <v>30000</v>
      </c>
      <c r="H118" s="72">
        <v>30000</v>
      </c>
      <c r="I118" s="72">
        <v>30000</v>
      </c>
      <c r="J118" s="72">
        <v>30000</v>
      </c>
      <c r="K118" s="72">
        <v>30000</v>
      </c>
      <c r="L118" s="72">
        <v>30000</v>
      </c>
      <c r="M118" s="72"/>
      <c r="N118" s="76">
        <f t="shared" si="13"/>
        <v>270000</v>
      </c>
      <c r="O118" s="292"/>
    </row>
    <row r="119" spans="1:18" x14ac:dyDescent="0.2">
      <c r="A119" s="119" t="s">
        <v>30</v>
      </c>
      <c r="B119" s="119" t="s">
        <v>311</v>
      </c>
      <c r="C119" s="120" t="s">
        <v>605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6">
        <f t="shared" si="13"/>
        <v>0</v>
      </c>
      <c r="O119" s="292"/>
    </row>
    <row r="120" spans="1:18" x14ac:dyDescent="0.2">
      <c r="A120" s="119" t="s">
        <v>18</v>
      </c>
      <c r="B120" s="110" t="s">
        <v>458</v>
      </c>
      <c r="C120" s="111" t="s">
        <v>459</v>
      </c>
      <c r="D120" s="70">
        <f t="shared" ref="D120:M120" si="14">SUM(D113:D119)</f>
        <v>3899343</v>
      </c>
      <c r="E120" s="70">
        <f t="shared" si="14"/>
        <v>2530629</v>
      </c>
      <c r="F120" s="70">
        <f>SUM(F113:F119)</f>
        <v>3931743</v>
      </c>
      <c r="G120" s="70">
        <f t="shared" si="14"/>
        <v>4110943</v>
      </c>
      <c r="H120" s="70">
        <f t="shared" si="14"/>
        <v>5650943</v>
      </c>
      <c r="I120" s="70">
        <f t="shared" si="14"/>
        <v>2802543</v>
      </c>
      <c r="J120" s="70">
        <f t="shared" si="14"/>
        <v>2927543</v>
      </c>
      <c r="K120" s="70">
        <f t="shared" si="14"/>
        <v>4140943</v>
      </c>
      <c r="L120" s="70">
        <f t="shared" si="14"/>
        <v>3051743</v>
      </c>
      <c r="M120" s="70">
        <f t="shared" si="14"/>
        <v>1680000</v>
      </c>
      <c r="N120" s="70">
        <f t="shared" si="13"/>
        <v>34726373</v>
      </c>
      <c r="O120" s="292"/>
    </row>
    <row r="122" spans="1:18" x14ac:dyDescent="0.2">
      <c r="A122" s="146" t="s">
        <v>743</v>
      </c>
    </row>
    <row r="123" spans="1:18" ht="45" x14ac:dyDescent="0.2">
      <c r="D123" s="183" t="s">
        <v>509</v>
      </c>
      <c r="E123" s="183" t="s">
        <v>742</v>
      </c>
      <c r="F123" s="183" t="s">
        <v>604</v>
      </c>
      <c r="G123" s="183" t="s">
        <v>510</v>
      </c>
      <c r="H123" s="183" t="s">
        <v>511</v>
      </c>
      <c r="I123" s="183" t="s">
        <v>624</v>
      </c>
      <c r="J123" s="183" t="s">
        <v>512</v>
      </c>
      <c r="K123" s="183" t="s">
        <v>513</v>
      </c>
      <c r="L123" s="183" t="s">
        <v>502</v>
      </c>
      <c r="M123" s="183" t="s">
        <v>745</v>
      </c>
      <c r="N123" s="183" t="s">
        <v>744</v>
      </c>
      <c r="O123" s="183" t="s">
        <v>501</v>
      </c>
      <c r="P123" s="183" t="s">
        <v>477</v>
      </c>
      <c r="Q123" s="293" t="s">
        <v>746</v>
      </c>
      <c r="R123" s="293" t="s">
        <v>747</v>
      </c>
    </row>
    <row r="124" spans="1:18" x14ac:dyDescent="0.2">
      <c r="A124" s="119" t="s">
        <v>0</v>
      </c>
      <c r="B124" s="119" t="s">
        <v>300</v>
      </c>
      <c r="C124" s="120" t="s">
        <v>301</v>
      </c>
      <c r="D124" s="72">
        <f>253400+315000*11</f>
        <v>3718400</v>
      </c>
      <c r="E124" s="72">
        <f>300000*8</f>
        <v>2400000</v>
      </c>
      <c r="F124" s="72">
        <f>206600+(222200+10000)*11</f>
        <v>2760800</v>
      </c>
      <c r="G124" s="72">
        <f>260000*3+350000*9</f>
        <v>3930000</v>
      </c>
      <c r="H124" s="72">
        <f>450000*12</f>
        <v>5400000</v>
      </c>
      <c r="I124" s="72">
        <f>195000+(210600+10000)*11</f>
        <v>2621600</v>
      </c>
      <c r="J124" s="72">
        <f>210000+(210600+20000)*11</f>
        <v>2746600</v>
      </c>
      <c r="K124" s="72">
        <f>330000*12</f>
        <v>3960000</v>
      </c>
      <c r="L124" s="72">
        <f>206600+(222200+20000)*5+253800*6</f>
        <v>2940400</v>
      </c>
      <c r="M124" s="72">
        <f>210600*2+23190*2</f>
        <v>467580</v>
      </c>
      <c r="N124" s="72">
        <f>40250*5+13417</f>
        <v>214667</v>
      </c>
      <c r="O124" s="72">
        <f>130375+140875*5+17700</f>
        <v>852450</v>
      </c>
      <c r="P124" s="76">
        <f>SUM(D124:O124)</f>
        <v>32012497</v>
      </c>
      <c r="Q124" s="292">
        <f>13417+300000*3+206600+232200*6+260000*3+350000*4+450000*7+195000+220600*6+210000+230600*6+330000*7+206600+242200*5+253800+852450</f>
        <v>15789267</v>
      </c>
      <c r="R124" s="292">
        <f>40250*5+300000*5+232200*5+350000*5+450000*5+220600*5+230600*5+330000*5+253800*5+467580</f>
        <v>12504830</v>
      </c>
    </row>
    <row r="125" spans="1:18" x14ac:dyDescent="0.2">
      <c r="A125" s="119" t="s">
        <v>6</v>
      </c>
      <c r="B125" s="119" t="s">
        <v>648</v>
      </c>
      <c r="C125" s="120" t="s">
        <v>649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6">
        <f t="shared" ref="P125:P131" si="15">SUM(D125:O125)</f>
        <v>0</v>
      </c>
      <c r="Q125" s="292"/>
    </row>
    <row r="126" spans="1:18" x14ac:dyDescent="0.2">
      <c r="A126" s="119" t="s">
        <v>14</v>
      </c>
      <c r="B126" s="119" t="s">
        <v>304</v>
      </c>
      <c r="C126" s="120" t="s">
        <v>305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6">
        <f t="shared" si="15"/>
        <v>0</v>
      </c>
      <c r="Q126" s="292"/>
    </row>
    <row r="127" spans="1:18" x14ac:dyDescent="0.2">
      <c r="A127" s="119" t="s">
        <v>17</v>
      </c>
      <c r="B127" s="119" t="s">
        <v>306</v>
      </c>
      <c r="C127" s="120" t="s">
        <v>606</v>
      </c>
      <c r="D127" s="72">
        <v>173913</v>
      </c>
      <c r="E127" s="72">
        <v>125000</v>
      </c>
      <c r="F127" s="72">
        <v>173913</v>
      </c>
      <c r="G127" s="72">
        <v>173913</v>
      </c>
      <c r="H127" s="72">
        <v>173913</v>
      </c>
      <c r="I127" s="72">
        <v>173913</v>
      </c>
      <c r="J127" s="72">
        <v>173913</v>
      </c>
      <c r="K127" s="72">
        <v>173913</v>
      </c>
      <c r="L127" s="72">
        <v>173913</v>
      </c>
      <c r="M127" s="72">
        <v>47540</v>
      </c>
      <c r="N127" s="72"/>
      <c r="O127" s="72"/>
      <c r="P127" s="76">
        <f t="shared" si="15"/>
        <v>1563844</v>
      </c>
      <c r="Q127" s="292"/>
      <c r="R127" s="292"/>
    </row>
    <row r="128" spans="1:18" x14ac:dyDescent="0.2">
      <c r="A128" s="119" t="s">
        <v>33</v>
      </c>
      <c r="B128" s="119" t="s">
        <v>307</v>
      </c>
      <c r="C128" s="120" t="s">
        <v>308</v>
      </c>
      <c r="D128" s="72"/>
      <c r="E128" s="72">
        <v>50000</v>
      </c>
      <c r="F128" s="72"/>
      <c r="G128" s="72"/>
      <c r="H128" s="72">
        <v>70000</v>
      </c>
      <c r="I128" s="72"/>
      <c r="J128" s="72"/>
      <c r="K128" s="72"/>
      <c r="L128" s="72"/>
      <c r="M128" s="72"/>
      <c r="N128" s="72"/>
      <c r="O128" s="72"/>
      <c r="P128" s="76">
        <f t="shared" si="15"/>
        <v>120000</v>
      </c>
      <c r="Q128" s="292"/>
    </row>
    <row r="129" spans="1:17" x14ac:dyDescent="0.2">
      <c r="A129" s="119" t="s">
        <v>35</v>
      </c>
      <c r="B129" s="119" t="s">
        <v>309</v>
      </c>
      <c r="C129" s="120" t="s">
        <v>310</v>
      </c>
      <c r="D129" s="72">
        <v>30000</v>
      </c>
      <c r="E129" s="72">
        <v>30000</v>
      </c>
      <c r="F129" s="72">
        <v>30000</v>
      </c>
      <c r="G129" s="72">
        <v>30000</v>
      </c>
      <c r="H129" s="72">
        <v>30000</v>
      </c>
      <c r="I129" s="72">
        <v>30000</v>
      </c>
      <c r="J129" s="72">
        <v>30000</v>
      </c>
      <c r="K129" s="72">
        <v>30000</v>
      </c>
      <c r="L129" s="72">
        <v>30000</v>
      </c>
      <c r="M129" s="72"/>
      <c r="N129" s="72"/>
      <c r="O129" s="72"/>
      <c r="P129" s="76">
        <f t="shared" si="15"/>
        <v>270000</v>
      </c>
      <c r="Q129" s="292"/>
    </row>
    <row r="130" spans="1:17" x14ac:dyDescent="0.2">
      <c r="A130" s="119" t="s">
        <v>30</v>
      </c>
      <c r="B130" s="119" t="s">
        <v>311</v>
      </c>
      <c r="C130" s="120" t="s">
        <v>605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6">
        <f t="shared" si="15"/>
        <v>0</v>
      </c>
      <c r="Q130" s="292"/>
    </row>
    <row r="131" spans="1:17" x14ac:dyDescent="0.2">
      <c r="A131" s="119" t="s">
        <v>18</v>
      </c>
      <c r="B131" s="110" t="s">
        <v>458</v>
      </c>
      <c r="C131" s="111" t="s">
        <v>459</v>
      </c>
      <c r="D131" s="70">
        <f>SUM(D124:D130)</f>
        <v>3922313</v>
      </c>
      <c r="E131" s="70">
        <f>SUM(E124:E130)</f>
        <v>2605000</v>
      </c>
      <c r="F131" s="70">
        <f>SUM(F124:F130)</f>
        <v>2964713</v>
      </c>
      <c r="G131" s="70">
        <f t="shared" ref="G131:O131" si="16">SUM(G124:G130)</f>
        <v>4133913</v>
      </c>
      <c r="H131" s="70">
        <f t="shared" si="16"/>
        <v>5673913</v>
      </c>
      <c r="I131" s="70">
        <f t="shared" si="16"/>
        <v>2825513</v>
      </c>
      <c r="J131" s="70">
        <f t="shared" si="16"/>
        <v>2950513</v>
      </c>
      <c r="K131" s="70">
        <f t="shared" si="16"/>
        <v>4163913</v>
      </c>
      <c r="L131" s="70">
        <f t="shared" si="16"/>
        <v>3144313</v>
      </c>
      <c r="M131" s="70">
        <f t="shared" si="16"/>
        <v>515120</v>
      </c>
      <c r="N131" s="70">
        <f t="shared" si="16"/>
        <v>214667</v>
      </c>
      <c r="O131" s="70">
        <f t="shared" si="16"/>
        <v>852450</v>
      </c>
      <c r="P131" s="70">
        <f t="shared" si="15"/>
        <v>33966341</v>
      </c>
      <c r="Q131" s="292"/>
    </row>
    <row r="134" spans="1:17" ht="20.25" x14ac:dyDescent="0.2">
      <c r="A134" s="154" t="s">
        <v>156</v>
      </c>
    </row>
    <row r="135" spans="1:17" ht="15.75" customHeight="1" x14ac:dyDescent="0.2">
      <c r="A135" s="154"/>
    </row>
    <row r="136" spans="1:17" ht="15.75" thickBot="1" x14ac:dyDescent="0.25">
      <c r="A136" s="146" t="s">
        <v>478</v>
      </c>
    </row>
    <row r="137" spans="1:17" s="144" customFormat="1" ht="39" thickBot="1" x14ac:dyDescent="0.25">
      <c r="D137" s="170" t="s">
        <v>94</v>
      </c>
      <c r="E137" s="171" t="s">
        <v>632</v>
      </c>
      <c r="F137" s="172" t="s">
        <v>626</v>
      </c>
      <c r="G137" s="172" t="s">
        <v>627</v>
      </c>
      <c r="H137" s="169" t="s">
        <v>633</v>
      </c>
      <c r="I137" s="170" t="s">
        <v>490</v>
      </c>
      <c r="J137" s="157"/>
      <c r="K137" s="157"/>
      <c r="L137" s="157"/>
      <c r="M137" s="157"/>
    </row>
    <row r="138" spans="1:17" ht="30" customHeight="1" x14ac:dyDescent="0.2">
      <c r="B138" s="1148" t="s">
        <v>482</v>
      </c>
      <c r="C138" s="302" t="s">
        <v>685</v>
      </c>
      <c r="D138" s="159">
        <f>52*220*374.1</f>
        <v>4279704</v>
      </c>
      <c r="E138" s="303">
        <f>D138*0.27*0.5</f>
        <v>577760.04</v>
      </c>
      <c r="F138" s="151">
        <f>D138*0.18*0.14</f>
        <v>107848.5408</v>
      </c>
      <c r="G138" s="151">
        <f>D138*0.12*0.01</f>
        <v>5135.6448</v>
      </c>
      <c r="H138" s="155">
        <f>D138*0.05*0.35</f>
        <v>74894.819999999992</v>
      </c>
      <c r="I138" s="159">
        <f t="shared" ref="I138:I154" si="17">SUM(E138:H138)</f>
        <v>765639.04559999995</v>
      </c>
      <c r="J138" s="180"/>
      <c r="K138" s="180"/>
      <c r="L138" s="180"/>
      <c r="M138" s="180"/>
    </row>
    <row r="139" spans="1:17" ht="30" x14ac:dyDescent="0.2">
      <c r="B139" s="1149"/>
      <c r="C139" s="143" t="s">
        <v>686</v>
      </c>
      <c r="D139" s="304">
        <f>16*220*374.1</f>
        <v>1316832</v>
      </c>
      <c r="E139" s="305">
        <f>D139*0.27*0.5</f>
        <v>177772.32</v>
      </c>
      <c r="F139" s="150">
        <f>D139*0.18*0.14</f>
        <v>33184.166400000002</v>
      </c>
      <c r="G139" s="150">
        <f>D139*0.12*0.01</f>
        <v>1580.1984</v>
      </c>
      <c r="H139" s="168">
        <f>D139*0.05*0.15</f>
        <v>9876.24</v>
      </c>
      <c r="I139" s="304">
        <f t="shared" si="17"/>
        <v>222412.92479999998</v>
      </c>
      <c r="J139" s="181"/>
      <c r="K139" s="181"/>
      <c r="L139" s="181"/>
      <c r="M139" s="181"/>
    </row>
    <row r="140" spans="1:17" x14ac:dyDescent="0.2">
      <c r="B140" s="1149"/>
      <c r="C140" s="148" t="s">
        <v>480</v>
      </c>
      <c r="D140" s="160">
        <f>SUM(D138:D139)</f>
        <v>5596536</v>
      </c>
      <c r="E140" s="175">
        <f>SUM(E138:E139)</f>
        <v>755532.3600000001</v>
      </c>
      <c r="F140" s="175">
        <f>SUM(F138:F139)</f>
        <v>141032.7072</v>
      </c>
      <c r="G140" s="175">
        <f>SUM(G138:G139)</f>
        <v>6715.8432000000003</v>
      </c>
      <c r="H140" s="175">
        <f>SUM(H138:H139)</f>
        <v>84771.06</v>
      </c>
      <c r="I140" s="160">
        <f t="shared" si="17"/>
        <v>988051.97040000022</v>
      </c>
      <c r="J140" s="180"/>
      <c r="K140" s="180"/>
      <c r="L140" s="180"/>
      <c r="M140" s="180"/>
    </row>
    <row r="141" spans="1:17" ht="30" x14ac:dyDescent="0.2">
      <c r="B141" s="1149"/>
      <c r="C141" s="142" t="s">
        <v>687</v>
      </c>
      <c r="D141" s="161">
        <f>23*185*315.8</f>
        <v>1343729</v>
      </c>
      <c r="E141" s="173">
        <f>D141*0.27*0.5</f>
        <v>181403.41500000001</v>
      </c>
      <c r="F141" s="149">
        <f>D141*0.18*0.14</f>
        <v>33861.970800000003</v>
      </c>
      <c r="G141" s="149">
        <f>D141*0.12*0.01</f>
        <v>1612.4748</v>
      </c>
      <c r="H141" s="156">
        <f>D141*0.05*0.35</f>
        <v>23515.257499999996</v>
      </c>
      <c r="I141" s="161">
        <f t="shared" si="17"/>
        <v>240393.11810000002</v>
      </c>
      <c r="J141" s="180"/>
      <c r="K141" s="180"/>
      <c r="L141" s="180"/>
      <c r="M141" s="180"/>
    </row>
    <row r="142" spans="1:17" ht="30" x14ac:dyDescent="0.2">
      <c r="B142" s="1149"/>
      <c r="C142" s="142" t="s">
        <v>688</v>
      </c>
      <c r="D142" s="161">
        <f>22*185*370.1</f>
        <v>1506307</v>
      </c>
      <c r="E142" s="173">
        <f>D142*0.27*0.5</f>
        <v>203351.44500000001</v>
      </c>
      <c r="F142" s="149">
        <f>D142*0.18*0.14</f>
        <v>37958.936400000006</v>
      </c>
      <c r="G142" s="149">
        <f>D142*0.12*0.01</f>
        <v>1807.5684000000001</v>
      </c>
      <c r="H142" s="156">
        <f>D142*0.05*0.35</f>
        <v>26360.372500000001</v>
      </c>
      <c r="I142" s="161">
        <f t="shared" si="17"/>
        <v>269478.3223</v>
      </c>
      <c r="J142" s="180"/>
      <c r="K142" s="180"/>
      <c r="L142" s="180"/>
      <c r="M142" s="180"/>
    </row>
    <row r="143" spans="1:17" ht="30" x14ac:dyDescent="0.2">
      <c r="B143" s="1149"/>
      <c r="C143" s="142" t="s">
        <v>689</v>
      </c>
      <c r="D143" s="161">
        <f>64*185*421.2</f>
        <v>4987008</v>
      </c>
      <c r="E143" s="173">
        <f>D143*0.27*0.5</f>
        <v>673246.08000000007</v>
      </c>
      <c r="F143" s="149">
        <f>D143*0.18*0.14</f>
        <v>125672.60160000001</v>
      </c>
      <c r="G143" s="149">
        <f>D143*0.12*0.01</f>
        <v>5984.4096</v>
      </c>
      <c r="H143" s="156">
        <f>D143*0.05*0.35</f>
        <v>87272.639999999999</v>
      </c>
      <c r="I143" s="161">
        <f t="shared" si="17"/>
        <v>892175.73120000015</v>
      </c>
      <c r="J143" s="181"/>
      <c r="K143" s="181"/>
      <c r="L143" s="181"/>
      <c r="M143" s="181"/>
    </row>
    <row r="144" spans="1:17" ht="15.75" thickBot="1" x14ac:dyDescent="0.25">
      <c r="B144" s="1149"/>
      <c r="C144" s="166" t="s">
        <v>481</v>
      </c>
      <c r="D144" s="167">
        <f>SUM(D141:D143)</f>
        <v>7837044</v>
      </c>
      <c r="E144" s="176">
        <f>SUM(E141:E143)</f>
        <v>1058000.94</v>
      </c>
      <c r="F144" s="176">
        <f>SUM(F141:F143)</f>
        <v>197493.50880000001</v>
      </c>
      <c r="G144" s="176">
        <f>SUM(G141:G143)</f>
        <v>9404.4527999999991</v>
      </c>
      <c r="H144" s="178">
        <f>SUM(H141:H143)</f>
        <v>137148.26999999999</v>
      </c>
      <c r="I144" s="179">
        <f t="shared" si="17"/>
        <v>1402047.1716</v>
      </c>
      <c r="J144" s="182"/>
      <c r="K144" s="182"/>
      <c r="L144" s="182"/>
      <c r="M144" s="182"/>
    </row>
    <row r="145" spans="1:13" ht="30" customHeight="1" thickBot="1" x14ac:dyDescent="0.25">
      <c r="B145" s="1150"/>
      <c r="C145" s="164" t="s">
        <v>484</v>
      </c>
      <c r="D145" s="165">
        <f>D140+D144</f>
        <v>13433580</v>
      </c>
      <c r="E145" s="307">
        <f>E140+E144</f>
        <v>1813533.3</v>
      </c>
      <c r="F145" s="309">
        <f>F140+F144</f>
        <v>338526.21600000001</v>
      </c>
      <c r="G145" s="309">
        <f>G140+G144</f>
        <v>16120.295999999998</v>
      </c>
      <c r="H145" s="308">
        <f>H140+H144</f>
        <v>221919.33</v>
      </c>
      <c r="I145" s="165">
        <f t="shared" si="17"/>
        <v>2390099.142</v>
      </c>
      <c r="J145" s="180"/>
      <c r="K145" s="180"/>
      <c r="L145" s="180"/>
      <c r="M145" s="180"/>
    </row>
    <row r="146" spans="1:13" ht="30" customHeight="1" x14ac:dyDescent="0.2">
      <c r="B146" s="1151" t="s">
        <v>483</v>
      </c>
      <c r="C146" s="142" t="s">
        <v>690</v>
      </c>
      <c r="D146" s="161">
        <f>30*249*348.4</f>
        <v>2602548</v>
      </c>
      <c r="E146" s="174">
        <f>D146*0.27*0.5</f>
        <v>351343.98000000004</v>
      </c>
      <c r="F146" s="150">
        <f t="shared" ref="F146:F153" si="18">D146*0.18*0.14</f>
        <v>65584.209600000002</v>
      </c>
      <c r="G146" s="150">
        <f t="shared" ref="G146:G153" si="19">D146*0.12*0.01</f>
        <v>3123.0576000000001</v>
      </c>
      <c r="H146" s="168">
        <f>D146*0.05*0.35</f>
        <v>45544.590000000004</v>
      </c>
      <c r="I146" s="161">
        <f t="shared" si="17"/>
        <v>465595.83720000007</v>
      </c>
      <c r="J146" s="180"/>
      <c r="K146" s="180"/>
      <c r="L146" s="180"/>
      <c r="M146" s="180"/>
    </row>
    <row r="147" spans="1:13" ht="30" x14ac:dyDescent="0.2">
      <c r="B147" s="1152"/>
      <c r="C147" s="142" t="s">
        <v>637</v>
      </c>
      <c r="D147" s="161">
        <f>20*249*348.4</f>
        <v>1735032</v>
      </c>
      <c r="E147" s="174">
        <f t="shared" ref="E147:E153" si="20">D147*0.27*0.5</f>
        <v>234229.32</v>
      </c>
      <c r="F147" s="150">
        <f t="shared" si="18"/>
        <v>43722.806400000009</v>
      </c>
      <c r="G147" s="150">
        <f t="shared" si="19"/>
        <v>2082.0383999999999</v>
      </c>
      <c r="H147" s="168">
        <f t="shared" ref="H147:H153" si="21">D147*0.05*0.35</f>
        <v>30363.06</v>
      </c>
      <c r="I147" s="161">
        <f t="shared" si="17"/>
        <v>310397.22480000003</v>
      </c>
      <c r="J147" s="180"/>
      <c r="K147" s="180"/>
      <c r="L147" s="180"/>
      <c r="M147" s="180"/>
    </row>
    <row r="148" spans="1:13" x14ac:dyDescent="0.2">
      <c r="B148" s="1153"/>
      <c r="C148" s="142" t="s">
        <v>691</v>
      </c>
      <c r="D148" s="161">
        <f>57*249*348.4</f>
        <v>4944841.1999999993</v>
      </c>
      <c r="E148" s="174">
        <f t="shared" si="20"/>
        <v>667553.56199999992</v>
      </c>
      <c r="F148" s="150">
        <f t="shared" si="18"/>
        <v>124609.99823999999</v>
      </c>
      <c r="G148" s="150">
        <f t="shared" si="19"/>
        <v>5933.8094399999991</v>
      </c>
      <c r="H148" s="168">
        <f t="shared" si="21"/>
        <v>86534.72099999999</v>
      </c>
      <c r="I148" s="161">
        <f t="shared" si="17"/>
        <v>884632.09067999991</v>
      </c>
      <c r="J148" s="180"/>
      <c r="K148" s="180"/>
      <c r="L148" s="180"/>
      <c r="M148" s="180"/>
    </row>
    <row r="149" spans="1:13" x14ac:dyDescent="0.2">
      <c r="B149" s="1153"/>
      <c r="C149" s="143" t="s">
        <v>692</v>
      </c>
      <c r="D149" s="161">
        <f>36*249*348.4</f>
        <v>3123057.5999999996</v>
      </c>
      <c r="E149" s="174">
        <f t="shared" si="20"/>
        <v>421612.77599999995</v>
      </c>
      <c r="F149" s="150">
        <f t="shared" si="18"/>
        <v>78701.051519999994</v>
      </c>
      <c r="G149" s="150">
        <f t="shared" si="19"/>
        <v>3747.6691199999996</v>
      </c>
      <c r="H149" s="168">
        <f t="shared" si="21"/>
        <v>54653.507999999987</v>
      </c>
      <c r="I149" s="161">
        <f t="shared" si="17"/>
        <v>558715.00463999994</v>
      </c>
      <c r="J149" s="180"/>
      <c r="K149" s="180"/>
      <c r="L149" s="180"/>
      <c r="M149" s="180"/>
    </row>
    <row r="150" spans="1:13" x14ac:dyDescent="0.2">
      <c r="B150" s="1153"/>
      <c r="C150" s="142" t="s">
        <v>693</v>
      </c>
      <c r="D150" s="161">
        <f>14*249*348.4</f>
        <v>1214522.3999999999</v>
      </c>
      <c r="E150" s="174">
        <f t="shared" si="20"/>
        <v>163960.524</v>
      </c>
      <c r="F150" s="150">
        <f t="shared" si="18"/>
        <v>30605.964479999999</v>
      </c>
      <c r="G150" s="150">
        <f t="shared" si="19"/>
        <v>1457.42688</v>
      </c>
      <c r="H150" s="168">
        <f t="shared" si="21"/>
        <v>21254.141999999996</v>
      </c>
      <c r="I150" s="161">
        <f t="shared" si="17"/>
        <v>217278.05736000001</v>
      </c>
      <c r="J150" s="180"/>
      <c r="K150" s="180"/>
      <c r="L150" s="180"/>
      <c r="M150" s="180"/>
    </row>
    <row r="151" spans="1:13" x14ac:dyDescent="0.2">
      <c r="B151" s="1153"/>
      <c r="C151" s="142" t="s">
        <v>694</v>
      </c>
      <c r="D151" s="161">
        <f>2*249*348.4</f>
        <v>173503.19999999998</v>
      </c>
      <c r="E151" s="174">
        <f t="shared" si="20"/>
        <v>23422.932000000001</v>
      </c>
      <c r="F151" s="150">
        <f t="shared" si="18"/>
        <v>4372.2806399999999</v>
      </c>
      <c r="G151" s="150">
        <f t="shared" si="19"/>
        <v>208.20383999999999</v>
      </c>
      <c r="H151" s="168">
        <f t="shared" si="21"/>
        <v>3036.3059999999996</v>
      </c>
      <c r="I151" s="161">
        <f t="shared" si="17"/>
        <v>31039.72248</v>
      </c>
      <c r="J151" s="180"/>
      <c r="K151" s="180"/>
      <c r="L151" s="180"/>
      <c r="M151" s="180"/>
    </row>
    <row r="152" spans="1:13" ht="23.25" customHeight="1" x14ac:dyDescent="0.2">
      <c r="B152" s="1153"/>
      <c r="C152" s="142" t="s">
        <v>695</v>
      </c>
      <c r="D152" s="161">
        <f>24*249*348.4</f>
        <v>2082038.4</v>
      </c>
      <c r="E152" s="174">
        <f t="shared" si="20"/>
        <v>281075.18400000001</v>
      </c>
      <c r="F152" s="150">
        <f t="shared" si="18"/>
        <v>52467.367679999996</v>
      </c>
      <c r="G152" s="150">
        <f t="shared" si="19"/>
        <v>2498.4460799999997</v>
      </c>
      <c r="H152" s="168">
        <f t="shared" si="21"/>
        <v>36435.671999999999</v>
      </c>
      <c r="I152" s="161">
        <f t="shared" si="17"/>
        <v>372476.66976000008</v>
      </c>
      <c r="J152" s="180"/>
      <c r="K152" s="180"/>
      <c r="L152" s="180"/>
      <c r="M152" s="180"/>
    </row>
    <row r="153" spans="1:13" ht="21" customHeight="1" thickBot="1" x14ac:dyDescent="0.25">
      <c r="B153" s="1153"/>
      <c r="C153" s="163" t="s">
        <v>696</v>
      </c>
      <c r="D153" s="161">
        <f>120*249*348.4</f>
        <v>10410192</v>
      </c>
      <c r="E153" s="174">
        <f t="shared" si="20"/>
        <v>1405375.9200000002</v>
      </c>
      <c r="F153" s="150">
        <f t="shared" si="18"/>
        <v>262336.83840000001</v>
      </c>
      <c r="G153" s="150">
        <f t="shared" si="19"/>
        <v>12492.2304</v>
      </c>
      <c r="H153" s="168">
        <f t="shared" si="21"/>
        <v>182178.36000000002</v>
      </c>
      <c r="I153" s="161">
        <f t="shared" si="17"/>
        <v>1862383.3488000003</v>
      </c>
      <c r="J153" s="182"/>
      <c r="K153" s="182"/>
      <c r="L153" s="182"/>
      <c r="M153" s="182"/>
    </row>
    <row r="154" spans="1:13" ht="15.75" thickBot="1" x14ac:dyDescent="0.25">
      <c r="B154" s="1154"/>
      <c r="C154" s="164" t="s">
        <v>94</v>
      </c>
      <c r="D154" s="165">
        <f>SUM(D146:D153)</f>
        <v>26285734.799999997</v>
      </c>
      <c r="E154" s="177">
        <f>SUM(E146:E153)</f>
        <v>3548574.1979999999</v>
      </c>
      <c r="F154" s="177">
        <f>SUM(F146:F153)</f>
        <v>662400.51696000004</v>
      </c>
      <c r="G154" s="177">
        <f>SUM(G146:G153)</f>
        <v>31542.881759999997</v>
      </c>
      <c r="H154" s="177">
        <f>SUM(H146:H153)</f>
        <v>460000.35899999994</v>
      </c>
      <c r="I154" s="165">
        <f t="shared" si="17"/>
        <v>4702517.95572</v>
      </c>
    </row>
    <row r="156" spans="1:13" ht="15.75" thickBot="1" x14ac:dyDescent="0.25">
      <c r="A156" s="146" t="s">
        <v>479</v>
      </c>
    </row>
    <row r="157" spans="1:13" ht="29.25" customHeight="1" thickBot="1" x14ac:dyDescent="0.25">
      <c r="D157" s="170" t="s">
        <v>94</v>
      </c>
      <c r="E157" s="429"/>
      <c r="F157" s="429"/>
      <c r="G157" s="429"/>
      <c r="H157" s="429"/>
      <c r="I157" s="429"/>
      <c r="J157" s="157"/>
      <c r="K157" s="157"/>
      <c r="L157" s="157"/>
      <c r="M157" s="157"/>
    </row>
    <row r="158" spans="1:13" ht="30" customHeight="1" x14ac:dyDescent="0.2">
      <c r="B158" s="1145" t="s">
        <v>482</v>
      </c>
      <c r="C158" s="302" t="s">
        <v>697</v>
      </c>
      <c r="D158" s="159">
        <f>9*220*374.1</f>
        <v>740718</v>
      </c>
      <c r="J158" s="67"/>
      <c r="K158" s="67"/>
      <c r="L158" s="67"/>
      <c r="M158" s="67"/>
    </row>
    <row r="159" spans="1:13" s="147" customFormat="1" ht="30" x14ac:dyDescent="0.2">
      <c r="B159" s="1146"/>
      <c r="C159" s="143" t="s">
        <v>698</v>
      </c>
      <c r="D159" s="304">
        <v>0</v>
      </c>
      <c r="J159" s="158"/>
      <c r="K159" s="158"/>
      <c r="L159" s="158"/>
      <c r="M159" s="158"/>
    </row>
    <row r="160" spans="1:13" x14ac:dyDescent="0.2">
      <c r="B160" s="1146"/>
      <c r="C160" s="148" t="s">
        <v>480</v>
      </c>
      <c r="D160" s="160">
        <f>SUM(D158:D159)</f>
        <v>740718</v>
      </c>
      <c r="J160" s="67"/>
      <c r="K160" s="67"/>
      <c r="L160" s="67"/>
      <c r="M160" s="67"/>
    </row>
    <row r="161" spans="2:13" ht="30" x14ac:dyDescent="0.2">
      <c r="B161" s="1146"/>
      <c r="C161" s="142" t="s">
        <v>699</v>
      </c>
      <c r="D161" s="161">
        <f>7*195*157.9</f>
        <v>215533.5</v>
      </c>
      <c r="J161" s="67"/>
      <c r="K161" s="67"/>
      <c r="L161" s="67"/>
      <c r="M161" s="67"/>
    </row>
    <row r="162" spans="2:13" ht="30" x14ac:dyDescent="0.2">
      <c r="B162" s="1146"/>
      <c r="C162" s="142" t="s">
        <v>700</v>
      </c>
      <c r="D162" s="161">
        <f>5*195*187.05</f>
        <v>182373.75</v>
      </c>
      <c r="J162" s="67"/>
      <c r="K162" s="67"/>
      <c r="L162" s="67"/>
      <c r="M162" s="67"/>
    </row>
    <row r="163" spans="2:13" ht="30" x14ac:dyDescent="0.2">
      <c r="B163" s="1146"/>
      <c r="C163" s="142" t="s">
        <v>701</v>
      </c>
      <c r="D163" s="161">
        <f>15*195*210.6</f>
        <v>616005</v>
      </c>
      <c r="J163" s="67"/>
      <c r="K163" s="67"/>
      <c r="L163" s="67"/>
      <c r="M163" s="67"/>
    </row>
    <row r="164" spans="2:13" ht="30" x14ac:dyDescent="0.2">
      <c r="B164" s="1146"/>
      <c r="C164" s="142" t="s">
        <v>702</v>
      </c>
      <c r="D164" s="161">
        <f>15*195*315.8</f>
        <v>923715</v>
      </c>
      <c r="J164" s="67"/>
      <c r="K164" s="67"/>
      <c r="L164" s="67"/>
      <c r="M164" s="67"/>
    </row>
    <row r="165" spans="2:13" ht="30" x14ac:dyDescent="0.2">
      <c r="B165" s="1146"/>
      <c r="C165" s="142" t="s">
        <v>703</v>
      </c>
      <c r="D165" s="161">
        <f>15*195*370.1</f>
        <v>1082542.5</v>
      </c>
      <c r="J165" s="67"/>
      <c r="K165" s="67"/>
      <c r="L165" s="67"/>
      <c r="M165" s="67"/>
    </row>
    <row r="166" spans="2:13" ht="30" x14ac:dyDescent="0.2">
      <c r="B166" s="1146"/>
      <c r="C166" s="142" t="s">
        <v>704</v>
      </c>
      <c r="D166" s="161">
        <f>29*195*421.2</f>
        <v>2381886</v>
      </c>
      <c r="J166" s="67"/>
      <c r="K166" s="67"/>
      <c r="L166" s="67"/>
      <c r="M166" s="67"/>
    </row>
    <row r="167" spans="2:13" x14ac:dyDescent="0.2">
      <c r="B167" s="1146"/>
      <c r="C167" s="148" t="s">
        <v>481</v>
      </c>
      <c r="D167" s="160">
        <f>SUM(D161:D166)</f>
        <v>5402055.75</v>
      </c>
      <c r="J167" s="67"/>
      <c r="K167" s="67"/>
      <c r="L167" s="67"/>
      <c r="M167" s="67"/>
    </row>
    <row r="168" spans="2:13" ht="30" customHeight="1" thickBot="1" x14ac:dyDescent="0.25">
      <c r="B168" s="1147"/>
      <c r="C168" s="152" t="s">
        <v>484</v>
      </c>
      <c r="D168" s="162">
        <f>D160+D167</f>
        <v>6142773.75</v>
      </c>
      <c r="J168" s="67"/>
      <c r="K168" s="67"/>
      <c r="L168" s="67"/>
      <c r="M168" s="67"/>
    </row>
    <row r="169" spans="2:13" ht="30" customHeight="1" x14ac:dyDescent="0.2">
      <c r="B169" s="1145" t="s">
        <v>483</v>
      </c>
      <c r="C169" s="143" t="s">
        <v>705</v>
      </c>
      <c r="D169" s="161">
        <f>30*249*543.4</f>
        <v>4059198</v>
      </c>
      <c r="J169" s="67"/>
      <c r="K169" s="67"/>
      <c r="L169" s="67"/>
      <c r="M169" s="67"/>
    </row>
    <row r="170" spans="2:13" ht="30" x14ac:dyDescent="0.2">
      <c r="B170" s="1146"/>
      <c r="C170" s="143" t="s">
        <v>706</v>
      </c>
      <c r="D170" s="161">
        <f>57*249*543.4</f>
        <v>7712476.1999999993</v>
      </c>
      <c r="J170" s="67"/>
      <c r="K170" s="67"/>
      <c r="L170" s="67"/>
      <c r="M170" s="67"/>
    </row>
    <row r="171" spans="2:13" ht="30" x14ac:dyDescent="0.2">
      <c r="B171" s="1146"/>
      <c r="C171" s="142" t="s">
        <v>707</v>
      </c>
      <c r="D171" s="161">
        <f>36*249*543.4</f>
        <v>4871037.5999999996</v>
      </c>
      <c r="J171" s="67"/>
      <c r="K171" s="67"/>
      <c r="L171" s="67"/>
      <c r="M171" s="67"/>
    </row>
    <row r="172" spans="2:13" ht="30" x14ac:dyDescent="0.2">
      <c r="B172" s="1146"/>
      <c r="C172" s="142" t="s">
        <v>708</v>
      </c>
      <c r="D172" s="161">
        <f>14*249*543.4</f>
        <v>1894292.4</v>
      </c>
      <c r="J172" s="67"/>
      <c r="K172" s="67"/>
      <c r="L172" s="67"/>
      <c r="M172" s="67"/>
    </row>
    <row r="173" spans="2:13" ht="30" x14ac:dyDescent="0.2">
      <c r="B173" s="1146"/>
      <c r="C173" s="142" t="s">
        <v>709</v>
      </c>
      <c r="D173" s="161">
        <f>2*249*543.4</f>
        <v>270613.2</v>
      </c>
      <c r="J173" s="67"/>
      <c r="K173" s="67"/>
      <c r="L173" s="67"/>
      <c r="M173" s="67"/>
    </row>
    <row r="174" spans="2:13" ht="30" x14ac:dyDescent="0.2">
      <c r="B174" s="1146"/>
      <c r="C174" s="144" t="s">
        <v>710</v>
      </c>
      <c r="D174" s="161">
        <f>24*249*543.4</f>
        <v>3247358.4</v>
      </c>
      <c r="J174" s="67"/>
      <c r="K174" s="67"/>
      <c r="L174" s="67"/>
      <c r="M174" s="67"/>
    </row>
    <row r="175" spans="2:13" ht="30" x14ac:dyDescent="0.2">
      <c r="B175" s="1146"/>
      <c r="C175" s="142" t="s">
        <v>711</v>
      </c>
      <c r="D175" s="161">
        <f>121*249*543.4</f>
        <v>16372098.6</v>
      </c>
      <c r="F175" s="430"/>
      <c r="G175" s="431"/>
      <c r="J175" s="67"/>
      <c r="K175" s="67"/>
      <c r="L175" s="67"/>
      <c r="M175" s="67"/>
    </row>
    <row r="176" spans="2:13" ht="15.75" thickBot="1" x14ac:dyDescent="0.25">
      <c r="B176" s="1147"/>
      <c r="C176" s="153" t="s">
        <v>485</v>
      </c>
      <c r="D176" s="162">
        <f>SUM(D169:D175)</f>
        <v>38427074.399999999</v>
      </c>
    </row>
    <row r="179" spans="1:9" ht="20.25" x14ac:dyDescent="0.2">
      <c r="A179" s="154" t="s">
        <v>712</v>
      </c>
    </row>
    <row r="180" spans="1:9" ht="20.25" x14ac:dyDescent="0.2">
      <c r="A180" s="154"/>
    </row>
    <row r="181" spans="1:9" ht="15.75" thickBot="1" x14ac:dyDescent="0.25">
      <c r="A181" s="146" t="s">
        <v>478</v>
      </c>
    </row>
    <row r="182" spans="1:9" ht="39" thickBot="1" x14ac:dyDescent="0.25">
      <c r="A182" s="144"/>
      <c r="B182" s="144"/>
      <c r="C182" s="144"/>
      <c r="D182" s="170" t="s">
        <v>94</v>
      </c>
      <c r="E182" s="171" t="s">
        <v>632</v>
      </c>
      <c r="F182" s="172" t="s">
        <v>626</v>
      </c>
      <c r="G182" s="172" t="s">
        <v>627</v>
      </c>
      <c r="H182" s="169" t="s">
        <v>633</v>
      </c>
      <c r="I182" s="170" t="s">
        <v>490</v>
      </c>
    </row>
    <row r="183" spans="1:9" ht="30" x14ac:dyDescent="0.2">
      <c r="B183" s="1148" t="s">
        <v>482</v>
      </c>
      <c r="C183" s="302" t="s">
        <v>716</v>
      </c>
      <c r="D183" s="159">
        <f>49*220*374.1</f>
        <v>4032798.0000000005</v>
      </c>
      <c r="E183" s="303">
        <f>D183*0.27*0.5</f>
        <v>544427.7300000001</v>
      </c>
      <c r="F183" s="151">
        <f>D183*0.18*0.14</f>
        <v>101626.5096</v>
      </c>
      <c r="G183" s="151">
        <f>D183*0.12*0.01</f>
        <v>4839.3576000000003</v>
      </c>
      <c r="H183" s="155">
        <f>D183*0.05*0.35</f>
        <v>70573.964999999997</v>
      </c>
      <c r="I183" s="159">
        <f t="shared" ref="I183:I204" si="22">SUM(E183:H183)</f>
        <v>721467.56220000004</v>
      </c>
    </row>
    <row r="184" spans="1:9" ht="30" x14ac:dyDescent="0.2">
      <c r="B184" s="1149"/>
      <c r="C184" s="143" t="s">
        <v>715</v>
      </c>
      <c r="D184" s="304">
        <f>17*220*374.1</f>
        <v>1399134</v>
      </c>
      <c r="E184" s="305">
        <f>D184*0.27*0.5</f>
        <v>188883.09000000003</v>
      </c>
      <c r="F184" s="150">
        <f>D184*0.18*0.14</f>
        <v>35258.176800000001</v>
      </c>
      <c r="G184" s="150">
        <f>D184*0.12*0.01</f>
        <v>1678.9607999999998</v>
      </c>
      <c r="H184" s="168">
        <f>D184*0.05*0.15</f>
        <v>10493.504999999999</v>
      </c>
      <c r="I184" s="304">
        <f t="shared" si="22"/>
        <v>236313.73260000005</v>
      </c>
    </row>
    <row r="185" spans="1:9" x14ac:dyDescent="0.2">
      <c r="B185" s="1149"/>
      <c r="C185" s="433" t="s">
        <v>754</v>
      </c>
      <c r="D185" s="161">
        <f>7*220*374.1</f>
        <v>576114</v>
      </c>
      <c r="E185" s="173">
        <f>D185*0.27*0.5</f>
        <v>77775.39</v>
      </c>
      <c r="F185" s="149">
        <f>D185*0.18*0.14</f>
        <v>14518.0728</v>
      </c>
      <c r="G185" s="149">
        <f>D185*0.12*0.01</f>
        <v>691.33679999999993</v>
      </c>
      <c r="H185" s="156">
        <f>D185*0.05*0.35</f>
        <v>10081.994999999999</v>
      </c>
      <c r="I185" s="304">
        <f t="shared" si="22"/>
        <v>103066.79459999999</v>
      </c>
    </row>
    <row r="186" spans="1:9" x14ac:dyDescent="0.2">
      <c r="B186" s="1149"/>
      <c r="C186" s="148" t="s">
        <v>480</v>
      </c>
      <c r="D186" s="160">
        <f>SUM(D183:D185)</f>
        <v>6008046</v>
      </c>
      <c r="E186" s="175">
        <f>SUM(E183:E185)</f>
        <v>811086.21000000008</v>
      </c>
      <c r="F186" s="175">
        <f>SUM(F183:F185)</f>
        <v>151402.7592</v>
      </c>
      <c r="G186" s="175">
        <f>SUM(G183:G185)</f>
        <v>7209.6552000000001</v>
      </c>
      <c r="H186" s="175">
        <f>SUM(H183:H185)</f>
        <v>91149.464999999997</v>
      </c>
      <c r="I186" s="160">
        <f>SUM(E186:H186)</f>
        <v>1060848.0894000002</v>
      </c>
    </row>
    <row r="187" spans="1:9" ht="30" x14ac:dyDescent="0.2">
      <c r="B187" s="1149"/>
      <c r="C187" s="142" t="s">
        <v>717</v>
      </c>
      <c r="D187" s="161">
        <f>27*185*315.8</f>
        <v>1577421</v>
      </c>
      <c r="E187" s="173">
        <f t="shared" ref="E187:E192" si="23">D187*0.27*0.5</f>
        <v>212951.83500000002</v>
      </c>
      <c r="F187" s="149">
        <f t="shared" ref="F187:F192" si="24">D187*0.18*0.14</f>
        <v>39751.0092</v>
      </c>
      <c r="G187" s="149">
        <f t="shared" ref="G187:G192" si="25">D187*0.12*0.01</f>
        <v>1892.9051999999999</v>
      </c>
      <c r="H187" s="156">
        <f t="shared" ref="H187:H192" si="26">D187*0.05*0.35</f>
        <v>27604.8675</v>
      </c>
      <c r="I187" s="161">
        <f t="shared" si="22"/>
        <v>282200.61690000002</v>
      </c>
    </row>
    <row r="188" spans="1:9" ht="30" x14ac:dyDescent="0.2">
      <c r="B188" s="1149"/>
      <c r="C188" s="142" t="s">
        <v>718</v>
      </c>
      <c r="D188" s="161">
        <f>16*185*370.1</f>
        <v>1095496</v>
      </c>
      <c r="E188" s="173">
        <f t="shared" si="23"/>
        <v>147891.96000000002</v>
      </c>
      <c r="F188" s="149">
        <f t="shared" si="24"/>
        <v>27606.499200000002</v>
      </c>
      <c r="G188" s="149">
        <f t="shared" si="25"/>
        <v>1314.5952</v>
      </c>
      <c r="H188" s="156">
        <f t="shared" si="26"/>
        <v>19171.18</v>
      </c>
      <c r="I188" s="161">
        <f t="shared" si="22"/>
        <v>195984.23440000002</v>
      </c>
    </row>
    <row r="189" spans="1:9" ht="30" x14ac:dyDescent="0.2">
      <c r="B189" s="1149"/>
      <c r="C189" s="142" t="s">
        <v>719</v>
      </c>
      <c r="D189" s="161">
        <f>45*185*421.2</f>
        <v>3506490</v>
      </c>
      <c r="E189" s="173">
        <f t="shared" si="23"/>
        <v>473376.15</v>
      </c>
      <c r="F189" s="149">
        <f t="shared" si="24"/>
        <v>88363.547999999995</v>
      </c>
      <c r="G189" s="149">
        <f t="shared" si="25"/>
        <v>4207.7879999999996</v>
      </c>
      <c r="H189" s="156">
        <f t="shared" si="26"/>
        <v>61363.574999999997</v>
      </c>
      <c r="I189" s="161">
        <f t="shared" si="22"/>
        <v>627311.06099999987</v>
      </c>
    </row>
    <row r="190" spans="1:9" ht="30" x14ac:dyDescent="0.2">
      <c r="B190" s="1149"/>
      <c r="C190" s="433" t="s">
        <v>750</v>
      </c>
      <c r="D190" s="161">
        <f>5*185*315.8</f>
        <v>292115</v>
      </c>
      <c r="E190" s="173">
        <f t="shared" si="23"/>
        <v>39435.525000000001</v>
      </c>
      <c r="F190" s="149">
        <f t="shared" si="24"/>
        <v>7361.2980000000007</v>
      </c>
      <c r="G190" s="149">
        <f t="shared" si="25"/>
        <v>350.53799999999995</v>
      </c>
      <c r="H190" s="156">
        <f t="shared" si="26"/>
        <v>5112.0124999999998</v>
      </c>
      <c r="I190" s="161">
        <f t="shared" si="22"/>
        <v>52259.373500000002</v>
      </c>
    </row>
    <row r="191" spans="1:9" ht="30" x14ac:dyDescent="0.2">
      <c r="B191" s="1149"/>
      <c r="C191" s="433" t="s">
        <v>751</v>
      </c>
      <c r="D191" s="161">
        <f>0*185*370.1</f>
        <v>0</v>
      </c>
      <c r="E191" s="173">
        <f t="shared" si="23"/>
        <v>0</v>
      </c>
      <c r="F191" s="149">
        <f t="shared" si="24"/>
        <v>0</v>
      </c>
      <c r="G191" s="149">
        <f t="shared" si="25"/>
        <v>0</v>
      </c>
      <c r="H191" s="156">
        <f t="shared" si="26"/>
        <v>0</v>
      </c>
      <c r="I191" s="161">
        <f t="shared" si="22"/>
        <v>0</v>
      </c>
    </row>
    <row r="192" spans="1:9" ht="30" x14ac:dyDescent="0.2">
      <c r="B192" s="1149"/>
      <c r="C192" s="433" t="s">
        <v>752</v>
      </c>
      <c r="D192" s="161">
        <f>19*185*421.2</f>
        <v>1480518</v>
      </c>
      <c r="E192" s="173">
        <f t="shared" si="23"/>
        <v>199869.93000000002</v>
      </c>
      <c r="F192" s="149">
        <f t="shared" si="24"/>
        <v>37309.053599999999</v>
      </c>
      <c r="G192" s="149">
        <f t="shared" si="25"/>
        <v>1776.6216000000002</v>
      </c>
      <c r="H192" s="156">
        <f t="shared" si="26"/>
        <v>25909.065000000002</v>
      </c>
      <c r="I192" s="161">
        <f t="shared" si="22"/>
        <v>264864.67020000005</v>
      </c>
    </row>
    <row r="193" spans="1:9" ht="15.75" thickBot="1" x14ac:dyDescent="0.25">
      <c r="B193" s="1149"/>
      <c r="C193" s="166" t="s">
        <v>481</v>
      </c>
      <c r="D193" s="167">
        <f>SUM(D187:D192)</f>
        <v>7952040</v>
      </c>
      <c r="E193" s="176">
        <f>SUM(E187:E192)</f>
        <v>1073525.4000000001</v>
      </c>
      <c r="F193" s="176">
        <f>SUM(F187:F192)</f>
        <v>200391.408</v>
      </c>
      <c r="G193" s="176">
        <f>SUM(G187:G192)</f>
        <v>9542.4479999999985</v>
      </c>
      <c r="H193" s="176">
        <f>SUM(H187:H192)</f>
        <v>139160.70000000001</v>
      </c>
      <c r="I193" s="179">
        <f t="shared" si="22"/>
        <v>1422619.9560000002</v>
      </c>
    </row>
    <row r="194" spans="1:9" ht="15.75" thickBot="1" x14ac:dyDescent="0.25">
      <c r="B194" s="1150"/>
      <c r="C194" s="164" t="s">
        <v>484</v>
      </c>
      <c r="D194" s="165">
        <f>D186+D193</f>
        <v>13960086</v>
      </c>
      <c r="E194" s="307">
        <f>E186+E193</f>
        <v>1884611.6100000003</v>
      </c>
      <c r="F194" s="309">
        <f>F186+F193</f>
        <v>351794.16720000003</v>
      </c>
      <c r="G194" s="309">
        <f>G186+G193</f>
        <v>16752.103199999998</v>
      </c>
      <c r="H194" s="308">
        <f>H186+H193</f>
        <v>230310.16500000001</v>
      </c>
      <c r="I194" s="165">
        <f t="shared" si="22"/>
        <v>2483468.0454000002</v>
      </c>
    </row>
    <row r="195" spans="1:9" ht="30" x14ac:dyDescent="0.2">
      <c r="B195" s="1151" t="s">
        <v>720</v>
      </c>
      <c r="C195" s="433" t="s">
        <v>721</v>
      </c>
      <c r="D195" s="159">
        <f>40*249*348.4</f>
        <v>3470064</v>
      </c>
      <c r="E195" s="174">
        <f>D195*0.27*0.5</f>
        <v>468458.64</v>
      </c>
      <c r="F195" s="150">
        <f t="shared" ref="F195:F204" si="27">D195*0.18*0.14</f>
        <v>87445.612800000017</v>
      </c>
      <c r="G195" s="150">
        <f t="shared" ref="G195:G204" si="28">D195*0.12*0.01</f>
        <v>4164.0767999999998</v>
      </c>
      <c r="H195" s="168">
        <f>D195*0.05*0.35</f>
        <v>60726.12</v>
      </c>
      <c r="I195" s="159">
        <f t="shared" si="22"/>
        <v>620794.44960000005</v>
      </c>
    </row>
    <row r="196" spans="1:9" ht="30" x14ac:dyDescent="0.2">
      <c r="B196" s="1152"/>
      <c r="C196" s="433" t="s">
        <v>637</v>
      </c>
      <c r="D196" s="161">
        <f>20*249*348.4</f>
        <v>1735032</v>
      </c>
      <c r="E196" s="174">
        <f t="shared" ref="E196:E204" si="29">D196*0.27*0.5</f>
        <v>234229.32</v>
      </c>
      <c r="F196" s="150">
        <f t="shared" si="27"/>
        <v>43722.806400000009</v>
      </c>
      <c r="G196" s="150">
        <f t="shared" si="28"/>
        <v>2082.0383999999999</v>
      </c>
      <c r="H196" s="168">
        <f t="shared" ref="H196:H204" si="30">D196*0.05*0.35</f>
        <v>30363.06</v>
      </c>
      <c r="I196" s="161">
        <f t="shared" si="22"/>
        <v>310397.22480000003</v>
      </c>
    </row>
    <row r="197" spans="1:9" x14ac:dyDescent="0.2">
      <c r="B197" s="1153"/>
      <c r="C197" s="433" t="s">
        <v>723</v>
      </c>
      <c r="D197" s="161">
        <f>39*249*348.4</f>
        <v>3383312.4</v>
      </c>
      <c r="E197" s="174">
        <f t="shared" si="29"/>
        <v>456747.174</v>
      </c>
      <c r="F197" s="150">
        <f t="shared" si="27"/>
        <v>85259.472479999997</v>
      </c>
      <c r="G197" s="150">
        <f t="shared" si="28"/>
        <v>4059.9748799999998</v>
      </c>
      <c r="H197" s="168">
        <f t="shared" si="30"/>
        <v>59207.966999999997</v>
      </c>
      <c r="I197" s="161">
        <f t="shared" si="22"/>
        <v>605274.58835999994</v>
      </c>
    </row>
    <row r="198" spans="1:9" x14ac:dyDescent="0.2">
      <c r="B198" s="1153"/>
      <c r="C198" s="434" t="s">
        <v>725</v>
      </c>
      <c r="D198" s="161">
        <f>38*249*348.4</f>
        <v>3296560.8</v>
      </c>
      <c r="E198" s="174">
        <f t="shared" si="29"/>
        <v>445035.70799999998</v>
      </c>
      <c r="F198" s="150">
        <f t="shared" si="27"/>
        <v>83073.332159999991</v>
      </c>
      <c r="G198" s="150">
        <f t="shared" si="28"/>
        <v>3955.8729599999997</v>
      </c>
      <c r="H198" s="168">
        <f t="shared" si="30"/>
        <v>57689.813999999998</v>
      </c>
      <c r="I198" s="161">
        <f t="shared" si="22"/>
        <v>589754.72711999994</v>
      </c>
    </row>
    <row r="199" spans="1:9" x14ac:dyDescent="0.2">
      <c r="B199" s="1153"/>
      <c r="C199" s="433" t="s">
        <v>727</v>
      </c>
      <c r="D199" s="161">
        <f>18*249*348.4</f>
        <v>1561528.7999999998</v>
      </c>
      <c r="E199" s="174">
        <f t="shared" si="29"/>
        <v>210806.38799999998</v>
      </c>
      <c r="F199" s="150">
        <f t="shared" si="27"/>
        <v>39350.525759999997</v>
      </c>
      <c r="G199" s="150">
        <f t="shared" si="28"/>
        <v>1873.8345599999998</v>
      </c>
      <c r="H199" s="168">
        <f t="shared" si="30"/>
        <v>27326.753999999994</v>
      </c>
      <c r="I199" s="161">
        <f t="shared" si="22"/>
        <v>279357.50231999997</v>
      </c>
    </row>
    <row r="200" spans="1:9" x14ac:dyDescent="0.2">
      <c r="B200" s="1153"/>
      <c r="C200" s="433" t="s">
        <v>730</v>
      </c>
      <c r="D200" s="161">
        <f>3*249*348.4</f>
        <v>260254.8</v>
      </c>
      <c r="E200" s="174">
        <f t="shared" si="29"/>
        <v>35134.398000000001</v>
      </c>
      <c r="F200" s="150">
        <f t="shared" si="27"/>
        <v>6558.4209599999995</v>
      </c>
      <c r="G200" s="150">
        <f t="shared" si="28"/>
        <v>312.30575999999996</v>
      </c>
      <c r="H200" s="168">
        <f t="shared" si="30"/>
        <v>4554.4589999999998</v>
      </c>
      <c r="I200" s="161">
        <f t="shared" si="22"/>
        <v>46559.58372000001</v>
      </c>
    </row>
    <row r="201" spans="1:9" x14ac:dyDescent="0.2">
      <c r="B201" s="1153"/>
      <c r="C201" s="433" t="s">
        <v>731</v>
      </c>
      <c r="D201" s="161">
        <f>26*249*348.4</f>
        <v>2255541.5999999996</v>
      </c>
      <c r="E201" s="174">
        <f t="shared" si="29"/>
        <v>304498.11599999998</v>
      </c>
      <c r="F201" s="150">
        <f t="shared" si="27"/>
        <v>56839.648319999993</v>
      </c>
      <c r="G201" s="150">
        <f t="shared" si="28"/>
        <v>2706.6499199999998</v>
      </c>
      <c r="H201" s="168">
        <f t="shared" si="30"/>
        <v>39471.977999999996</v>
      </c>
      <c r="I201" s="161">
        <f t="shared" si="22"/>
        <v>403516.39223999996</v>
      </c>
    </row>
    <row r="202" spans="1:9" x14ac:dyDescent="0.2">
      <c r="B202" s="1153"/>
      <c r="C202" s="435" t="s">
        <v>733</v>
      </c>
      <c r="D202" s="432">
        <f>114*249*348.4</f>
        <v>9889682.3999999985</v>
      </c>
      <c r="E202" s="173">
        <f t="shared" si="29"/>
        <v>1335107.1239999998</v>
      </c>
      <c r="F202" s="149">
        <f t="shared" si="27"/>
        <v>249219.99647999997</v>
      </c>
      <c r="G202" s="149">
        <f t="shared" si="28"/>
        <v>11867.618879999998</v>
      </c>
      <c r="H202" s="156">
        <f t="shared" si="30"/>
        <v>173069.44199999998</v>
      </c>
      <c r="I202" s="432">
        <f t="shared" si="22"/>
        <v>1769264.1813599998</v>
      </c>
    </row>
    <row r="203" spans="1:9" ht="30" x14ac:dyDescent="0.2">
      <c r="B203" s="1155"/>
      <c r="C203" s="435" t="s">
        <v>762</v>
      </c>
      <c r="D203" s="432">
        <f>800*316</f>
        <v>252800</v>
      </c>
      <c r="E203" s="173">
        <f t="shared" si="29"/>
        <v>34128</v>
      </c>
      <c r="F203" s="149">
        <f t="shared" si="27"/>
        <v>6370.56</v>
      </c>
      <c r="G203" s="149">
        <f t="shared" si="28"/>
        <v>303.36</v>
      </c>
      <c r="H203" s="156">
        <f t="shared" si="30"/>
        <v>4424</v>
      </c>
      <c r="I203" s="432">
        <f t="shared" si="22"/>
        <v>45225.919999999998</v>
      </c>
    </row>
    <row r="204" spans="1:9" ht="30.75" thickBot="1" x14ac:dyDescent="0.25">
      <c r="B204" s="1155"/>
      <c r="C204" s="435" t="s">
        <v>735</v>
      </c>
      <c r="D204" s="432">
        <f>44*126*348.4</f>
        <v>1931529.5999999999</v>
      </c>
      <c r="E204" s="436">
        <f t="shared" si="29"/>
        <v>260756.49599999998</v>
      </c>
      <c r="F204" s="437">
        <f t="shared" si="27"/>
        <v>48674.545920000004</v>
      </c>
      <c r="G204" s="437">
        <f t="shared" si="28"/>
        <v>2317.8355199999996</v>
      </c>
      <c r="H204" s="438">
        <f t="shared" si="30"/>
        <v>33801.767999999996</v>
      </c>
      <c r="I204" s="432">
        <f t="shared" si="22"/>
        <v>345550.64543999999</v>
      </c>
    </row>
    <row r="205" spans="1:9" ht="15.75" thickBot="1" x14ac:dyDescent="0.25">
      <c r="B205" s="1154"/>
      <c r="C205" s="439" t="s">
        <v>94</v>
      </c>
      <c r="D205" s="165">
        <f>SUM(D195:D204)</f>
        <v>28036306.399999999</v>
      </c>
      <c r="E205" s="177">
        <f>SUM(E195:E204)</f>
        <v>3784901.3640000001</v>
      </c>
      <c r="F205" s="177">
        <f>SUM(F195:F204)</f>
        <v>706514.92127999989</v>
      </c>
      <c r="G205" s="177">
        <f>SUM(G195:G204)</f>
        <v>33643.567679999993</v>
      </c>
      <c r="H205" s="177">
        <f>SUM(H195:H204)</f>
        <v>490635.36199999996</v>
      </c>
      <c r="I205" s="165">
        <f>SUM(E205:H205)</f>
        <v>5015695.2149600005</v>
      </c>
    </row>
    <row r="207" spans="1:9" ht="15.75" thickBot="1" x14ac:dyDescent="0.25">
      <c r="A207" s="146" t="s">
        <v>479</v>
      </c>
    </row>
    <row r="208" spans="1:9" ht="15.75" thickBot="1" x14ac:dyDescent="0.25">
      <c r="D208" s="170" t="s">
        <v>94</v>
      </c>
      <c r="E208" s="429"/>
      <c r="F208" s="429"/>
      <c r="G208" s="429"/>
      <c r="H208" s="429"/>
      <c r="I208" s="429"/>
    </row>
    <row r="209" spans="1:9" ht="30" x14ac:dyDescent="0.2">
      <c r="B209" s="1145" t="s">
        <v>482</v>
      </c>
      <c r="C209" s="302" t="s">
        <v>753</v>
      </c>
      <c r="D209" s="440">
        <f>6*220*374.1</f>
        <v>493812.00000000006</v>
      </c>
    </row>
    <row r="210" spans="1:9" ht="30" x14ac:dyDescent="0.2">
      <c r="A210" s="147"/>
      <c r="B210" s="1146"/>
      <c r="C210" s="143" t="s">
        <v>698</v>
      </c>
      <c r="D210" s="441">
        <f>0*220*374.1</f>
        <v>0</v>
      </c>
      <c r="E210" s="147"/>
      <c r="F210" s="147"/>
      <c r="G210" s="147"/>
      <c r="H210" s="147"/>
      <c r="I210" s="147"/>
    </row>
    <row r="211" spans="1:9" ht="30" x14ac:dyDescent="0.2">
      <c r="A211" s="147"/>
      <c r="B211" s="1146"/>
      <c r="C211" s="143" t="s">
        <v>761</v>
      </c>
      <c r="D211" s="441">
        <f>1*220*374.1</f>
        <v>82302</v>
      </c>
      <c r="E211" s="147"/>
      <c r="F211" s="147"/>
      <c r="G211" s="147"/>
      <c r="H211" s="147"/>
      <c r="I211" s="147"/>
    </row>
    <row r="212" spans="1:9" x14ac:dyDescent="0.2">
      <c r="B212" s="1146"/>
      <c r="C212" s="148" t="s">
        <v>480</v>
      </c>
      <c r="D212" s="442">
        <f>SUM(D209:D211)</f>
        <v>576114</v>
      </c>
    </row>
    <row r="213" spans="1:9" ht="30" x14ac:dyDescent="0.2">
      <c r="B213" s="1146"/>
      <c r="C213" s="142" t="s">
        <v>699</v>
      </c>
      <c r="D213" s="443">
        <f>7*185*157.9</f>
        <v>204480.5</v>
      </c>
    </row>
    <row r="214" spans="1:9" ht="30" x14ac:dyDescent="0.2">
      <c r="B214" s="1146"/>
      <c r="C214" s="142" t="s">
        <v>737</v>
      </c>
      <c r="D214" s="443">
        <f>3*185*187.05</f>
        <v>103812.75</v>
      </c>
    </row>
    <row r="215" spans="1:9" ht="30" x14ac:dyDescent="0.2">
      <c r="B215" s="1146"/>
      <c r="C215" s="142" t="s">
        <v>738</v>
      </c>
      <c r="D215" s="443">
        <f>12*185*210.6</f>
        <v>467532</v>
      </c>
    </row>
    <row r="216" spans="1:9" ht="30" x14ac:dyDescent="0.2">
      <c r="B216" s="1146"/>
      <c r="C216" s="142" t="s">
        <v>739</v>
      </c>
      <c r="D216" s="443">
        <f>12*185*315.8</f>
        <v>701076</v>
      </c>
    </row>
    <row r="217" spans="1:9" ht="30" x14ac:dyDescent="0.2">
      <c r="B217" s="1146"/>
      <c r="C217" s="142" t="s">
        <v>740</v>
      </c>
      <c r="D217" s="443">
        <f>12*185*370.1</f>
        <v>821622</v>
      </c>
    </row>
    <row r="218" spans="1:9" ht="30" x14ac:dyDescent="0.2">
      <c r="B218" s="1146"/>
      <c r="C218" s="142" t="s">
        <v>741</v>
      </c>
      <c r="D218" s="443">
        <f>20*185*421.2</f>
        <v>1558440</v>
      </c>
    </row>
    <row r="219" spans="1:9" ht="30" x14ac:dyDescent="0.2">
      <c r="B219" s="1146"/>
      <c r="C219" s="142" t="s">
        <v>755</v>
      </c>
      <c r="D219" s="443">
        <f>2*185*157.9</f>
        <v>58423</v>
      </c>
    </row>
    <row r="220" spans="1:9" ht="30" x14ac:dyDescent="0.2">
      <c r="B220" s="1146"/>
      <c r="C220" s="142" t="s">
        <v>756</v>
      </c>
      <c r="D220" s="443">
        <f>0*185*187.05</f>
        <v>0</v>
      </c>
    </row>
    <row r="221" spans="1:9" ht="30" x14ac:dyDescent="0.2">
      <c r="B221" s="1146"/>
      <c r="C221" s="142" t="s">
        <v>757</v>
      </c>
      <c r="D221" s="443">
        <f>4*185*210.6</f>
        <v>155844</v>
      </c>
    </row>
    <row r="222" spans="1:9" ht="30" x14ac:dyDescent="0.2">
      <c r="B222" s="1146"/>
      <c r="C222" s="142" t="s">
        <v>758</v>
      </c>
      <c r="D222" s="443">
        <f>3*185*315.8</f>
        <v>175269</v>
      </c>
    </row>
    <row r="223" spans="1:9" ht="30" x14ac:dyDescent="0.2">
      <c r="B223" s="1146"/>
      <c r="C223" s="142" t="s">
        <v>759</v>
      </c>
      <c r="D223" s="443">
        <f>0*185*370.1</f>
        <v>0</v>
      </c>
    </row>
    <row r="224" spans="1:9" ht="30" x14ac:dyDescent="0.2">
      <c r="B224" s="1146"/>
      <c r="C224" s="142" t="s">
        <v>760</v>
      </c>
      <c r="D224" s="443">
        <f>6*185*421.2</f>
        <v>467532</v>
      </c>
    </row>
    <row r="225" spans="2:7" x14ac:dyDescent="0.2">
      <c r="B225" s="1146"/>
      <c r="C225" s="148" t="s">
        <v>481</v>
      </c>
      <c r="D225" s="160">
        <f>SUM(D213:D224)</f>
        <v>4714031.25</v>
      </c>
    </row>
    <row r="226" spans="2:7" ht="15.75" thickBot="1" x14ac:dyDescent="0.25">
      <c r="B226" s="1147"/>
      <c r="C226" s="152" t="s">
        <v>484</v>
      </c>
      <c r="D226" s="162">
        <f>D212+D225</f>
        <v>5290145.25</v>
      </c>
    </row>
    <row r="227" spans="2:7" x14ac:dyDescent="0.2">
      <c r="B227" s="1145" t="s">
        <v>720</v>
      </c>
      <c r="C227" s="143" t="s">
        <v>722</v>
      </c>
      <c r="D227" s="161">
        <f>40*249*543.4</f>
        <v>5412264</v>
      </c>
    </row>
    <row r="228" spans="2:7" ht="30" x14ac:dyDescent="0.2">
      <c r="B228" s="1146"/>
      <c r="C228" s="143" t="s">
        <v>724</v>
      </c>
      <c r="D228" s="161">
        <f>39*249*543.4</f>
        <v>5276957.3999999994</v>
      </c>
    </row>
    <row r="229" spans="2:7" ht="30" x14ac:dyDescent="0.2">
      <c r="B229" s="1146"/>
      <c r="C229" s="142" t="s">
        <v>726</v>
      </c>
      <c r="D229" s="161">
        <f>38*249*543.4</f>
        <v>5141650.8</v>
      </c>
    </row>
    <row r="230" spans="2:7" ht="30" x14ac:dyDescent="0.2">
      <c r="B230" s="1146"/>
      <c r="C230" s="142" t="s">
        <v>728</v>
      </c>
      <c r="D230" s="161">
        <f>18*249*543.4</f>
        <v>2435518.7999999998</v>
      </c>
    </row>
    <row r="231" spans="2:7" ht="30" x14ac:dyDescent="0.2">
      <c r="B231" s="1146"/>
      <c r="C231" s="142" t="s">
        <v>729</v>
      </c>
      <c r="D231" s="161">
        <f>3*249*543.4</f>
        <v>405919.8</v>
      </c>
    </row>
    <row r="232" spans="2:7" ht="30" x14ac:dyDescent="0.2">
      <c r="B232" s="1146"/>
      <c r="C232" s="144" t="s">
        <v>732</v>
      </c>
      <c r="D232" s="161">
        <f>26*249*543.4</f>
        <v>3517971.5999999996</v>
      </c>
    </row>
    <row r="233" spans="2:7" ht="30" x14ac:dyDescent="0.2">
      <c r="B233" s="1146"/>
      <c r="C233" s="142" t="s">
        <v>734</v>
      </c>
      <c r="D233" s="161">
        <f>114*249*543.4</f>
        <v>15424952.399999999</v>
      </c>
      <c r="F233" s="430"/>
      <c r="G233" s="431"/>
    </row>
    <row r="234" spans="2:7" ht="30" x14ac:dyDescent="0.2">
      <c r="B234" s="1146"/>
      <c r="C234" s="435" t="s">
        <v>763</v>
      </c>
      <c r="D234" s="432">
        <f>800*507.874016</f>
        <v>406299.21279999998</v>
      </c>
    </row>
    <row r="235" spans="2:7" ht="30" x14ac:dyDescent="0.2">
      <c r="B235" s="1146"/>
      <c r="C235" s="435" t="s">
        <v>736</v>
      </c>
      <c r="D235" s="432">
        <f>44*126*590.55</f>
        <v>3274009.1999999997</v>
      </c>
    </row>
    <row r="236" spans="2:7" ht="15.75" thickBot="1" x14ac:dyDescent="0.25">
      <c r="B236" s="1147"/>
      <c r="C236" s="153" t="s">
        <v>485</v>
      </c>
      <c r="D236" s="162">
        <f>SUM(D227:D235)</f>
        <v>41295543.212800004</v>
      </c>
    </row>
  </sheetData>
  <mergeCells count="8">
    <mergeCell ref="B209:B226"/>
    <mergeCell ref="B227:B236"/>
    <mergeCell ref="B138:B145"/>
    <mergeCell ref="B146:B154"/>
    <mergeCell ref="B158:B168"/>
    <mergeCell ref="B169:B176"/>
    <mergeCell ref="B183:B194"/>
    <mergeCell ref="B195:B20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view="pageBreakPreview" zoomScale="90" zoomScaleNormal="100" workbookViewId="0">
      <selection activeCell="B7" sqref="B7:I36"/>
    </sheetView>
  </sheetViews>
  <sheetFormatPr defaultRowHeight="15" x14ac:dyDescent="0.3"/>
  <cols>
    <col min="1" max="1" width="4.42578125" style="40" customWidth="1"/>
    <col min="2" max="2" width="35.28515625" style="20" customWidth="1"/>
    <col min="3" max="5" width="15.85546875" style="20" customWidth="1"/>
    <col min="6" max="6" width="30.85546875" style="20" customWidth="1"/>
    <col min="7" max="9" width="15.85546875" style="20" customWidth="1"/>
    <col min="10" max="10" width="9.140625" style="20"/>
    <col min="11" max="11" width="15.28515625" style="20" bestFit="1" customWidth="1"/>
    <col min="12" max="16384" width="9.140625" style="20"/>
  </cols>
  <sheetData>
    <row r="1" spans="1:9" x14ac:dyDescent="0.3">
      <c r="A1" s="10"/>
      <c r="B1" s="842" t="s">
        <v>103</v>
      </c>
      <c r="C1" s="842"/>
      <c r="D1" s="842"/>
      <c r="E1" s="842"/>
      <c r="F1" s="842"/>
      <c r="G1" s="883"/>
      <c r="H1" s="55"/>
      <c r="I1" s="55"/>
    </row>
    <row r="2" spans="1:9" x14ac:dyDescent="0.3">
      <c r="A2" s="10"/>
      <c r="B2" s="12"/>
      <c r="C2" s="12"/>
      <c r="D2" s="12"/>
      <c r="E2" s="12"/>
      <c r="F2" s="12"/>
      <c r="G2" s="12"/>
      <c r="H2" s="12"/>
      <c r="I2" s="12"/>
    </row>
    <row r="3" spans="1:9" ht="42.75" customHeight="1" x14ac:dyDescent="0.3">
      <c r="A3" s="10"/>
      <c r="B3" s="884" t="s">
        <v>853</v>
      </c>
      <c r="C3" s="884"/>
      <c r="D3" s="884"/>
      <c r="E3" s="884"/>
      <c r="F3" s="884"/>
      <c r="G3" s="884"/>
      <c r="H3" s="884"/>
      <c r="I3" s="221"/>
    </row>
    <row r="4" spans="1:9" ht="20.45" customHeight="1" x14ac:dyDescent="0.3">
      <c r="A4" s="10"/>
      <c r="B4" s="884" t="s">
        <v>554</v>
      </c>
      <c r="C4" s="884"/>
      <c r="D4" s="884"/>
      <c r="E4" s="884"/>
      <c r="F4" s="884"/>
      <c r="G4" s="884"/>
      <c r="H4" s="884"/>
      <c r="I4" s="221"/>
    </row>
    <row r="5" spans="1:9" ht="15.75" customHeight="1" x14ac:dyDescent="0.3">
      <c r="A5" s="10"/>
      <c r="B5" s="221"/>
      <c r="C5" s="221"/>
      <c r="D5" s="221"/>
      <c r="E5" s="221"/>
      <c r="F5" s="221"/>
      <c r="G5" s="221"/>
      <c r="H5" s="221"/>
      <c r="I5" s="221"/>
    </row>
    <row r="6" spans="1:9" x14ac:dyDescent="0.3">
      <c r="A6" s="10"/>
      <c r="B6" s="12"/>
      <c r="C6" s="12"/>
      <c r="D6" s="12"/>
      <c r="E6" s="12"/>
      <c r="F6" s="12"/>
      <c r="G6" s="12"/>
      <c r="H6" s="12"/>
      <c r="I6" s="12"/>
    </row>
    <row r="7" spans="1:9" ht="16.5" x14ac:dyDescent="0.3">
      <c r="A7" s="82" t="s">
        <v>0</v>
      </c>
      <c r="B7" s="885" t="s">
        <v>825</v>
      </c>
      <c r="C7" s="885"/>
      <c r="D7" s="885"/>
      <c r="E7" s="885"/>
      <c r="F7" s="885"/>
      <c r="G7" s="885"/>
      <c r="H7" s="885"/>
      <c r="I7" s="885"/>
    </row>
    <row r="8" spans="1:9" ht="15.75" x14ac:dyDescent="0.3">
      <c r="A8" s="81" t="s">
        <v>6</v>
      </c>
      <c r="B8" s="875" t="s">
        <v>2</v>
      </c>
      <c r="C8" s="876"/>
      <c r="D8" s="876"/>
      <c r="E8" s="877"/>
      <c r="F8" s="875" t="s">
        <v>25</v>
      </c>
      <c r="G8" s="876"/>
      <c r="H8" s="876"/>
      <c r="I8" s="877"/>
    </row>
    <row r="9" spans="1:9" ht="18" customHeight="1" x14ac:dyDescent="0.3">
      <c r="A9" s="870" t="s">
        <v>14</v>
      </c>
      <c r="B9" s="872" t="s">
        <v>32</v>
      </c>
      <c r="C9" s="875" t="s">
        <v>646</v>
      </c>
      <c r="D9" s="876"/>
      <c r="E9" s="877"/>
      <c r="F9" s="874" t="s">
        <v>32</v>
      </c>
      <c r="G9" s="875" t="s">
        <v>646</v>
      </c>
      <c r="H9" s="876"/>
      <c r="I9" s="877"/>
    </row>
    <row r="10" spans="1:9" ht="25.5" customHeight="1" x14ac:dyDescent="0.3">
      <c r="A10" s="871"/>
      <c r="B10" s="873"/>
      <c r="C10" s="377" t="s">
        <v>673</v>
      </c>
      <c r="D10" s="377" t="s">
        <v>674</v>
      </c>
      <c r="E10" s="377" t="s">
        <v>852</v>
      </c>
      <c r="F10" s="873"/>
      <c r="G10" s="377" t="s">
        <v>673</v>
      </c>
      <c r="H10" s="377" t="s">
        <v>674</v>
      </c>
      <c r="I10" s="378" t="s">
        <v>852</v>
      </c>
    </row>
    <row r="11" spans="1:9" x14ac:dyDescent="0.3">
      <c r="A11" s="81" t="s">
        <v>17</v>
      </c>
      <c r="B11" s="33" t="s">
        <v>7</v>
      </c>
      <c r="C11" s="189">
        <f>'1.m. kiemelt bev.'!B16</f>
        <v>61563557.1505</v>
      </c>
      <c r="D11" s="189">
        <f>'1.m. kiemelt bev.'!C16</f>
        <v>100457729.16775601</v>
      </c>
      <c r="E11" s="189">
        <f>'1.m. kiemelt bev.'!D16</f>
        <v>68963707</v>
      </c>
      <c r="F11" s="33" t="s">
        <v>28</v>
      </c>
      <c r="G11" s="189">
        <f>'2.m. kiemelt kiad.'!B15</f>
        <v>124493557</v>
      </c>
      <c r="H11" s="189">
        <f>'2.m. kiemelt kiad.'!C15</f>
        <v>140548110.90000001</v>
      </c>
      <c r="I11" s="189">
        <f>'2.m. kiemelt kiad.'!D15</f>
        <v>135445268</v>
      </c>
    </row>
    <row r="12" spans="1:9" ht="30" x14ac:dyDescent="0.3">
      <c r="A12" s="81" t="s">
        <v>33</v>
      </c>
      <c r="B12" s="33" t="s">
        <v>8</v>
      </c>
      <c r="C12" s="189">
        <f>'1.m. kiemelt bev.'!E16</f>
        <v>89150000</v>
      </c>
      <c r="D12" s="189">
        <f>'1.m. kiemelt bev.'!F16</f>
        <v>81814470</v>
      </c>
      <c r="E12" s="189">
        <f>'1.m. kiemelt bev.'!G16</f>
        <v>77438918</v>
      </c>
      <c r="F12" s="33" t="s">
        <v>34</v>
      </c>
      <c r="G12" s="189">
        <f>'2.m. kiemelt kiad.'!E15</f>
        <v>21139386.199999999</v>
      </c>
      <c r="H12" s="189">
        <f>'2.m. kiemelt kiad.'!F15</f>
        <v>22163743.524500001</v>
      </c>
      <c r="I12" s="189">
        <f>'2.m. kiemelt kiad.'!G15</f>
        <v>21175197</v>
      </c>
    </row>
    <row r="13" spans="1:9" x14ac:dyDescent="0.3">
      <c r="A13" s="81" t="s">
        <v>35</v>
      </c>
      <c r="B13" s="33" t="s">
        <v>9</v>
      </c>
      <c r="C13" s="189">
        <f>'1.m. kiemelt bev.'!H16</f>
        <v>175862359</v>
      </c>
      <c r="D13" s="189">
        <f>'1.m. kiemelt bev.'!I16</f>
        <v>225123198.53</v>
      </c>
      <c r="E13" s="189">
        <f>'1.m. kiemelt bev.'!J16</f>
        <v>225123199</v>
      </c>
      <c r="F13" s="33" t="s">
        <v>99</v>
      </c>
      <c r="G13" s="189">
        <f>'2.m. kiemelt kiad.'!H15</f>
        <v>112588586.31772</v>
      </c>
      <c r="H13" s="189">
        <f>'2.m. kiemelt kiad.'!I15</f>
        <v>124311807.77035999</v>
      </c>
      <c r="I13" s="189">
        <f>'2.m. kiemelt kiad.'!J15</f>
        <v>114400419.5</v>
      </c>
    </row>
    <row r="14" spans="1:9" ht="25.5" customHeight="1" x14ac:dyDescent="0.3">
      <c r="A14" s="81" t="s">
        <v>30</v>
      </c>
      <c r="B14" s="33" t="s">
        <v>10</v>
      </c>
      <c r="C14" s="189">
        <f>'1.m. kiemelt bev.'!N16</f>
        <v>0</v>
      </c>
      <c r="D14" s="189">
        <f>'1.m. kiemelt bev.'!O16</f>
        <v>2515000</v>
      </c>
      <c r="E14" s="189">
        <f>'1.m. kiemelt bev.'!P16</f>
        <v>2515000</v>
      </c>
      <c r="F14" s="68" t="s">
        <v>111</v>
      </c>
      <c r="G14" s="189">
        <f>'2.m. kiemelt kiad.'!K15</f>
        <v>500000</v>
      </c>
      <c r="H14" s="189">
        <f>'2.m. kiemelt kiad.'!L15</f>
        <v>500000</v>
      </c>
      <c r="I14" s="189">
        <f>'2.m. kiemelt kiad.'!M15</f>
        <v>218500</v>
      </c>
    </row>
    <row r="15" spans="1:9" ht="30" x14ac:dyDescent="0.3">
      <c r="A15" s="81" t="s">
        <v>19</v>
      </c>
      <c r="B15" s="33"/>
      <c r="C15" s="189"/>
      <c r="D15" s="189"/>
      <c r="E15" s="189"/>
      <c r="F15" s="33" t="s">
        <v>68</v>
      </c>
      <c r="G15" s="189">
        <f>'2.m. kiemelt kiad.'!N15</f>
        <v>46637814</v>
      </c>
      <c r="H15" s="189">
        <f>'2.m. kiemelt kiad.'!O15</f>
        <v>56798291</v>
      </c>
      <c r="I15" s="189">
        <f>'2.m. kiemelt kiad.'!P15</f>
        <v>55505161</v>
      </c>
    </row>
    <row r="16" spans="1:9" x14ac:dyDescent="0.3">
      <c r="A16" s="81" t="s">
        <v>20</v>
      </c>
      <c r="B16" s="33"/>
      <c r="C16" s="189"/>
      <c r="D16" s="189"/>
      <c r="E16" s="189"/>
      <c r="F16" s="33" t="s">
        <v>544</v>
      </c>
      <c r="G16" s="189">
        <f>'2.m. kiemelt kiad.'!Q15</f>
        <v>13453690</v>
      </c>
      <c r="H16" s="189">
        <f>'2.m. kiemelt kiad.'!R15</f>
        <v>12608419</v>
      </c>
      <c r="I16" s="189">
        <f>'2.m. kiemelt kiad.'!S15</f>
        <v>0</v>
      </c>
    </row>
    <row r="17" spans="1:11" ht="26.25" customHeight="1" x14ac:dyDescent="0.3">
      <c r="A17" s="81" t="s">
        <v>21</v>
      </c>
      <c r="B17" s="34" t="s">
        <v>104</v>
      </c>
      <c r="C17" s="219">
        <f>SUM(C11:C16)</f>
        <v>326575916.1505</v>
      </c>
      <c r="D17" s="219">
        <f>SUM(D11:D16)</f>
        <v>409910397.69775605</v>
      </c>
      <c r="E17" s="219">
        <f>SUM(E11:E16)</f>
        <v>374040824</v>
      </c>
      <c r="F17" s="34" t="s">
        <v>36</v>
      </c>
      <c r="G17" s="219">
        <f>SUM(G11:G16)</f>
        <v>318813033.51771998</v>
      </c>
      <c r="H17" s="219">
        <f>SUM(H11:H16)</f>
        <v>356930372.19485998</v>
      </c>
      <c r="I17" s="219">
        <f>SUM(I11:I16)</f>
        <v>326744545.5</v>
      </c>
    </row>
    <row r="18" spans="1:11" x14ac:dyDescent="0.3">
      <c r="A18" s="81" t="s">
        <v>31</v>
      </c>
      <c r="B18" s="880" t="s">
        <v>37</v>
      </c>
      <c r="C18" s="880"/>
      <c r="D18" s="880"/>
      <c r="E18" s="880"/>
      <c r="F18" s="880"/>
      <c r="G18" s="200">
        <f>C17-G17</f>
        <v>7762882.6327800155</v>
      </c>
      <c r="H18" s="200">
        <f>D17-H17</f>
        <v>52980025.50289607</v>
      </c>
      <c r="I18" s="200">
        <f>E17-I17</f>
        <v>47296278.5</v>
      </c>
    </row>
    <row r="19" spans="1:11" x14ac:dyDescent="0.3">
      <c r="A19" s="81" t="s">
        <v>22</v>
      </c>
      <c r="B19" s="881" t="s">
        <v>38</v>
      </c>
      <c r="C19" s="881"/>
      <c r="D19" s="881"/>
      <c r="E19" s="881"/>
      <c r="F19" s="881"/>
      <c r="G19" s="200">
        <f>'1.m. kiemelt bev.'!Q16</f>
        <v>6422523</v>
      </c>
      <c r="H19" s="200">
        <f>'1.m. kiemelt bev.'!R16</f>
        <v>6432335</v>
      </c>
      <c r="I19" s="200">
        <f>'1.m. kiemelt bev.'!S16</f>
        <v>6432335</v>
      </c>
    </row>
    <row r="20" spans="1:11" ht="21" customHeight="1" x14ac:dyDescent="0.3">
      <c r="A20" s="81" t="s">
        <v>24</v>
      </c>
      <c r="B20" s="880" t="s">
        <v>579</v>
      </c>
      <c r="C20" s="880"/>
      <c r="D20" s="880"/>
      <c r="E20" s="880"/>
      <c r="F20" s="880"/>
      <c r="G20" s="200">
        <f>G19+G18</f>
        <v>14185405.632780015</v>
      </c>
      <c r="H20" s="200">
        <f>H19+H18</f>
        <v>59412360.50289607</v>
      </c>
      <c r="I20" s="200">
        <f>I19+I18</f>
        <v>53728613.5</v>
      </c>
    </row>
    <row r="21" spans="1:11" ht="21" customHeight="1" x14ac:dyDescent="0.3">
      <c r="A21" s="35"/>
      <c r="B21" s="83"/>
      <c r="C21" s="83"/>
      <c r="D21" s="83"/>
      <c r="E21" s="83"/>
      <c r="F21" s="83"/>
      <c r="G21" s="84"/>
      <c r="H21" s="84"/>
      <c r="I21" s="84"/>
    </row>
    <row r="22" spans="1:11" ht="15.75" x14ac:dyDescent="0.3">
      <c r="A22" s="35"/>
      <c r="B22" s="36"/>
      <c r="C22" s="36"/>
      <c r="D22" s="36"/>
      <c r="E22" s="36"/>
      <c r="F22" s="36"/>
      <c r="G22" s="37"/>
      <c r="H22" s="37"/>
      <c r="I22" s="37"/>
    </row>
    <row r="23" spans="1:11" ht="15.75" x14ac:dyDescent="0.3">
      <c r="A23" s="81" t="s">
        <v>39</v>
      </c>
      <c r="B23" s="878" t="s">
        <v>824</v>
      </c>
      <c r="C23" s="878"/>
      <c r="D23" s="878"/>
      <c r="E23" s="878"/>
      <c r="F23" s="878"/>
      <c r="G23" s="878"/>
      <c r="H23" s="878"/>
      <c r="I23" s="878"/>
    </row>
    <row r="24" spans="1:11" ht="15.75" x14ac:dyDescent="0.3">
      <c r="A24" s="81" t="s">
        <v>40</v>
      </c>
      <c r="B24" s="875" t="s">
        <v>3</v>
      </c>
      <c r="C24" s="876"/>
      <c r="D24" s="876"/>
      <c r="E24" s="877"/>
      <c r="F24" s="879" t="s">
        <v>26</v>
      </c>
      <c r="G24" s="879"/>
      <c r="H24" s="879"/>
      <c r="I24" s="879"/>
    </row>
    <row r="25" spans="1:11" ht="19.149999999999999" customHeight="1" x14ac:dyDescent="0.3">
      <c r="A25" s="870" t="s">
        <v>41</v>
      </c>
      <c r="B25" s="872" t="s">
        <v>32</v>
      </c>
      <c r="C25" s="879" t="s">
        <v>646</v>
      </c>
      <c r="D25" s="879"/>
      <c r="E25" s="879"/>
      <c r="F25" s="874" t="s">
        <v>32</v>
      </c>
      <c r="G25" s="879" t="s">
        <v>646</v>
      </c>
      <c r="H25" s="879"/>
      <c r="I25" s="879"/>
    </row>
    <row r="26" spans="1:11" ht="25.5" x14ac:dyDescent="0.3">
      <c r="A26" s="871"/>
      <c r="B26" s="873"/>
      <c r="C26" s="377" t="s">
        <v>673</v>
      </c>
      <c r="D26" s="377" t="s">
        <v>674</v>
      </c>
      <c r="E26" s="377" t="s">
        <v>852</v>
      </c>
      <c r="F26" s="873"/>
      <c r="G26" s="377" t="s">
        <v>673</v>
      </c>
      <c r="H26" s="377" t="s">
        <v>674</v>
      </c>
      <c r="I26" s="377" t="s">
        <v>852</v>
      </c>
    </row>
    <row r="27" spans="1:11" ht="27.75" customHeight="1" x14ac:dyDescent="0.3">
      <c r="A27" s="81" t="s">
        <v>42</v>
      </c>
      <c r="B27" s="33" t="s">
        <v>630</v>
      </c>
      <c r="C27" s="149">
        <f>'1.m. kiemelt bev.'!T16</f>
        <v>0</v>
      </c>
      <c r="D27" s="149">
        <f>'1.m. kiemelt bev.'!U16</f>
        <v>126597573</v>
      </c>
      <c r="E27" s="149">
        <f>'1.m. kiemelt bev.'!V16</f>
        <v>126597573</v>
      </c>
      <c r="F27" s="33" t="s">
        <v>29</v>
      </c>
      <c r="G27" s="189">
        <f>'2.m. kiemelt kiad.'!T15</f>
        <v>64841190</v>
      </c>
      <c r="H27" s="189">
        <f>'2.m. kiemelt kiad.'!U15</f>
        <v>173043526.29000002</v>
      </c>
      <c r="I27" s="189">
        <f>'2.m. kiemelt kiad.'!V15</f>
        <v>91586074</v>
      </c>
    </row>
    <row r="28" spans="1:11" ht="28.5" customHeight="1" x14ac:dyDescent="0.3">
      <c r="A28" s="81" t="s">
        <v>43</v>
      </c>
      <c r="B28" s="33" t="s">
        <v>12</v>
      </c>
      <c r="C28" s="189">
        <f>'1.m. kiemelt bev.'!W16</f>
        <v>0</v>
      </c>
      <c r="D28" s="189">
        <f>'1.m. kiemelt bev.'!X16</f>
        <v>0</v>
      </c>
      <c r="E28" s="189">
        <f>'1.m. kiemelt bev.'!Y16</f>
        <v>0</v>
      </c>
      <c r="F28" s="33" t="s">
        <v>69</v>
      </c>
      <c r="G28" s="189">
        <f>'2.m. kiemelt kiad.'!W15</f>
        <v>4500000</v>
      </c>
      <c r="H28" s="189">
        <f>'2.m. kiemelt kiad.'!X15</f>
        <v>9941357</v>
      </c>
      <c r="I28" s="189">
        <f>'2.m. kiemelt kiad.'!Y15</f>
        <v>9941357</v>
      </c>
    </row>
    <row r="29" spans="1:11" ht="31.5" customHeight="1" x14ac:dyDescent="0.3">
      <c r="A29" s="81" t="s">
        <v>44</v>
      </c>
      <c r="B29" s="33" t="s">
        <v>13</v>
      </c>
      <c r="C29" s="189">
        <f>'1.m. kiemelt bev.'!Z16</f>
        <v>0</v>
      </c>
      <c r="D29" s="189">
        <f>'1.m. kiemelt bev.'!AA16</f>
        <v>1527135</v>
      </c>
      <c r="E29" s="189">
        <f>'1.m. kiemelt bev.'!AB16</f>
        <v>1527135</v>
      </c>
      <c r="F29" s="33" t="s">
        <v>543</v>
      </c>
      <c r="G29" s="189">
        <f>'2.m. kiemelt kiad.'!Z15</f>
        <v>6256872</v>
      </c>
      <c r="H29" s="189">
        <f>'2.m. kiemelt kiad.'!AA15</f>
        <v>6781557</v>
      </c>
      <c r="I29" s="189">
        <f>'2.m. kiemelt kiad.'!AB15</f>
        <v>6781557</v>
      </c>
    </row>
    <row r="30" spans="1:11" ht="19.5" customHeight="1" x14ac:dyDescent="0.3">
      <c r="A30" s="81" t="s">
        <v>45</v>
      </c>
      <c r="B30" s="33" t="s">
        <v>839</v>
      </c>
      <c r="C30" s="189">
        <f>'1.m. kiemelt bev.'!AC16</f>
        <v>0</v>
      </c>
      <c r="D30" s="189">
        <f>'1.m. kiemelt bev.'!AD16</f>
        <v>8787457</v>
      </c>
      <c r="E30" s="189">
        <f>'1.m. kiemelt bev.'!AE16</f>
        <v>8787457</v>
      </c>
      <c r="F30" s="33" t="s">
        <v>545</v>
      </c>
      <c r="G30" s="189">
        <f>'2.m. kiemelt kiad.'!AC15</f>
        <v>51550000</v>
      </c>
      <c r="H30" s="189">
        <f>'2.m. kiemelt kiad.'!AD15</f>
        <v>118061742</v>
      </c>
      <c r="I30" s="189">
        <f>'2.m. kiemelt kiad.'!AE15</f>
        <v>0</v>
      </c>
    </row>
    <row r="31" spans="1:11" ht="25.5" x14ac:dyDescent="0.3">
      <c r="A31" s="81" t="s">
        <v>46</v>
      </c>
      <c r="B31" s="34" t="s">
        <v>48</v>
      </c>
      <c r="C31" s="200">
        <f>SUM(C27:C30)</f>
        <v>0</v>
      </c>
      <c r="D31" s="200">
        <f>SUM(D27:D30)</f>
        <v>136912165</v>
      </c>
      <c r="E31" s="200">
        <f>SUM(E27:E30)</f>
        <v>136912165</v>
      </c>
      <c r="F31" s="34" t="s">
        <v>49</v>
      </c>
      <c r="G31" s="200">
        <f>SUM(G27:G30)</f>
        <v>127148062</v>
      </c>
      <c r="H31" s="200">
        <f>SUM(H27:H30)</f>
        <v>307828182.29000002</v>
      </c>
      <c r="I31" s="200">
        <f>SUM(I27:I30)</f>
        <v>108308988</v>
      </c>
    </row>
    <row r="32" spans="1:11" ht="20.100000000000001" customHeight="1" x14ac:dyDescent="0.3">
      <c r="A32" s="81" t="s">
        <v>47</v>
      </c>
      <c r="B32" s="880" t="s">
        <v>51</v>
      </c>
      <c r="C32" s="880"/>
      <c r="D32" s="880"/>
      <c r="E32" s="880"/>
      <c r="F32" s="880"/>
      <c r="G32" s="200">
        <f>C31-G31</f>
        <v>-127148062</v>
      </c>
      <c r="H32" s="200">
        <f>D31-H31</f>
        <v>-170916017.29000002</v>
      </c>
      <c r="I32" s="200">
        <f>E31-I31</f>
        <v>28603177</v>
      </c>
      <c r="K32" s="38"/>
    </row>
    <row r="33" spans="1:11" ht="20.100000000000001" customHeight="1" x14ac:dyDescent="0.3">
      <c r="A33" s="81" t="s">
        <v>50</v>
      </c>
      <c r="B33" s="881" t="s">
        <v>53</v>
      </c>
      <c r="C33" s="881"/>
      <c r="D33" s="881"/>
      <c r="E33" s="881"/>
      <c r="F33" s="881"/>
      <c r="G33" s="200">
        <f>'1.m. kiemelt bev.'!AF16</f>
        <v>112962656</v>
      </c>
      <c r="H33" s="200">
        <f>'1.m. kiemelt bev.'!AG16</f>
        <v>111503656</v>
      </c>
      <c r="I33" s="200">
        <f>'1.m. kiemelt bev.'!AH16</f>
        <v>111503656</v>
      </c>
      <c r="K33" s="38"/>
    </row>
    <row r="34" spans="1:11" ht="20.100000000000001" customHeight="1" x14ac:dyDescent="0.3">
      <c r="A34" s="81" t="s">
        <v>52</v>
      </c>
      <c r="B34" s="880" t="s">
        <v>55</v>
      </c>
      <c r="C34" s="880"/>
      <c r="D34" s="880"/>
      <c r="E34" s="880"/>
      <c r="F34" s="880"/>
      <c r="G34" s="200">
        <f>G33+G32</f>
        <v>-14185406</v>
      </c>
      <c r="H34" s="200">
        <f>H33+H32</f>
        <v>-59412361.290000021</v>
      </c>
      <c r="I34" s="200">
        <f>I33+I32</f>
        <v>140106833</v>
      </c>
      <c r="K34" s="38"/>
    </row>
    <row r="35" spans="1:11" ht="35.25" customHeight="1" x14ac:dyDescent="0.3">
      <c r="A35" s="81" t="s">
        <v>54</v>
      </c>
      <c r="B35" s="882" t="s">
        <v>647</v>
      </c>
      <c r="C35" s="882"/>
      <c r="D35" s="882"/>
      <c r="E35" s="882"/>
      <c r="F35" s="882"/>
      <c r="G35" s="200">
        <f>G20</f>
        <v>14185405.632780015</v>
      </c>
      <c r="H35" s="200">
        <f>H20</f>
        <v>59412360.50289607</v>
      </c>
      <c r="I35" s="200">
        <f>I20</f>
        <v>53728613.5</v>
      </c>
      <c r="K35" s="38"/>
    </row>
    <row r="36" spans="1:11" ht="20.100000000000001" customHeight="1" x14ac:dyDescent="0.3">
      <c r="A36" s="81" t="s">
        <v>56</v>
      </c>
      <c r="B36" s="880" t="s">
        <v>70</v>
      </c>
      <c r="C36" s="880"/>
      <c r="D36" s="880"/>
      <c r="E36" s="880"/>
      <c r="F36" s="880"/>
      <c r="G36" s="218">
        <f>G34+G35</f>
        <v>-0.36721998453140259</v>
      </c>
      <c r="H36" s="218">
        <f>H34+H35+0.4</f>
        <v>-0.38710395097732542</v>
      </c>
      <c r="I36" s="218">
        <f>I34+I35+0.4</f>
        <v>193835446.90000001</v>
      </c>
      <c r="K36" s="27"/>
    </row>
    <row r="37" spans="1:11" x14ac:dyDescent="0.3">
      <c r="B37" s="12"/>
      <c r="C37" s="12"/>
      <c r="D37" s="12"/>
      <c r="E37" s="12"/>
      <c r="F37" s="12"/>
      <c r="G37" s="12"/>
      <c r="H37" s="12"/>
      <c r="I37" s="12"/>
    </row>
    <row r="38" spans="1:11" x14ac:dyDescent="0.3">
      <c r="K38" s="38"/>
    </row>
    <row r="40" spans="1:11" x14ac:dyDescent="0.3">
      <c r="K40" s="38"/>
    </row>
  </sheetData>
  <mergeCells count="27">
    <mergeCell ref="G25:I25"/>
    <mergeCell ref="B1:G1"/>
    <mergeCell ref="B19:F19"/>
    <mergeCell ref="B3:H3"/>
    <mergeCell ref="B4:H4"/>
    <mergeCell ref="B7:I7"/>
    <mergeCell ref="B8:E8"/>
    <mergeCell ref="F8:I8"/>
    <mergeCell ref="G9:I9"/>
    <mergeCell ref="B36:F36"/>
    <mergeCell ref="B32:F32"/>
    <mergeCell ref="B33:F33"/>
    <mergeCell ref="B34:F34"/>
    <mergeCell ref="B35:F35"/>
    <mergeCell ref="B18:F18"/>
    <mergeCell ref="C25:E25"/>
    <mergeCell ref="B20:F20"/>
    <mergeCell ref="A9:A10"/>
    <mergeCell ref="B9:B10"/>
    <mergeCell ref="A25:A26"/>
    <mergeCell ref="B25:B26"/>
    <mergeCell ref="F25:F26"/>
    <mergeCell ref="F9:F10"/>
    <mergeCell ref="C9:E9"/>
    <mergeCell ref="B23:I23"/>
    <mergeCell ref="B24:E24"/>
    <mergeCell ref="F24:I24"/>
  </mergeCells>
  <phoneticPr fontId="0" type="noConversion"/>
  <pageMargins left="0.75" right="0.75" top="1" bottom="1" header="0.5" footer="0.5"/>
  <pageSetup paperSize="9" scale="53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view="pageBreakPreview" zoomScale="80" zoomScaleNormal="80" workbookViewId="0">
      <selection activeCell="A8" sqref="A8:K67"/>
    </sheetView>
  </sheetViews>
  <sheetFormatPr defaultRowHeight="15" x14ac:dyDescent="0.3"/>
  <cols>
    <col min="1" max="1" width="4.42578125" style="18" customWidth="1"/>
    <col min="2" max="7" width="9.140625" style="18"/>
    <col min="8" max="8" width="15.140625" style="18" customWidth="1"/>
    <col min="9" max="9" width="16.5703125" style="18" customWidth="1"/>
    <col min="10" max="11" width="17.28515625" style="18" customWidth="1"/>
    <col min="12" max="16384" width="9.140625" style="20"/>
  </cols>
  <sheetData>
    <row r="1" spans="1:11" x14ac:dyDescent="0.3">
      <c r="A1" s="909" t="s">
        <v>102</v>
      </c>
      <c r="B1" s="909"/>
      <c r="C1" s="909"/>
      <c r="D1" s="909"/>
      <c r="E1" s="909"/>
      <c r="F1" s="909"/>
      <c r="G1" s="909"/>
      <c r="H1" s="909"/>
      <c r="I1" s="909"/>
      <c r="J1" s="372"/>
      <c r="K1" s="372"/>
    </row>
    <row r="2" spans="1:11" ht="15.75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8" x14ac:dyDescent="0.3">
      <c r="A3" s="923" t="s">
        <v>529</v>
      </c>
      <c r="B3" s="923"/>
      <c r="C3" s="923"/>
      <c r="D3" s="923"/>
      <c r="E3" s="923"/>
      <c r="F3" s="923"/>
      <c r="G3" s="923"/>
      <c r="H3" s="923"/>
      <c r="I3" s="923"/>
      <c r="J3" s="923"/>
      <c r="K3" s="923"/>
    </row>
    <row r="4" spans="1:11" ht="18" x14ac:dyDescent="0.3">
      <c r="A4" s="923" t="s">
        <v>835</v>
      </c>
      <c r="B4" s="923"/>
      <c r="C4" s="923"/>
      <c r="D4" s="923"/>
      <c r="E4" s="923"/>
      <c r="F4" s="923"/>
      <c r="G4" s="923"/>
      <c r="H4" s="923"/>
      <c r="I4" s="923"/>
      <c r="J4" s="923"/>
      <c r="K4" s="923"/>
    </row>
    <row r="5" spans="1:11" ht="18" x14ac:dyDescent="0.3">
      <c r="A5" s="923" t="s">
        <v>60</v>
      </c>
      <c r="B5" s="923"/>
      <c r="C5" s="923"/>
      <c r="D5" s="923"/>
      <c r="E5" s="923"/>
      <c r="F5" s="923"/>
      <c r="G5" s="923"/>
      <c r="H5" s="923"/>
      <c r="I5" s="923"/>
      <c r="J5" s="923"/>
      <c r="K5" s="923"/>
    </row>
    <row r="6" spans="1:11" ht="19.5" customHeight="1" x14ac:dyDescent="0.3">
      <c r="A6" s="923" t="s">
        <v>564</v>
      </c>
      <c r="B6" s="923"/>
      <c r="C6" s="923"/>
      <c r="D6" s="923"/>
      <c r="E6" s="923"/>
      <c r="F6" s="923"/>
      <c r="G6" s="923"/>
      <c r="H6" s="923"/>
      <c r="I6" s="923"/>
      <c r="J6" s="923"/>
      <c r="K6" s="923"/>
    </row>
    <row r="7" spans="1:11" ht="18" customHeight="1" thickBot="1" x14ac:dyDescent="0.35">
      <c r="A7" s="49"/>
      <c r="B7" s="50"/>
      <c r="C7" s="50"/>
      <c r="D7" s="50"/>
      <c r="E7" s="50"/>
      <c r="F7" s="50"/>
      <c r="G7" s="50"/>
      <c r="H7" s="50"/>
      <c r="K7" s="180" t="s">
        <v>644</v>
      </c>
    </row>
    <row r="8" spans="1:11" ht="13.15" customHeight="1" x14ac:dyDescent="0.3">
      <c r="A8" s="900" t="s">
        <v>1</v>
      </c>
      <c r="B8" s="901"/>
      <c r="C8" s="901"/>
      <c r="D8" s="901"/>
      <c r="E8" s="901"/>
      <c r="F8" s="901"/>
      <c r="G8" s="901"/>
      <c r="H8" s="901"/>
      <c r="I8" s="921" t="s">
        <v>675</v>
      </c>
      <c r="J8" s="921" t="s">
        <v>676</v>
      </c>
      <c r="K8" s="886" t="s">
        <v>854</v>
      </c>
    </row>
    <row r="9" spans="1:11" ht="34.5" customHeight="1" x14ac:dyDescent="0.3">
      <c r="A9" s="902"/>
      <c r="B9" s="903"/>
      <c r="C9" s="903"/>
      <c r="D9" s="903"/>
      <c r="E9" s="903"/>
      <c r="F9" s="903"/>
      <c r="G9" s="903"/>
      <c r="H9" s="903"/>
      <c r="I9" s="922"/>
      <c r="J9" s="922"/>
      <c r="K9" s="887"/>
    </row>
    <row r="10" spans="1:11" ht="29.25" customHeight="1" x14ac:dyDescent="0.3">
      <c r="A10" s="46" t="s">
        <v>61</v>
      </c>
      <c r="B10" s="896" t="s">
        <v>789</v>
      </c>
      <c r="C10" s="896"/>
      <c r="D10" s="896"/>
      <c r="E10" s="896"/>
      <c r="F10" s="896"/>
      <c r="G10" s="896"/>
      <c r="H10" s="896"/>
      <c r="I10" s="67"/>
      <c r="J10" s="67"/>
      <c r="K10" s="470"/>
    </row>
    <row r="11" spans="1:11" ht="18" customHeight="1" x14ac:dyDescent="0.3">
      <c r="A11" s="42"/>
      <c r="B11" s="43" t="s">
        <v>0</v>
      </c>
      <c r="C11" s="897" t="s">
        <v>790</v>
      </c>
      <c r="D11" s="898"/>
      <c r="E11" s="898"/>
      <c r="F11" s="898"/>
      <c r="G11" s="898"/>
      <c r="H11" s="899"/>
      <c r="I11" s="476">
        <v>199390</v>
      </c>
      <c r="J11" s="476">
        <v>199390</v>
      </c>
      <c r="K11" s="471">
        <v>199390</v>
      </c>
    </row>
    <row r="12" spans="1:11" ht="18" customHeight="1" x14ac:dyDescent="0.3">
      <c r="A12" s="42"/>
      <c r="B12" s="43" t="s">
        <v>6</v>
      </c>
      <c r="C12" s="897" t="s">
        <v>818</v>
      </c>
      <c r="D12" s="898"/>
      <c r="E12" s="898"/>
      <c r="F12" s="898"/>
      <c r="G12" s="898"/>
      <c r="H12" s="899"/>
      <c r="I12" s="476">
        <v>27890000</v>
      </c>
      <c r="J12" s="476">
        <v>19353599</v>
      </c>
      <c r="K12" s="471">
        <v>531988</v>
      </c>
    </row>
    <row r="13" spans="1:11" ht="18" customHeight="1" x14ac:dyDescent="0.3">
      <c r="A13" s="42"/>
      <c r="B13" s="43" t="s">
        <v>14</v>
      </c>
      <c r="C13" s="897" t="s">
        <v>819</v>
      </c>
      <c r="D13" s="898"/>
      <c r="E13" s="898"/>
      <c r="F13" s="898"/>
      <c r="G13" s="898"/>
      <c r="H13" s="899"/>
      <c r="I13" s="476"/>
      <c r="J13" s="476">
        <v>86617062</v>
      </c>
      <c r="K13" s="471">
        <v>42062042</v>
      </c>
    </row>
    <row r="14" spans="1:11" ht="31.15" customHeight="1" x14ac:dyDescent="0.3">
      <c r="A14" s="44"/>
      <c r="B14" s="43" t="s">
        <v>17</v>
      </c>
      <c r="C14" s="906" t="s">
        <v>823</v>
      </c>
      <c r="D14" s="907"/>
      <c r="E14" s="907"/>
      <c r="F14" s="907"/>
      <c r="G14" s="907"/>
      <c r="H14" s="908"/>
      <c r="I14" s="476"/>
      <c r="J14" s="476">
        <v>2425700</v>
      </c>
      <c r="K14" s="471">
        <v>2425700</v>
      </c>
    </row>
    <row r="15" spans="1:11" ht="22.15" customHeight="1" x14ac:dyDescent="0.3">
      <c r="A15" s="44"/>
      <c r="B15" s="43" t="s">
        <v>33</v>
      </c>
      <c r="C15" s="888" t="s">
        <v>840</v>
      </c>
      <c r="D15" s="889"/>
      <c r="E15" s="889"/>
      <c r="F15" s="889"/>
      <c r="G15" s="889"/>
      <c r="H15" s="890"/>
      <c r="I15" s="476"/>
      <c r="J15" s="476">
        <v>1300000</v>
      </c>
      <c r="K15" s="471">
        <v>1300000</v>
      </c>
    </row>
    <row r="16" spans="1:11" ht="27.75" customHeight="1" x14ac:dyDescent="0.3">
      <c r="A16" s="45" t="s">
        <v>61</v>
      </c>
      <c r="B16" s="893" t="s">
        <v>530</v>
      </c>
      <c r="C16" s="894"/>
      <c r="D16" s="894"/>
      <c r="E16" s="894"/>
      <c r="F16" s="894"/>
      <c r="G16" s="894"/>
      <c r="H16" s="894"/>
      <c r="I16" s="477">
        <f>SUM(I11:I15)</f>
        <v>28089390</v>
      </c>
      <c r="J16" s="477">
        <f>SUM(J11:J15)</f>
        <v>109895751</v>
      </c>
      <c r="K16" s="472">
        <f>SUM(K11:K15)</f>
        <v>46519120</v>
      </c>
    </row>
    <row r="17" spans="1:12" ht="18" customHeight="1" x14ac:dyDescent="0.3">
      <c r="A17" s="46" t="s">
        <v>62</v>
      </c>
      <c r="B17" s="893" t="s">
        <v>531</v>
      </c>
      <c r="C17" s="894"/>
      <c r="D17" s="894"/>
      <c r="E17" s="894"/>
      <c r="F17" s="894"/>
      <c r="G17" s="894"/>
      <c r="H17" s="895"/>
      <c r="I17" s="478"/>
      <c r="J17" s="510"/>
      <c r="K17" s="482"/>
    </row>
    <row r="18" spans="1:12" ht="18" customHeight="1" x14ac:dyDescent="0.3">
      <c r="A18" s="46"/>
      <c r="B18" s="893" t="s">
        <v>63</v>
      </c>
      <c r="C18" s="894"/>
      <c r="D18" s="894"/>
      <c r="E18" s="894"/>
      <c r="F18" s="894"/>
      <c r="G18" s="894"/>
      <c r="H18" s="895"/>
      <c r="I18" s="67"/>
      <c r="J18" s="67"/>
      <c r="K18" s="470"/>
    </row>
    <row r="19" spans="1:12" ht="18" customHeight="1" x14ac:dyDescent="0.3">
      <c r="A19" s="42"/>
      <c r="B19" s="43" t="s">
        <v>0</v>
      </c>
      <c r="C19" s="888" t="s">
        <v>791</v>
      </c>
      <c r="D19" s="889"/>
      <c r="E19" s="889"/>
      <c r="F19" s="889"/>
      <c r="G19" s="889"/>
      <c r="H19" s="890"/>
      <c r="I19" s="479">
        <v>8001000</v>
      </c>
      <c r="J19" s="476">
        <v>9600000</v>
      </c>
      <c r="K19" s="471">
        <v>9519129</v>
      </c>
    </row>
    <row r="20" spans="1:12" ht="36" customHeight="1" x14ac:dyDescent="0.3">
      <c r="A20" s="42"/>
      <c r="B20" s="43" t="s">
        <v>6</v>
      </c>
      <c r="C20" s="910" t="s">
        <v>1113</v>
      </c>
      <c r="D20" s="910"/>
      <c r="E20" s="910"/>
      <c r="F20" s="910"/>
      <c r="G20" s="910"/>
      <c r="H20" s="910"/>
      <c r="I20" s="476">
        <v>6096000</v>
      </c>
      <c r="J20" s="476">
        <v>10010000</v>
      </c>
      <c r="K20" s="471">
        <f>5461406+4544473</f>
        <v>10005879</v>
      </c>
    </row>
    <row r="21" spans="1:12" ht="33.6" customHeight="1" x14ac:dyDescent="0.3">
      <c r="A21" s="42"/>
      <c r="B21" s="43" t="s">
        <v>14</v>
      </c>
      <c r="C21" s="888" t="s">
        <v>821</v>
      </c>
      <c r="D21" s="889"/>
      <c r="E21" s="889"/>
      <c r="F21" s="889"/>
      <c r="G21" s="889"/>
      <c r="H21" s="890"/>
      <c r="I21" s="479">
        <v>5080000</v>
      </c>
      <c r="J21" s="476">
        <v>3810000</v>
      </c>
      <c r="K21" s="471">
        <f>372000+1022422+149000+312800+128800+557446+235416</f>
        <v>2777884</v>
      </c>
    </row>
    <row r="22" spans="1:12" ht="18" customHeight="1" x14ac:dyDescent="0.3">
      <c r="A22" s="42"/>
      <c r="B22" s="43" t="s">
        <v>17</v>
      </c>
      <c r="C22" s="888" t="s">
        <v>792</v>
      </c>
      <c r="D22" s="889"/>
      <c r="E22" s="889"/>
      <c r="F22" s="889"/>
      <c r="G22" s="889"/>
      <c r="H22" s="890"/>
      <c r="I22" s="479">
        <v>5080000</v>
      </c>
      <c r="J22" s="476">
        <v>5080000</v>
      </c>
      <c r="K22" s="471">
        <v>0</v>
      </c>
    </row>
    <row r="23" spans="1:12" ht="18" customHeight="1" x14ac:dyDescent="0.3">
      <c r="A23" s="42"/>
      <c r="B23" s="43" t="s">
        <v>33</v>
      </c>
      <c r="C23" s="888" t="s">
        <v>793</v>
      </c>
      <c r="D23" s="889"/>
      <c r="E23" s="889"/>
      <c r="F23" s="889"/>
      <c r="G23" s="889"/>
      <c r="H23" s="890"/>
      <c r="I23" s="479">
        <v>10033000</v>
      </c>
      <c r="J23" s="531">
        <v>0</v>
      </c>
      <c r="K23" s="489">
        <v>0</v>
      </c>
      <c r="L23" s="47"/>
    </row>
    <row r="24" spans="1:12" ht="36" customHeight="1" x14ac:dyDescent="0.3">
      <c r="A24" s="42"/>
      <c r="B24" s="43" t="s">
        <v>35</v>
      </c>
      <c r="C24" s="888" t="s">
        <v>820</v>
      </c>
      <c r="D24" s="889"/>
      <c r="E24" s="889"/>
      <c r="F24" s="889"/>
      <c r="G24" s="889"/>
      <c r="H24" s="890"/>
      <c r="I24" s="479">
        <v>1395000</v>
      </c>
      <c r="J24" s="479">
        <v>0</v>
      </c>
      <c r="K24" s="486">
        <v>0</v>
      </c>
    </row>
    <row r="25" spans="1:12" ht="18" customHeight="1" x14ac:dyDescent="0.3">
      <c r="A25" s="42"/>
      <c r="B25" s="43" t="s">
        <v>30</v>
      </c>
      <c r="C25" s="888" t="s">
        <v>794</v>
      </c>
      <c r="D25" s="889"/>
      <c r="E25" s="889"/>
      <c r="F25" s="889"/>
      <c r="G25" s="889"/>
      <c r="H25" s="890"/>
      <c r="I25" s="479">
        <v>508000</v>
      </c>
      <c r="J25" s="476">
        <f>1936750+711200</f>
        <v>2647950</v>
      </c>
      <c r="K25" s="471">
        <f>1936750</f>
        <v>1936750</v>
      </c>
    </row>
    <row r="26" spans="1:12" ht="18" customHeight="1" x14ac:dyDescent="0.3">
      <c r="A26" s="42"/>
      <c r="B26" s="43" t="s">
        <v>18</v>
      </c>
      <c r="C26" s="888" t="s">
        <v>822</v>
      </c>
      <c r="D26" s="889"/>
      <c r="E26" s="889"/>
      <c r="F26" s="889"/>
      <c r="G26" s="889"/>
      <c r="H26" s="890"/>
      <c r="I26" s="479"/>
      <c r="J26" s="476">
        <v>750000</v>
      </c>
      <c r="K26" s="471">
        <v>750000</v>
      </c>
    </row>
    <row r="27" spans="1:12" ht="18" customHeight="1" x14ac:dyDescent="0.3">
      <c r="A27" s="42"/>
      <c r="B27" s="43" t="s">
        <v>19</v>
      </c>
      <c r="C27" s="888" t="s">
        <v>815</v>
      </c>
      <c r="D27" s="889"/>
      <c r="E27" s="889"/>
      <c r="F27" s="889"/>
      <c r="G27" s="889"/>
      <c r="H27" s="890"/>
      <c r="I27" s="479"/>
      <c r="J27" s="476">
        <v>721800</v>
      </c>
      <c r="K27" s="471">
        <v>721800</v>
      </c>
    </row>
    <row r="28" spans="1:12" ht="30" customHeight="1" x14ac:dyDescent="0.3">
      <c r="A28" s="42"/>
      <c r="B28" s="43" t="s">
        <v>20</v>
      </c>
      <c r="C28" s="888" t="s">
        <v>834</v>
      </c>
      <c r="D28" s="889"/>
      <c r="E28" s="889"/>
      <c r="F28" s="889"/>
      <c r="G28" s="889"/>
      <c r="H28" s="890"/>
      <c r="I28" s="479"/>
      <c r="J28" s="476">
        <v>3000000</v>
      </c>
      <c r="K28" s="471">
        <v>0</v>
      </c>
    </row>
    <row r="29" spans="1:12" ht="18" customHeight="1" x14ac:dyDescent="0.3">
      <c r="A29" s="42"/>
      <c r="B29" s="43" t="s">
        <v>21</v>
      </c>
      <c r="C29" s="888" t="s">
        <v>811</v>
      </c>
      <c r="D29" s="889"/>
      <c r="E29" s="889"/>
      <c r="F29" s="889"/>
      <c r="G29" s="889"/>
      <c r="H29" s="890"/>
      <c r="I29" s="479"/>
      <c r="J29" s="476">
        <v>1400000</v>
      </c>
      <c r="K29" s="471">
        <v>1368102</v>
      </c>
    </row>
    <row r="30" spans="1:12" ht="30.75" customHeight="1" x14ac:dyDescent="0.3">
      <c r="A30" s="42"/>
      <c r="B30" s="43" t="s">
        <v>31</v>
      </c>
      <c r="C30" s="888" t="s">
        <v>810</v>
      </c>
      <c r="D30" s="889"/>
      <c r="E30" s="889"/>
      <c r="F30" s="889"/>
      <c r="G30" s="889"/>
      <c r="H30" s="890"/>
      <c r="I30" s="479"/>
      <c r="J30" s="476">
        <v>12777556</v>
      </c>
      <c r="K30" s="471">
        <f>4299270+818469+234145</f>
        <v>5351884</v>
      </c>
    </row>
    <row r="31" spans="1:12" ht="18" customHeight="1" x14ac:dyDescent="0.3">
      <c r="A31" s="42"/>
      <c r="B31" s="911" t="s">
        <v>532</v>
      </c>
      <c r="C31" s="892"/>
      <c r="D31" s="892"/>
      <c r="E31" s="892"/>
      <c r="F31" s="892"/>
      <c r="G31" s="892"/>
      <c r="H31" s="913"/>
      <c r="I31" s="477">
        <f>SUM(I19:I30)</f>
        <v>36193000</v>
      </c>
      <c r="J31" s="477">
        <f>SUM(J19:J30)</f>
        <v>49797306</v>
      </c>
      <c r="K31" s="472">
        <f>SUM(K19:K30)</f>
        <v>32431428</v>
      </c>
    </row>
    <row r="32" spans="1:12" ht="18" customHeight="1" x14ac:dyDescent="0.3">
      <c r="A32" s="48"/>
      <c r="B32" s="893" t="s">
        <v>800</v>
      </c>
      <c r="C32" s="894"/>
      <c r="D32" s="894"/>
      <c r="E32" s="894"/>
      <c r="F32" s="894"/>
      <c r="G32" s="894"/>
      <c r="H32" s="895"/>
      <c r="I32" s="67"/>
      <c r="J32" s="65"/>
      <c r="K32" s="473"/>
    </row>
    <row r="33" spans="1:11" ht="18" customHeight="1" x14ac:dyDescent="0.3">
      <c r="A33" s="44"/>
      <c r="B33" s="43" t="s">
        <v>0</v>
      </c>
      <c r="C33" s="914" t="s">
        <v>832</v>
      </c>
      <c r="D33" s="915"/>
      <c r="E33" s="915"/>
      <c r="F33" s="915"/>
      <c r="G33" s="915"/>
      <c r="H33" s="915"/>
      <c r="I33" s="64"/>
      <c r="J33" s="476">
        <v>8640409</v>
      </c>
      <c r="K33" s="471">
        <v>8640409</v>
      </c>
    </row>
    <row r="34" spans="1:11" ht="18" customHeight="1" x14ac:dyDescent="0.3">
      <c r="A34" s="44"/>
      <c r="B34" s="43" t="s">
        <v>6</v>
      </c>
      <c r="C34" s="897" t="s">
        <v>806</v>
      </c>
      <c r="D34" s="898"/>
      <c r="E34" s="898"/>
      <c r="F34" s="898"/>
      <c r="G34" s="898"/>
      <c r="H34" s="899"/>
      <c r="I34" s="64"/>
      <c r="J34" s="476">
        <v>230000</v>
      </c>
      <c r="K34" s="471">
        <v>283696</v>
      </c>
    </row>
    <row r="35" spans="1:11" ht="18" customHeight="1" x14ac:dyDescent="0.3">
      <c r="A35" s="44"/>
      <c r="B35" s="43" t="s">
        <v>14</v>
      </c>
      <c r="C35" s="897"/>
      <c r="D35" s="898"/>
      <c r="E35" s="898"/>
      <c r="F35" s="898"/>
      <c r="G35" s="898"/>
      <c r="H35" s="899"/>
      <c r="I35" s="64"/>
      <c r="J35" s="476"/>
      <c r="K35" s="471"/>
    </row>
    <row r="36" spans="1:11" ht="18" customHeight="1" x14ac:dyDescent="0.3">
      <c r="A36" s="44"/>
      <c r="B36" s="911" t="s">
        <v>803</v>
      </c>
      <c r="C36" s="892"/>
      <c r="D36" s="892"/>
      <c r="E36" s="892"/>
      <c r="F36" s="892"/>
      <c r="G36" s="892"/>
      <c r="H36" s="913"/>
      <c r="I36" s="63">
        <f>SUM(I33:I34)</f>
        <v>0</v>
      </c>
      <c r="J36" s="477">
        <f>SUM(J33:J35)</f>
        <v>8870409</v>
      </c>
      <c r="K36" s="472">
        <f>SUM(K33:K35)</f>
        <v>8924105</v>
      </c>
    </row>
    <row r="37" spans="1:11" ht="36" customHeight="1" x14ac:dyDescent="0.3">
      <c r="A37" s="45" t="s">
        <v>62</v>
      </c>
      <c r="B37" s="893" t="s">
        <v>73</v>
      </c>
      <c r="C37" s="894"/>
      <c r="D37" s="894"/>
      <c r="E37" s="894"/>
      <c r="F37" s="894"/>
      <c r="G37" s="894"/>
      <c r="H37" s="894"/>
      <c r="I37" s="63">
        <f>I31+I36</f>
        <v>36193000</v>
      </c>
      <c r="J37" s="477">
        <f>J31+J36</f>
        <v>58667715</v>
      </c>
      <c r="K37" s="472">
        <f>K31+K36</f>
        <v>41355533</v>
      </c>
    </row>
    <row r="38" spans="1:11" ht="21.75" customHeight="1" x14ac:dyDescent="0.3">
      <c r="A38" s="46" t="s">
        <v>64</v>
      </c>
      <c r="B38" s="904" t="s">
        <v>77</v>
      </c>
      <c r="C38" s="905"/>
      <c r="D38" s="905"/>
      <c r="E38" s="905"/>
      <c r="F38" s="905"/>
      <c r="G38" s="905"/>
      <c r="H38" s="905"/>
      <c r="I38" s="67"/>
      <c r="J38" s="65"/>
      <c r="K38" s="473"/>
    </row>
    <row r="39" spans="1:11" ht="15.75" customHeight="1" x14ac:dyDescent="0.3">
      <c r="A39" s="42"/>
      <c r="B39" s="43" t="s">
        <v>0</v>
      </c>
      <c r="C39" s="916" t="s">
        <v>795</v>
      </c>
      <c r="D39" s="917"/>
      <c r="E39" s="917"/>
      <c r="F39" s="917"/>
      <c r="G39" s="917"/>
      <c r="H39" s="918"/>
      <c r="I39" s="64">
        <v>4500000</v>
      </c>
      <c r="J39" s="476">
        <v>4500000</v>
      </c>
      <c r="K39" s="471">
        <v>4500000</v>
      </c>
    </row>
    <row r="40" spans="1:11" ht="18" customHeight="1" x14ac:dyDescent="0.3">
      <c r="A40" s="42"/>
      <c r="B40" s="43" t="s">
        <v>6</v>
      </c>
      <c r="C40" s="906" t="s">
        <v>817</v>
      </c>
      <c r="D40" s="907"/>
      <c r="E40" s="907"/>
      <c r="F40" s="907"/>
      <c r="G40" s="907"/>
      <c r="H40" s="908"/>
      <c r="I40" s="64"/>
      <c r="J40" s="476">
        <v>5000000</v>
      </c>
      <c r="K40" s="471">
        <v>5000000</v>
      </c>
    </row>
    <row r="41" spans="1:11" ht="18" customHeight="1" x14ac:dyDescent="0.3">
      <c r="A41" s="42"/>
      <c r="B41" s="43" t="s">
        <v>14</v>
      </c>
      <c r="C41" s="888" t="s">
        <v>799</v>
      </c>
      <c r="D41" s="889"/>
      <c r="E41" s="889"/>
      <c r="F41" s="889"/>
      <c r="G41" s="889"/>
      <c r="H41" s="890"/>
      <c r="I41" s="64"/>
      <c r="J41" s="476">
        <v>441357</v>
      </c>
      <c r="K41" s="471">
        <v>441357</v>
      </c>
    </row>
    <row r="42" spans="1:11" ht="24" customHeight="1" x14ac:dyDescent="0.3">
      <c r="A42" s="45" t="s">
        <v>64</v>
      </c>
      <c r="B42" s="919" t="s">
        <v>542</v>
      </c>
      <c r="C42" s="919"/>
      <c r="D42" s="919"/>
      <c r="E42" s="919"/>
      <c r="F42" s="919"/>
      <c r="G42" s="919"/>
      <c r="H42" s="920"/>
      <c r="I42" s="63">
        <f>SUM(I39:I41)</f>
        <v>4500000</v>
      </c>
      <c r="J42" s="477">
        <f>SUM(J39:J41)</f>
        <v>9941357</v>
      </c>
      <c r="K42" s="472">
        <f>SUM(K39:K41)</f>
        <v>9941357</v>
      </c>
    </row>
    <row r="43" spans="1:11" ht="18" customHeight="1" x14ac:dyDescent="0.3">
      <c r="A43" s="487" t="s">
        <v>74</v>
      </c>
      <c r="B43" s="919" t="s">
        <v>75</v>
      </c>
      <c r="C43" s="919"/>
      <c r="D43" s="919"/>
      <c r="E43" s="919"/>
      <c r="F43" s="919"/>
      <c r="G43" s="919"/>
      <c r="H43" s="919"/>
      <c r="I43" s="481"/>
      <c r="J43" s="532"/>
      <c r="K43" s="483"/>
    </row>
    <row r="44" spans="1:11" ht="18" customHeight="1" x14ac:dyDescent="0.3">
      <c r="A44" s="891"/>
      <c r="B44" s="911" t="s">
        <v>802</v>
      </c>
      <c r="C44" s="892"/>
      <c r="D44" s="892"/>
      <c r="E44" s="892"/>
      <c r="F44" s="892"/>
      <c r="G44" s="892"/>
      <c r="H44" s="892"/>
      <c r="I44" s="66"/>
      <c r="J44" s="65"/>
      <c r="K44" s="473"/>
    </row>
    <row r="45" spans="1:11" ht="18" customHeight="1" x14ac:dyDescent="0.3">
      <c r="A45" s="891"/>
      <c r="B45" s="43" t="s">
        <v>0</v>
      </c>
      <c r="C45" s="897" t="s">
        <v>808</v>
      </c>
      <c r="D45" s="898"/>
      <c r="E45" s="898"/>
      <c r="F45" s="898"/>
      <c r="G45" s="898"/>
      <c r="H45" s="899"/>
      <c r="I45" s="476"/>
      <c r="J45" s="476">
        <v>647700</v>
      </c>
      <c r="K45" s="471">
        <f>527799+19990+19990</f>
        <v>567779</v>
      </c>
    </row>
    <row r="46" spans="1:11" ht="18" customHeight="1" x14ac:dyDescent="0.3">
      <c r="A46" s="891"/>
      <c r="B46" s="43" t="s">
        <v>6</v>
      </c>
      <c r="C46" s="889" t="s">
        <v>809</v>
      </c>
      <c r="D46" s="889"/>
      <c r="E46" s="889"/>
      <c r="F46" s="889"/>
      <c r="G46" s="889"/>
      <c r="H46" s="890"/>
      <c r="I46" s="476"/>
      <c r="J46" s="476">
        <v>1714500</v>
      </c>
      <c r="K46" s="471">
        <f>110510+27620+149899+28990+100470+93622+349020+575372</f>
        <v>1435503</v>
      </c>
    </row>
    <row r="47" spans="1:11" ht="18" customHeight="1" x14ac:dyDescent="0.3">
      <c r="A47" s="891"/>
      <c r="B47" s="43" t="s">
        <v>14</v>
      </c>
      <c r="C47" s="888" t="s">
        <v>813</v>
      </c>
      <c r="D47" s="889"/>
      <c r="E47" s="889"/>
      <c r="F47" s="889"/>
      <c r="G47" s="889"/>
      <c r="H47" s="890"/>
      <c r="I47" s="476"/>
      <c r="J47" s="476">
        <v>31750</v>
      </c>
      <c r="K47" s="471"/>
    </row>
    <row r="48" spans="1:11" ht="18" customHeight="1" x14ac:dyDescent="0.3">
      <c r="A48" s="891"/>
      <c r="B48" s="43" t="s">
        <v>17</v>
      </c>
      <c r="C48" s="888" t="s">
        <v>814</v>
      </c>
      <c r="D48" s="889"/>
      <c r="E48" s="889"/>
      <c r="F48" s="889"/>
      <c r="G48" s="889"/>
      <c r="H48" s="890"/>
      <c r="I48" s="476"/>
      <c r="J48" s="476">
        <v>25400</v>
      </c>
      <c r="K48" s="471">
        <v>19900</v>
      </c>
    </row>
    <row r="49" spans="1:11" ht="18" customHeight="1" x14ac:dyDescent="0.3">
      <c r="A49" s="891"/>
      <c r="B49" s="43" t="s">
        <v>33</v>
      </c>
      <c r="C49" s="898" t="s">
        <v>812</v>
      </c>
      <c r="D49" s="898"/>
      <c r="E49" s="898"/>
      <c r="F49" s="898"/>
      <c r="G49" s="898"/>
      <c r="H49" s="899"/>
      <c r="I49" s="476"/>
      <c r="J49" s="476">
        <v>500000</v>
      </c>
      <c r="K49" s="471">
        <f>443750+9500</f>
        <v>453250</v>
      </c>
    </row>
    <row r="50" spans="1:11" ht="18" customHeight="1" x14ac:dyDescent="0.3">
      <c r="A50" s="46"/>
      <c r="B50" s="895" t="s">
        <v>72</v>
      </c>
      <c r="C50" s="912"/>
      <c r="D50" s="912"/>
      <c r="E50" s="912"/>
      <c r="F50" s="912"/>
      <c r="G50" s="912"/>
      <c r="H50" s="893"/>
      <c r="I50" s="477">
        <f>SUM(I45:I49)</f>
        <v>0</v>
      </c>
      <c r="J50" s="477">
        <f>SUM(J45:J49)</f>
        <v>2919350</v>
      </c>
      <c r="K50" s="472">
        <f>SUM(K45:K49)</f>
        <v>2476432</v>
      </c>
    </row>
    <row r="51" spans="1:11" ht="18" customHeight="1" x14ac:dyDescent="0.3">
      <c r="A51" s="487"/>
      <c r="B51" s="892" t="s">
        <v>610</v>
      </c>
      <c r="C51" s="892"/>
      <c r="D51" s="892"/>
      <c r="E51" s="892"/>
      <c r="F51" s="892"/>
      <c r="G51" s="892"/>
      <c r="H51" s="892"/>
      <c r="I51" s="65"/>
      <c r="J51" s="65"/>
      <c r="K51" s="473"/>
    </row>
    <row r="52" spans="1:11" ht="18" customHeight="1" x14ac:dyDescent="0.3">
      <c r="A52" s="46"/>
      <c r="B52" s="43" t="s">
        <v>0</v>
      </c>
      <c r="C52" s="897" t="s">
        <v>796</v>
      </c>
      <c r="D52" s="898"/>
      <c r="E52" s="898"/>
      <c r="F52" s="898"/>
      <c r="G52" s="898"/>
      <c r="H52" s="899"/>
      <c r="I52" s="476">
        <v>254000</v>
      </c>
      <c r="J52" s="476">
        <v>561000</v>
      </c>
      <c r="K52" s="471">
        <v>512572</v>
      </c>
    </row>
    <row r="53" spans="1:11" ht="18" customHeight="1" x14ac:dyDescent="0.3">
      <c r="A53" s="46"/>
      <c r="B53" s="43" t="s">
        <v>6</v>
      </c>
      <c r="C53" s="897" t="s">
        <v>804</v>
      </c>
      <c r="D53" s="898"/>
      <c r="E53" s="898"/>
      <c r="F53" s="898"/>
      <c r="G53" s="898"/>
      <c r="H53" s="899"/>
      <c r="I53" s="476"/>
      <c r="J53" s="476">
        <v>180000</v>
      </c>
      <c r="K53" s="471">
        <v>168243</v>
      </c>
    </row>
    <row r="54" spans="1:11" ht="16.5" customHeight="1" x14ac:dyDescent="0.3">
      <c r="A54" s="46"/>
      <c r="B54" s="43" t="s">
        <v>14</v>
      </c>
      <c r="C54" s="889" t="s">
        <v>805</v>
      </c>
      <c r="D54" s="889"/>
      <c r="E54" s="889"/>
      <c r="F54" s="889"/>
      <c r="G54" s="889"/>
      <c r="H54" s="890"/>
      <c r="I54" s="476"/>
      <c r="J54" s="476">
        <v>170000</v>
      </c>
      <c r="K54" s="471">
        <v>61973</v>
      </c>
    </row>
    <row r="55" spans="1:11" ht="18" customHeight="1" x14ac:dyDescent="0.3">
      <c r="A55" s="46"/>
      <c r="B55" s="911" t="s">
        <v>801</v>
      </c>
      <c r="C55" s="892"/>
      <c r="D55" s="892"/>
      <c r="E55" s="892"/>
      <c r="F55" s="892"/>
      <c r="G55" s="892"/>
      <c r="H55" s="913"/>
      <c r="I55" s="477">
        <f>SUM(I52:I54)</f>
        <v>254000</v>
      </c>
      <c r="J55" s="477">
        <f>SUM(J52:J54)</f>
        <v>911000</v>
      </c>
      <c r="K55" s="472">
        <f>SUM(K52:K54)</f>
        <v>742788</v>
      </c>
    </row>
    <row r="56" spans="1:11" ht="18" customHeight="1" x14ac:dyDescent="0.3">
      <c r="A56" s="891"/>
      <c r="B56" s="892" t="s">
        <v>797</v>
      </c>
      <c r="C56" s="892"/>
      <c r="D56" s="892"/>
      <c r="E56" s="892"/>
      <c r="F56" s="892"/>
      <c r="G56" s="892"/>
      <c r="H56" s="892"/>
      <c r="I56" s="66"/>
      <c r="J56" s="65"/>
      <c r="K56" s="473"/>
    </row>
    <row r="57" spans="1:11" ht="18" customHeight="1" x14ac:dyDescent="0.3">
      <c r="A57" s="891"/>
      <c r="B57" s="43" t="s">
        <v>0</v>
      </c>
      <c r="C57" s="897" t="s">
        <v>796</v>
      </c>
      <c r="D57" s="898"/>
      <c r="E57" s="898"/>
      <c r="F57" s="898"/>
      <c r="G57" s="898"/>
      <c r="H57" s="899"/>
      <c r="I57" s="476">
        <v>304800</v>
      </c>
      <c r="J57" s="476">
        <v>31210</v>
      </c>
      <c r="K57" s="471">
        <v>30201</v>
      </c>
    </row>
    <row r="58" spans="1:11" ht="18" customHeight="1" x14ac:dyDescent="0.3">
      <c r="A58" s="891"/>
      <c r="B58" s="43" t="s">
        <v>6</v>
      </c>
      <c r="C58" s="889" t="s">
        <v>807</v>
      </c>
      <c r="D58" s="889"/>
      <c r="E58" s="889"/>
      <c r="F58" s="889"/>
      <c r="G58" s="889"/>
      <c r="H58" s="890"/>
      <c r="I58" s="476"/>
      <c r="J58" s="476">
        <v>530000</v>
      </c>
      <c r="K58" s="471">
        <v>389900</v>
      </c>
    </row>
    <row r="59" spans="1:11" ht="18" customHeight="1" x14ac:dyDescent="0.3">
      <c r="A59" s="891"/>
      <c r="B59" s="43" t="s">
        <v>14</v>
      </c>
      <c r="C59" s="898" t="s">
        <v>541</v>
      </c>
      <c r="D59" s="898"/>
      <c r="E59" s="898"/>
      <c r="F59" s="898"/>
      <c r="G59" s="898"/>
      <c r="H59" s="899"/>
      <c r="I59" s="476"/>
      <c r="J59" s="533"/>
      <c r="K59" s="485"/>
    </row>
    <row r="60" spans="1:11" ht="18" customHeight="1" x14ac:dyDescent="0.3">
      <c r="A60" s="46"/>
      <c r="B60" s="895" t="s">
        <v>798</v>
      </c>
      <c r="C60" s="912"/>
      <c r="D60" s="912"/>
      <c r="E60" s="912"/>
      <c r="F60" s="912"/>
      <c r="G60" s="912"/>
      <c r="H60" s="893"/>
      <c r="I60" s="477">
        <f>SUM(I57:I59)</f>
        <v>304800</v>
      </c>
      <c r="J60" s="477">
        <f>SUM(J57:J59)</f>
        <v>561210</v>
      </c>
      <c r="K60" s="472">
        <f>SUM(K57:K59)</f>
        <v>420101</v>
      </c>
    </row>
    <row r="61" spans="1:11" ht="18" customHeight="1" x14ac:dyDescent="0.3">
      <c r="A61" s="891"/>
      <c r="B61" s="892" t="s">
        <v>533</v>
      </c>
      <c r="C61" s="892"/>
      <c r="D61" s="892"/>
      <c r="E61" s="892"/>
      <c r="F61" s="892"/>
      <c r="G61" s="892"/>
      <c r="H61" s="892"/>
      <c r="I61" s="66"/>
      <c r="J61" s="65"/>
      <c r="K61" s="473"/>
    </row>
    <row r="62" spans="1:11" ht="18" customHeight="1" x14ac:dyDescent="0.3">
      <c r="A62" s="891"/>
      <c r="B62" s="43" t="s">
        <v>0</v>
      </c>
      <c r="C62" s="897" t="s">
        <v>796</v>
      </c>
      <c r="D62" s="898"/>
      <c r="E62" s="898"/>
      <c r="F62" s="898"/>
      <c r="G62" s="898"/>
      <c r="H62" s="899"/>
      <c r="I62" s="476"/>
      <c r="J62" s="476">
        <v>88500</v>
      </c>
      <c r="K62" s="471">
        <v>72100</v>
      </c>
    </row>
    <row r="63" spans="1:11" ht="18" customHeight="1" x14ac:dyDescent="0.3">
      <c r="A63" s="891"/>
      <c r="B63" s="43" t="s">
        <v>6</v>
      </c>
      <c r="C63" s="889" t="s">
        <v>541</v>
      </c>
      <c r="D63" s="889"/>
      <c r="E63" s="889"/>
      <c r="F63" s="889"/>
      <c r="G63" s="889"/>
      <c r="H63" s="890"/>
      <c r="I63" s="476"/>
      <c r="J63" s="534"/>
      <c r="K63" s="484"/>
    </row>
    <row r="64" spans="1:11" ht="18" customHeight="1" x14ac:dyDescent="0.3">
      <c r="A64" s="891"/>
      <c r="B64" s="43" t="s">
        <v>14</v>
      </c>
      <c r="C64" s="898" t="s">
        <v>541</v>
      </c>
      <c r="D64" s="898"/>
      <c r="E64" s="898"/>
      <c r="F64" s="898"/>
      <c r="G64" s="898"/>
      <c r="H64" s="899"/>
      <c r="I64" s="476"/>
      <c r="J64" s="533"/>
      <c r="K64" s="485"/>
    </row>
    <row r="65" spans="1:11" ht="18" customHeight="1" x14ac:dyDescent="0.3">
      <c r="A65" s="46"/>
      <c r="B65" s="895" t="s">
        <v>534</v>
      </c>
      <c r="C65" s="912"/>
      <c r="D65" s="912"/>
      <c r="E65" s="912"/>
      <c r="F65" s="912"/>
      <c r="G65" s="912"/>
      <c r="H65" s="893"/>
      <c r="I65" s="477">
        <f>SUM(I62:I64)</f>
        <v>0</v>
      </c>
      <c r="J65" s="477">
        <f>SUM(J62:J64)</f>
        <v>88500</v>
      </c>
      <c r="K65" s="472">
        <f>SUM(K62:K64)</f>
        <v>72100</v>
      </c>
    </row>
    <row r="66" spans="1:11" ht="22.9" customHeight="1" x14ac:dyDescent="0.3">
      <c r="A66" s="45" t="s">
        <v>74</v>
      </c>
      <c r="B66" s="911" t="s">
        <v>76</v>
      </c>
      <c r="C66" s="892"/>
      <c r="D66" s="892"/>
      <c r="E66" s="892"/>
      <c r="F66" s="892"/>
      <c r="G66" s="892"/>
      <c r="H66" s="913"/>
      <c r="I66" s="477">
        <f>I50+I55+I60+I65</f>
        <v>558800</v>
      </c>
      <c r="J66" s="477">
        <f>J50+J55+J60+J65</f>
        <v>4480060</v>
      </c>
      <c r="K66" s="472">
        <f>K50+K55+K60+K65</f>
        <v>3711421</v>
      </c>
    </row>
    <row r="67" spans="1:11" ht="33" customHeight="1" thickBot="1" x14ac:dyDescent="0.35">
      <c r="A67" s="474"/>
      <c r="B67" s="51" t="s">
        <v>535</v>
      </c>
      <c r="C67" s="52"/>
      <c r="D67" s="52"/>
      <c r="E67" s="52"/>
      <c r="F67" s="52"/>
      <c r="G67" s="52"/>
      <c r="H67" s="53"/>
      <c r="I67" s="480">
        <f>I16+I37+I42+I66</f>
        <v>69341190</v>
      </c>
      <c r="J67" s="480">
        <f>J16+J37+J42+J66</f>
        <v>182984883</v>
      </c>
      <c r="K67" s="475">
        <f>K16+K37+K42+K66</f>
        <v>101527431</v>
      </c>
    </row>
  </sheetData>
  <mergeCells count="69">
    <mergeCell ref="B55:H55"/>
    <mergeCell ref="B65:H65"/>
    <mergeCell ref="A56:A59"/>
    <mergeCell ref="C57:H57"/>
    <mergeCell ref="C58:H58"/>
    <mergeCell ref="C59:H59"/>
    <mergeCell ref="B60:H60"/>
    <mergeCell ref="B56:H56"/>
    <mergeCell ref="B66:H66"/>
    <mergeCell ref="A61:A64"/>
    <mergeCell ref="B61:H61"/>
    <mergeCell ref="C62:H62"/>
    <mergeCell ref="C63:H63"/>
    <mergeCell ref="C64:H64"/>
    <mergeCell ref="J8:J9"/>
    <mergeCell ref="B18:H18"/>
    <mergeCell ref="C19:H19"/>
    <mergeCell ref="I8:I9"/>
    <mergeCell ref="C23:H23"/>
    <mergeCell ref="C15:H15"/>
    <mergeCell ref="C39:H39"/>
    <mergeCell ref="B16:H16"/>
    <mergeCell ref="C25:H25"/>
    <mergeCell ref="B42:H42"/>
    <mergeCell ref="C13:H13"/>
    <mergeCell ref="B43:H43"/>
    <mergeCell ref="C35:H35"/>
    <mergeCell ref="C26:H26"/>
    <mergeCell ref="C34:H34"/>
    <mergeCell ref="C52:H52"/>
    <mergeCell ref="B44:H44"/>
    <mergeCell ref="C45:H45"/>
    <mergeCell ref="C46:H46"/>
    <mergeCell ref="B50:H50"/>
    <mergeCell ref="C24:H24"/>
    <mergeCell ref="B31:H31"/>
    <mergeCell ref="C27:H27"/>
    <mergeCell ref="C33:H33"/>
    <mergeCell ref="B36:H36"/>
    <mergeCell ref="A1:I1"/>
    <mergeCell ref="C12:H12"/>
    <mergeCell ref="C14:H14"/>
    <mergeCell ref="C21:H21"/>
    <mergeCell ref="C22:H22"/>
    <mergeCell ref="C20:H20"/>
    <mergeCell ref="A3:K3"/>
    <mergeCell ref="A4:K4"/>
    <mergeCell ref="A5:K5"/>
    <mergeCell ref="A6:K6"/>
    <mergeCell ref="C53:H53"/>
    <mergeCell ref="C49:H49"/>
    <mergeCell ref="C48:H48"/>
    <mergeCell ref="B32:H32"/>
    <mergeCell ref="C54:H54"/>
    <mergeCell ref="C41:H41"/>
    <mergeCell ref="B38:H38"/>
    <mergeCell ref="C40:H40"/>
    <mergeCell ref="C47:H47"/>
    <mergeCell ref="B37:H37"/>
    <mergeCell ref="K8:K9"/>
    <mergeCell ref="C30:H30"/>
    <mergeCell ref="C29:H29"/>
    <mergeCell ref="C28:H28"/>
    <mergeCell ref="A44:A49"/>
    <mergeCell ref="B51:H51"/>
    <mergeCell ref="B17:H17"/>
    <mergeCell ref="B10:H10"/>
    <mergeCell ref="C11:H11"/>
    <mergeCell ref="A8:H9"/>
  </mergeCells>
  <phoneticPr fontId="0" type="noConversion"/>
  <printOptions horizontalCentered="1"/>
  <pageMargins left="0.74803149606299213" right="0.74803149606299213" top="0.39370078740157483" bottom="0.39370078740157483" header="0.51181102362204722" footer="0.51181102362204722"/>
  <pageSetup paperSize="9" scale="56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view="pageBreakPreview" zoomScale="80" zoomScaleNormal="100" workbookViewId="0">
      <selection activeCell="A8" sqref="A8:F26"/>
    </sheetView>
  </sheetViews>
  <sheetFormatPr defaultColWidth="8.85546875" defaultRowHeight="15" x14ac:dyDescent="0.2"/>
  <cols>
    <col min="1" max="1" width="4.28515625" style="241" customWidth="1"/>
    <col min="2" max="2" width="7.140625" style="247" customWidth="1"/>
    <col min="3" max="3" width="79.7109375" style="245" customWidth="1"/>
    <col min="4" max="4" width="16" style="243" bestFit="1" customWidth="1"/>
    <col min="5" max="5" width="17.42578125" style="243" bestFit="1" customWidth="1"/>
    <col min="6" max="6" width="16" style="243" customWidth="1"/>
    <col min="7" max="7" width="8.85546875" style="241"/>
    <col min="8" max="8" width="9.5703125" style="241" bestFit="1" customWidth="1"/>
    <col min="9" max="16384" width="8.85546875" style="241"/>
  </cols>
  <sheetData>
    <row r="1" spans="1:7" ht="19.149999999999999" customHeight="1" x14ac:dyDescent="0.2">
      <c r="A1" s="928" t="s">
        <v>555</v>
      </c>
      <c r="B1" s="928"/>
      <c r="C1" s="928"/>
      <c r="D1" s="928"/>
      <c r="E1" s="928"/>
      <c r="F1" s="928"/>
      <c r="G1" s="242"/>
    </row>
    <row r="2" spans="1:7" ht="13.5" customHeight="1" x14ac:dyDescent="0.2">
      <c r="A2" s="54"/>
      <c r="B2" s="248"/>
      <c r="C2" s="249"/>
      <c r="D2" s="250"/>
      <c r="E2" s="250"/>
      <c r="F2" s="250"/>
    </row>
    <row r="3" spans="1:7" ht="18" customHeight="1" x14ac:dyDescent="0.2">
      <c r="A3" s="924" t="s">
        <v>529</v>
      </c>
      <c r="B3" s="924"/>
      <c r="C3" s="924"/>
      <c r="D3" s="924"/>
      <c r="E3" s="924"/>
      <c r="F3" s="924"/>
    </row>
    <row r="4" spans="1:7" ht="17.45" customHeight="1" x14ac:dyDescent="0.2">
      <c r="A4" s="924" t="s">
        <v>855</v>
      </c>
      <c r="B4" s="924"/>
      <c r="C4" s="924"/>
      <c r="D4" s="924"/>
      <c r="E4" s="924"/>
      <c r="F4" s="924"/>
    </row>
    <row r="5" spans="1:7" ht="17.45" customHeight="1" x14ac:dyDescent="0.2">
      <c r="A5" s="924" t="s">
        <v>60</v>
      </c>
      <c r="B5" s="924"/>
      <c r="C5" s="924"/>
      <c r="D5" s="924"/>
      <c r="E5" s="924"/>
      <c r="F5" s="924"/>
    </row>
    <row r="6" spans="1:7" ht="24.75" customHeight="1" x14ac:dyDescent="0.2">
      <c r="A6" s="924" t="s">
        <v>561</v>
      </c>
      <c r="B6" s="924"/>
      <c r="C6" s="924"/>
      <c r="D6" s="924"/>
      <c r="E6" s="924"/>
      <c r="F6" s="924"/>
    </row>
    <row r="7" spans="1:7" ht="24.75" customHeight="1" x14ac:dyDescent="0.2">
      <c r="A7" s="54"/>
      <c r="B7" s="251"/>
      <c r="C7" s="252"/>
      <c r="D7" s="311"/>
      <c r="F7" s="311" t="s">
        <v>644</v>
      </c>
    </row>
    <row r="8" spans="1:7" s="244" customFormat="1" ht="31.5" x14ac:dyDescent="0.2">
      <c r="A8" s="925" t="s">
        <v>556</v>
      </c>
      <c r="B8" s="926"/>
      <c r="C8" s="927"/>
      <c r="D8" s="387" t="s">
        <v>569</v>
      </c>
      <c r="E8" s="538" t="s">
        <v>677</v>
      </c>
      <c r="F8" s="390" t="s">
        <v>521</v>
      </c>
    </row>
    <row r="9" spans="1:7" s="244" customFormat="1" ht="26.25" customHeight="1" x14ac:dyDescent="0.2">
      <c r="A9" s="931" t="s">
        <v>557</v>
      </c>
      <c r="B9" s="932"/>
      <c r="C9" s="932"/>
      <c r="D9" s="546"/>
      <c r="E9" s="535"/>
      <c r="F9" s="504"/>
    </row>
    <row r="10" spans="1:7" s="244" customFormat="1" ht="30" customHeight="1" x14ac:dyDescent="0.2">
      <c r="A10" s="933" t="s">
        <v>558</v>
      </c>
      <c r="B10" s="934"/>
      <c r="C10" s="934"/>
      <c r="D10" s="388"/>
      <c r="E10" s="388"/>
      <c r="F10" s="547"/>
    </row>
    <row r="11" spans="1:7" ht="19.149999999999999" customHeight="1" x14ac:dyDescent="0.2">
      <c r="A11" s="262"/>
      <c r="B11" s="255" t="s">
        <v>0</v>
      </c>
      <c r="C11" s="257" t="s">
        <v>668</v>
      </c>
      <c r="D11" s="254">
        <v>13453690</v>
      </c>
      <c r="E11" s="536">
        <v>3820962</v>
      </c>
      <c r="F11" s="392">
        <v>0</v>
      </c>
    </row>
    <row r="12" spans="1:7" ht="18.75" customHeight="1" x14ac:dyDescent="0.2">
      <c r="A12" s="262"/>
      <c r="B12" s="255" t="s">
        <v>6</v>
      </c>
      <c r="C12" s="256" t="s">
        <v>843</v>
      </c>
      <c r="D12" s="254"/>
      <c r="E12" s="539">
        <v>8787457</v>
      </c>
      <c r="F12" s="392">
        <v>0</v>
      </c>
    </row>
    <row r="13" spans="1:7" ht="18.75" customHeight="1" x14ac:dyDescent="0.2">
      <c r="A13" s="262"/>
      <c r="B13" s="255" t="s">
        <v>14</v>
      </c>
      <c r="C13" s="256" t="s">
        <v>541</v>
      </c>
      <c r="D13" s="254"/>
      <c r="E13" s="539"/>
      <c r="F13" s="392"/>
    </row>
    <row r="14" spans="1:7" ht="18.75" customHeight="1" x14ac:dyDescent="0.2">
      <c r="A14" s="262"/>
      <c r="B14" s="255" t="s">
        <v>17</v>
      </c>
      <c r="C14" s="257" t="s">
        <v>541</v>
      </c>
      <c r="D14" s="254"/>
      <c r="E14" s="539"/>
      <c r="F14" s="392"/>
    </row>
    <row r="15" spans="1:7" ht="18.75" customHeight="1" x14ac:dyDescent="0.2">
      <c r="A15" s="262"/>
      <c r="B15" s="255" t="s">
        <v>33</v>
      </c>
      <c r="C15" s="257" t="s">
        <v>541</v>
      </c>
      <c r="D15" s="254"/>
      <c r="E15" s="539"/>
      <c r="F15" s="392"/>
    </row>
    <row r="16" spans="1:7" ht="18.75" customHeight="1" x14ac:dyDescent="0.2">
      <c r="A16" s="262"/>
      <c r="B16" s="255" t="s">
        <v>35</v>
      </c>
      <c r="C16" s="259" t="s">
        <v>541</v>
      </c>
      <c r="D16" s="254"/>
      <c r="E16" s="540"/>
      <c r="F16" s="393"/>
    </row>
    <row r="17" spans="1:6" ht="23.25" customHeight="1" x14ac:dyDescent="0.2">
      <c r="A17" s="261" t="s">
        <v>61</v>
      </c>
      <c r="B17" s="938" t="s">
        <v>562</v>
      </c>
      <c r="C17" s="938"/>
      <c r="D17" s="306">
        <f>SUM(D11:D16)</f>
        <v>13453690</v>
      </c>
      <c r="E17" s="541">
        <f>SUM(E11:E16)</f>
        <v>12608419</v>
      </c>
      <c r="F17" s="541">
        <f>SUM(F11:F16)</f>
        <v>0</v>
      </c>
    </row>
    <row r="18" spans="1:6" s="244" customFormat="1" ht="26.25" customHeight="1" x14ac:dyDescent="0.2">
      <c r="A18" s="935" t="s">
        <v>559</v>
      </c>
      <c r="B18" s="926"/>
      <c r="C18" s="926"/>
      <c r="D18" s="389"/>
      <c r="E18" s="542"/>
      <c r="F18" s="505"/>
    </row>
    <row r="19" spans="1:6" s="244" customFormat="1" ht="29.25" customHeight="1" x14ac:dyDescent="0.2">
      <c r="A19" s="936" t="s">
        <v>558</v>
      </c>
      <c r="B19" s="937"/>
      <c r="C19" s="937"/>
      <c r="D19" s="500"/>
      <c r="E19" s="537"/>
      <c r="F19" s="506"/>
    </row>
    <row r="20" spans="1:6" ht="37.15" customHeight="1" x14ac:dyDescent="0.2">
      <c r="A20" s="262"/>
      <c r="B20" s="253" t="s">
        <v>0</v>
      </c>
      <c r="C20" s="503" t="s">
        <v>830</v>
      </c>
      <c r="D20" s="391">
        <v>1550000</v>
      </c>
      <c r="E20" s="543">
        <f>1550000+9484301</f>
        <v>11034301</v>
      </c>
      <c r="F20" s="391">
        <v>0</v>
      </c>
    </row>
    <row r="21" spans="1:6" ht="19.149999999999999" customHeight="1" x14ac:dyDescent="0.2">
      <c r="A21" s="262"/>
      <c r="B21" s="255" t="s">
        <v>6</v>
      </c>
      <c r="C21" s="501" t="s">
        <v>619</v>
      </c>
      <c r="D21" s="392">
        <v>50000000</v>
      </c>
      <c r="E21" s="539">
        <v>0</v>
      </c>
      <c r="F21" s="392">
        <v>0</v>
      </c>
    </row>
    <row r="22" spans="1:6" s="244" customFormat="1" ht="19.149999999999999" customHeight="1" x14ac:dyDescent="0.2">
      <c r="A22" s="263"/>
      <c r="B22" s="255" t="s">
        <v>14</v>
      </c>
      <c r="C22" s="501" t="s">
        <v>793</v>
      </c>
      <c r="D22" s="392"/>
      <c r="E22" s="539">
        <v>4243271</v>
      </c>
      <c r="F22" s="392">
        <v>0</v>
      </c>
    </row>
    <row r="23" spans="1:6" ht="19.149999999999999" customHeight="1" x14ac:dyDescent="0.2">
      <c r="A23" s="262"/>
      <c r="B23" s="255" t="s">
        <v>17</v>
      </c>
      <c r="C23" s="501" t="s">
        <v>842</v>
      </c>
      <c r="D23" s="394"/>
      <c r="E23" s="544">
        <f>52392150+19608239</f>
        <v>72000389</v>
      </c>
      <c r="F23" s="394">
        <v>0</v>
      </c>
    </row>
    <row r="24" spans="1:6" ht="19.149999999999999" customHeight="1" x14ac:dyDescent="0.2">
      <c r="A24" s="262"/>
      <c r="B24" s="258" t="s">
        <v>33</v>
      </c>
      <c r="C24" s="502" t="s">
        <v>844</v>
      </c>
      <c r="D24" s="393"/>
      <c r="E24" s="540">
        <v>30783781</v>
      </c>
      <c r="F24" s="393">
        <v>0</v>
      </c>
    </row>
    <row r="25" spans="1:6" s="244" customFormat="1" ht="24.75" customHeight="1" x14ac:dyDescent="0.2">
      <c r="A25" s="264" t="s">
        <v>62</v>
      </c>
      <c r="B25" s="929" t="s">
        <v>563</v>
      </c>
      <c r="C25" s="930"/>
      <c r="D25" s="306">
        <f>SUM(D20:D24)</f>
        <v>51550000</v>
      </c>
      <c r="E25" s="541">
        <f>SUM(E20:E24)</f>
        <v>118061742</v>
      </c>
      <c r="F25" s="541">
        <f>SUM(F20:F24)</f>
        <v>0</v>
      </c>
    </row>
    <row r="26" spans="1:6" s="244" customFormat="1" ht="32.25" customHeight="1" x14ac:dyDescent="0.2">
      <c r="A26" s="264" t="s">
        <v>64</v>
      </c>
      <c r="B26" s="929" t="s">
        <v>565</v>
      </c>
      <c r="C26" s="930"/>
      <c r="D26" s="260">
        <f>D17+D25</f>
        <v>65003690</v>
      </c>
      <c r="E26" s="545">
        <f>E17+E25</f>
        <v>130670161</v>
      </c>
      <c r="F26" s="545">
        <f>F17+F25</f>
        <v>0</v>
      </c>
    </row>
    <row r="27" spans="1:6" ht="19.149999999999999" customHeight="1" x14ac:dyDescent="0.2">
      <c r="B27" s="241"/>
      <c r="C27" s="241"/>
      <c r="D27" s="241"/>
      <c r="E27" s="241"/>
      <c r="F27" s="241"/>
    </row>
    <row r="28" spans="1:6" ht="19.149999999999999" customHeight="1" x14ac:dyDescent="0.2">
      <c r="B28" s="241"/>
      <c r="C28" s="241"/>
      <c r="D28" s="241"/>
      <c r="E28" s="241"/>
      <c r="F28" s="241"/>
    </row>
    <row r="29" spans="1:6" ht="19.149999999999999" customHeight="1" x14ac:dyDescent="0.2">
      <c r="B29" s="241"/>
      <c r="C29" s="241"/>
      <c r="D29" s="241"/>
      <c r="E29" s="241"/>
      <c r="F29" s="241"/>
    </row>
    <row r="30" spans="1:6" ht="19.149999999999999" customHeight="1" x14ac:dyDescent="0.2">
      <c r="B30" s="241"/>
      <c r="C30" s="241"/>
      <c r="D30" s="241"/>
      <c r="E30" s="241"/>
      <c r="F30" s="241"/>
    </row>
    <row r="31" spans="1:6" ht="19.149999999999999" customHeight="1" x14ac:dyDescent="0.2">
      <c r="B31" s="241"/>
      <c r="C31" s="241"/>
      <c r="D31" s="241"/>
      <c r="E31" s="241"/>
      <c r="F31" s="241"/>
    </row>
    <row r="32" spans="1:6" ht="19.149999999999999" customHeight="1" x14ac:dyDescent="0.2">
      <c r="B32" s="241"/>
      <c r="C32" s="241"/>
      <c r="D32" s="241"/>
      <c r="E32" s="241"/>
      <c r="F32" s="241"/>
    </row>
    <row r="33" spans="2:6" ht="19.149999999999999" customHeight="1" x14ac:dyDescent="0.2">
      <c r="B33" s="241"/>
      <c r="C33" s="241"/>
      <c r="D33" s="241"/>
      <c r="E33" s="241"/>
      <c r="F33" s="241"/>
    </row>
    <row r="34" spans="2:6" ht="38.450000000000003" customHeight="1" x14ac:dyDescent="0.2">
      <c r="B34" s="245"/>
      <c r="C34" s="241"/>
      <c r="D34" s="241"/>
      <c r="E34" s="241"/>
      <c r="F34" s="241"/>
    </row>
    <row r="35" spans="2:6" ht="19.149999999999999" customHeight="1" x14ac:dyDescent="0.2">
      <c r="B35" s="241"/>
      <c r="C35" s="241"/>
      <c r="D35" s="241"/>
      <c r="E35" s="241"/>
      <c r="F35" s="241"/>
    </row>
    <row r="36" spans="2:6" ht="19.149999999999999" customHeight="1" x14ac:dyDescent="0.2">
      <c r="B36" s="241"/>
      <c r="C36" s="246"/>
      <c r="D36" s="241"/>
      <c r="E36" s="241"/>
      <c r="F36" s="241"/>
    </row>
    <row r="37" spans="2:6" ht="19.149999999999999" customHeight="1" x14ac:dyDescent="0.2">
      <c r="B37" s="241"/>
      <c r="C37" s="246"/>
      <c r="D37" s="241"/>
      <c r="E37" s="241"/>
      <c r="F37" s="241"/>
    </row>
    <row r="38" spans="2:6" ht="19.149999999999999" customHeight="1" x14ac:dyDescent="0.2">
      <c r="B38" s="241"/>
      <c r="C38" s="241"/>
      <c r="D38" s="241"/>
      <c r="E38" s="241"/>
      <c r="F38" s="241"/>
    </row>
    <row r="39" spans="2:6" ht="19.149999999999999" customHeight="1" x14ac:dyDescent="0.2">
      <c r="B39" s="241"/>
      <c r="C39" s="241"/>
      <c r="D39" s="241"/>
      <c r="E39" s="241"/>
      <c r="F39" s="241"/>
    </row>
    <row r="40" spans="2:6" ht="19.149999999999999" customHeight="1" x14ac:dyDescent="0.2">
      <c r="B40" s="241"/>
      <c r="C40" s="241"/>
      <c r="D40" s="241"/>
      <c r="E40" s="241"/>
      <c r="F40" s="241"/>
    </row>
    <row r="41" spans="2:6" ht="19.149999999999999" customHeight="1" x14ac:dyDescent="0.2">
      <c r="B41" s="241"/>
      <c r="C41" s="241"/>
      <c r="D41" s="241"/>
      <c r="E41" s="241"/>
      <c r="F41" s="241"/>
    </row>
    <row r="42" spans="2:6" ht="19.149999999999999" customHeight="1" x14ac:dyDescent="0.2">
      <c r="B42" s="241"/>
      <c r="C42" s="241"/>
      <c r="D42" s="241"/>
      <c r="E42" s="241"/>
      <c r="F42" s="241"/>
    </row>
    <row r="43" spans="2:6" ht="19.149999999999999" customHeight="1" x14ac:dyDescent="0.2">
      <c r="B43" s="241"/>
      <c r="C43" s="241"/>
      <c r="D43" s="241"/>
      <c r="E43" s="241"/>
      <c r="F43" s="241"/>
    </row>
    <row r="44" spans="2:6" ht="19.149999999999999" customHeight="1" x14ac:dyDescent="0.2">
      <c r="B44" s="241"/>
      <c r="C44" s="241"/>
      <c r="D44" s="241"/>
      <c r="E44" s="241"/>
      <c r="F44" s="241"/>
    </row>
    <row r="45" spans="2:6" ht="19.149999999999999" customHeight="1" x14ac:dyDescent="0.2">
      <c r="B45" s="241"/>
      <c r="C45" s="241"/>
      <c r="D45" s="241"/>
      <c r="E45" s="241"/>
      <c r="F45" s="241"/>
    </row>
    <row r="46" spans="2:6" ht="19.149999999999999" customHeight="1" x14ac:dyDescent="0.2">
      <c r="B46" s="241"/>
      <c r="C46" s="241"/>
      <c r="D46" s="241"/>
      <c r="E46" s="241"/>
      <c r="F46" s="241"/>
    </row>
    <row r="47" spans="2:6" ht="19.149999999999999" customHeight="1" x14ac:dyDescent="0.2">
      <c r="B47" s="241"/>
      <c r="C47" s="241"/>
      <c r="D47" s="241"/>
      <c r="E47" s="241"/>
      <c r="F47" s="241"/>
    </row>
    <row r="48" spans="2:6" ht="19.149999999999999" customHeight="1" x14ac:dyDescent="0.2">
      <c r="B48" s="241"/>
      <c r="C48" s="241"/>
      <c r="D48" s="241"/>
      <c r="E48" s="241"/>
      <c r="F48" s="241"/>
    </row>
    <row r="49" s="241" customFormat="1" ht="19.149999999999999" customHeight="1" x14ac:dyDescent="0.2"/>
    <row r="50" s="241" customFormat="1" ht="19.149999999999999" customHeight="1" x14ac:dyDescent="0.2"/>
    <row r="51" s="241" customFormat="1" ht="19.149999999999999" customHeight="1" x14ac:dyDescent="0.2"/>
    <row r="52" s="241" customFormat="1" ht="19.149999999999999" customHeight="1" x14ac:dyDescent="0.2"/>
    <row r="53" s="241" customFormat="1" ht="19.149999999999999" customHeight="1" x14ac:dyDescent="0.2"/>
    <row r="54" s="241" customFormat="1" ht="19.149999999999999" customHeight="1" x14ac:dyDescent="0.2"/>
    <row r="55" s="241" customFormat="1" ht="19.149999999999999" customHeight="1" x14ac:dyDescent="0.2"/>
    <row r="56" s="241" customFormat="1" ht="19.149999999999999" customHeight="1" x14ac:dyDescent="0.2"/>
    <row r="57" s="241" customFormat="1" ht="19.149999999999999" customHeight="1" x14ac:dyDescent="0.2"/>
    <row r="58" s="241" customFormat="1" ht="19.149999999999999" customHeight="1" x14ac:dyDescent="0.2"/>
    <row r="59" s="241" customFormat="1" ht="19.149999999999999" customHeight="1" x14ac:dyDescent="0.2"/>
    <row r="60" s="241" customFormat="1" ht="19.149999999999999" customHeight="1" x14ac:dyDescent="0.2"/>
    <row r="61" s="241" customFormat="1" ht="19.149999999999999" customHeight="1" x14ac:dyDescent="0.2"/>
    <row r="62" s="241" customFormat="1" ht="19.149999999999999" customHeight="1" x14ac:dyDescent="0.2"/>
    <row r="63" s="241" customFormat="1" ht="19.149999999999999" customHeight="1" x14ac:dyDescent="0.2"/>
  </sheetData>
  <mergeCells count="13">
    <mergeCell ref="B26:C26"/>
    <mergeCell ref="B25:C25"/>
    <mergeCell ref="A9:C9"/>
    <mergeCell ref="A10:C10"/>
    <mergeCell ref="A18:C18"/>
    <mergeCell ref="A19:C19"/>
    <mergeCell ref="B17:C17"/>
    <mergeCell ref="A6:F6"/>
    <mergeCell ref="A8:C8"/>
    <mergeCell ref="A1:F1"/>
    <mergeCell ref="A3:F3"/>
    <mergeCell ref="A4:F4"/>
    <mergeCell ref="A5:F5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1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A7" zoomScale="80" zoomScaleNormal="100" workbookViewId="0">
      <selection activeCell="B6" sqref="B6:N18"/>
    </sheetView>
  </sheetViews>
  <sheetFormatPr defaultRowHeight="15" x14ac:dyDescent="0.2"/>
  <cols>
    <col min="1" max="1" width="4" style="213" customWidth="1"/>
    <col min="2" max="2" width="27.28515625" style="211" bestFit="1" customWidth="1"/>
    <col min="3" max="3" width="11" style="211" bestFit="1" customWidth="1"/>
    <col min="4" max="4" width="10.28515625" style="211" bestFit="1" customWidth="1"/>
    <col min="5" max="5" width="9.5703125" style="211" customWidth="1"/>
    <col min="6" max="6" width="9.5703125" style="211" bestFit="1" customWidth="1"/>
    <col min="7" max="7" width="10.42578125" style="211" customWidth="1"/>
    <col min="8" max="8" width="9.85546875" style="211" customWidth="1"/>
    <col min="9" max="9" width="9.28515625" style="211" customWidth="1"/>
    <col min="10" max="10" width="8.7109375" style="211" customWidth="1"/>
    <col min="11" max="11" width="7.85546875" style="211" customWidth="1"/>
    <col min="12" max="12" width="9.140625" style="211"/>
    <col min="13" max="13" width="9.28515625" style="211" customWidth="1"/>
    <col min="14" max="14" width="8.28515625" style="211" customWidth="1"/>
    <col min="15" max="16384" width="9.140625" style="211"/>
  </cols>
  <sheetData>
    <row r="1" spans="1:15" ht="23.25" customHeight="1" x14ac:dyDescent="0.2">
      <c r="A1" s="210"/>
      <c r="B1" s="939" t="s">
        <v>560</v>
      </c>
      <c r="C1" s="939"/>
      <c r="D1" s="939"/>
      <c r="E1" s="939"/>
      <c r="F1" s="939"/>
      <c r="G1" s="939"/>
      <c r="H1" s="940"/>
      <c r="I1" s="940"/>
      <c r="J1" s="940"/>
      <c r="K1" s="940"/>
      <c r="L1" s="940"/>
      <c r="M1" s="940"/>
      <c r="N1" s="940"/>
    </row>
    <row r="2" spans="1:15" ht="15.75" customHeight="1" x14ac:dyDescent="0.2">
      <c r="A2" s="56"/>
    </row>
    <row r="3" spans="1:15" ht="22.5" customHeight="1" x14ac:dyDescent="0.2">
      <c r="A3" s="56"/>
      <c r="B3" s="941" t="s">
        <v>826</v>
      </c>
      <c r="C3" s="941"/>
      <c r="D3" s="941"/>
      <c r="E3" s="941"/>
      <c r="F3" s="941"/>
      <c r="G3" s="941"/>
      <c r="H3" s="941"/>
      <c r="I3" s="941"/>
      <c r="J3" s="941"/>
      <c r="K3" s="941"/>
      <c r="L3" s="941"/>
      <c r="M3" s="941"/>
      <c r="N3" s="941"/>
    </row>
    <row r="4" spans="1:15" ht="26.25" customHeight="1" x14ac:dyDescent="0.2">
      <c r="A4" s="56"/>
      <c r="B4" s="941" t="s">
        <v>517</v>
      </c>
      <c r="C4" s="941"/>
      <c r="D4" s="941"/>
      <c r="E4" s="941"/>
      <c r="F4" s="941"/>
      <c r="G4" s="941"/>
      <c r="H4" s="941"/>
      <c r="I4" s="941"/>
      <c r="J4" s="941"/>
      <c r="K4" s="941"/>
      <c r="L4" s="941"/>
      <c r="M4" s="941"/>
      <c r="N4" s="941"/>
      <c r="O4" s="210"/>
    </row>
    <row r="5" spans="1:15" ht="21.75" customHeight="1" x14ac:dyDescent="0.2">
      <c r="A5" s="56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10"/>
    </row>
    <row r="6" spans="1:15" ht="27.75" customHeight="1" x14ac:dyDescent="0.2">
      <c r="A6" s="209" t="s">
        <v>0</v>
      </c>
      <c r="B6" s="942" t="s">
        <v>548</v>
      </c>
      <c r="C6" s="915"/>
      <c r="D6" s="915"/>
      <c r="E6" s="915"/>
      <c r="F6" s="915"/>
      <c r="G6" s="915"/>
      <c r="H6" s="915"/>
      <c r="I6" s="915"/>
      <c r="J6" s="915"/>
      <c r="K6" s="915"/>
      <c r="L6" s="915"/>
      <c r="M6" s="915"/>
      <c r="N6" s="915"/>
      <c r="O6" s="210"/>
    </row>
    <row r="7" spans="1:15" ht="15.75" customHeight="1" x14ac:dyDescent="0.2">
      <c r="A7" s="209" t="s">
        <v>6</v>
      </c>
      <c r="B7" s="944" t="s">
        <v>1</v>
      </c>
      <c r="C7" s="946" t="s">
        <v>518</v>
      </c>
      <c r="D7" s="946"/>
      <c r="E7" s="946"/>
      <c r="F7" s="946"/>
      <c r="G7" s="946"/>
      <c r="H7" s="946"/>
      <c r="I7" s="946"/>
      <c r="J7" s="946"/>
      <c r="K7" s="946"/>
      <c r="L7" s="946"/>
      <c r="M7" s="946"/>
      <c r="N7" s="946"/>
    </row>
    <row r="8" spans="1:15" ht="19.5" customHeight="1" x14ac:dyDescent="0.2">
      <c r="A8" s="209" t="s">
        <v>14</v>
      </c>
      <c r="B8" s="944"/>
      <c r="C8" s="946" t="s">
        <v>519</v>
      </c>
      <c r="D8" s="946"/>
      <c r="E8" s="946"/>
      <c r="F8" s="946"/>
      <c r="G8" s="946" t="s">
        <v>520</v>
      </c>
      <c r="H8" s="946"/>
      <c r="I8" s="946"/>
      <c r="J8" s="946"/>
      <c r="K8" s="946" t="s">
        <v>521</v>
      </c>
      <c r="L8" s="946"/>
      <c r="M8" s="946"/>
      <c r="N8" s="946"/>
    </row>
    <row r="9" spans="1:15" ht="144.75" customHeight="1" x14ac:dyDescent="0.2">
      <c r="A9" s="209" t="s">
        <v>17</v>
      </c>
      <c r="B9" s="945"/>
      <c r="C9" s="202" t="s">
        <v>522</v>
      </c>
      <c r="D9" s="202" t="s">
        <v>523</v>
      </c>
      <c r="E9" s="203" t="s">
        <v>524</v>
      </c>
      <c r="F9" s="202" t="s">
        <v>525</v>
      </c>
      <c r="G9" s="202" t="s">
        <v>522</v>
      </c>
      <c r="H9" s="202" t="s">
        <v>523</v>
      </c>
      <c r="I9" s="203" t="s">
        <v>524</v>
      </c>
      <c r="J9" s="202" t="s">
        <v>525</v>
      </c>
      <c r="K9" s="202" t="s">
        <v>526</v>
      </c>
      <c r="L9" s="202" t="s">
        <v>523</v>
      </c>
      <c r="M9" s="203" t="s">
        <v>524</v>
      </c>
      <c r="N9" s="202" t="s">
        <v>525</v>
      </c>
    </row>
    <row r="10" spans="1:15" ht="48.75" customHeight="1" x14ac:dyDescent="0.2">
      <c r="A10" s="209" t="s">
        <v>33</v>
      </c>
      <c r="B10" s="294" t="s">
        <v>610</v>
      </c>
      <c r="C10" s="295">
        <v>9</v>
      </c>
      <c r="D10" s="295">
        <v>0</v>
      </c>
      <c r="E10" s="215">
        <f>SUM(C10:D10)</f>
        <v>9</v>
      </c>
      <c r="F10" s="297">
        <f>E10</f>
        <v>9</v>
      </c>
      <c r="G10" s="295">
        <v>10</v>
      </c>
      <c r="H10" s="295">
        <v>0</v>
      </c>
      <c r="I10" s="296">
        <f>SUM(G10:H10)</f>
        <v>10</v>
      </c>
      <c r="J10" s="295">
        <v>10</v>
      </c>
      <c r="K10" s="295">
        <v>9</v>
      </c>
      <c r="L10" s="295">
        <v>0</v>
      </c>
      <c r="M10" s="296">
        <f>SUM(K10:L10)</f>
        <v>9</v>
      </c>
      <c r="N10" s="295">
        <v>9</v>
      </c>
    </row>
    <row r="11" spans="1:15" ht="38.25" customHeight="1" x14ac:dyDescent="0.2">
      <c r="A11" s="209" t="s">
        <v>35</v>
      </c>
      <c r="B11" s="59" t="s">
        <v>130</v>
      </c>
      <c r="C11" s="214">
        <f>'19.m. Óvoda rovat+cofog'!M95</f>
        <v>11</v>
      </c>
      <c r="D11" s="214">
        <v>0</v>
      </c>
      <c r="E11" s="215">
        <f>SUM(C11:D11)</f>
        <v>11</v>
      </c>
      <c r="F11" s="297">
        <f>E11</f>
        <v>11</v>
      </c>
      <c r="G11" s="212">
        <v>10</v>
      </c>
      <c r="H11" s="212">
        <v>0</v>
      </c>
      <c r="I11" s="296">
        <f>SUM(G11:H11)</f>
        <v>10</v>
      </c>
      <c r="J11" s="212">
        <v>10</v>
      </c>
      <c r="K11" s="212">
        <v>10</v>
      </c>
      <c r="L11" s="212">
        <v>0</v>
      </c>
      <c r="M11" s="296">
        <f>SUM(K11:L11)</f>
        <v>10</v>
      </c>
      <c r="N11" s="212">
        <v>10</v>
      </c>
    </row>
    <row r="12" spans="1:15" ht="35.25" customHeight="1" x14ac:dyDescent="0.2">
      <c r="A12" s="209" t="s">
        <v>30</v>
      </c>
      <c r="B12" s="59" t="s">
        <v>126</v>
      </c>
      <c r="C12" s="57">
        <v>9</v>
      </c>
      <c r="D12" s="57">
        <v>1</v>
      </c>
      <c r="E12" s="58">
        <f>SUM(C12:D12)</f>
        <v>10</v>
      </c>
      <c r="F12" s="297">
        <f>E12</f>
        <v>10</v>
      </c>
      <c r="G12" s="57">
        <v>9</v>
      </c>
      <c r="H12" s="57">
        <v>1</v>
      </c>
      <c r="I12" s="296">
        <f>SUM(G12:H12)</f>
        <v>10</v>
      </c>
      <c r="J12" s="57">
        <v>10</v>
      </c>
      <c r="K12" s="204">
        <v>9</v>
      </c>
      <c r="L12" s="204">
        <v>0</v>
      </c>
      <c r="M12" s="296">
        <f>SUM(K12:L12)</f>
        <v>9</v>
      </c>
      <c r="N12" s="204">
        <v>9</v>
      </c>
    </row>
    <row r="13" spans="1:15" ht="24" customHeight="1" x14ac:dyDescent="0.2">
      <c r="A13" s="209" t="s">
        <v>18</v>
      </c>
      <c r="B13" s="59" t="s">
        <v>66</v>
      </c>
      <c r="C13" s="57">
        <v>9</v>
      </c>
      <c r="D13" s="57">
        <v>1</v>
      </c>
      <c r="E13" s="58">
        <f>SUM(C13:D13)</f>
        <v>10</v>
      </c>
      <c r="F13" s="297">
        <f>E13</f>
        <v>10</v>
      </c>
      <c r="G13" s="57">
        <v>9</v>
      </c>
      <c r="H13" s="57">
        <v>3</v>
      </c>
      <c r="I13" s="296">
        <f>SUM(G13:H13)</f>
        <v>12</v>
      </c>
      <c r="J13" s="468">
        <v>11.4</v>
      </c>
      <c r="K13" s="204">
        <v>9</v>
      </c>
      <c r="L13" s="204">
        <v>0</v>
      </c>
      <c r="M13" s="296">
        <f>SUM(K13:L13)</f>
        <v>9</v>
      </c>
      <c r="N13" s="58">
        <v>9</v>
      </c>
    </row>
    <row r="14" spans="1:15" ht="31.5" x14ac:dyDescent="0.2">
      <c r="A14" s="209" t="s">
        <v>19</v>
      </c>
      <c r="B14" s="60" t="s">
        <v>528</v>
      </c>
      <c r="C14" s="58">
        <f>SUM(C10:C13)</f>
        <v>38</v>
      </c>
      <c r="D14" s="58">
        <f>SUM(D10:D13)</f>
        <v>2</v>
      </c>
      <c r="E14" s="58">
        <f>SUM(E10:E13)</f>
        <v>40</v>
      </c>
      <c r="F14" s="310">
        <f>E14</f>
        <v>40</v>
      </c>
      <c r="G14" s="58">
        <f>SUM(G10:G13)</f>
        <v>38</v>
      </c>
      <c r="H14" s="58">
        <f>SUM(H10:H13)</f>
        <v>4</v>
      </c>
      <c r="I14" s="296">
        <f>SUM(G14:H14)</f>
        <v>42</v>
      </c>
      <c r="J14" s="296">
        <f>SUM(H14:I14)</f>
        <v>46</v>
      </c>
      <c r="K14" s="204">
        <f>SUM(K10:K13)</f>
        <v>37</v>
      </c>
      <c r="L14" s="204">
        <f>SUM(L10:L13)</f>
        <v>0</v>
      </c>
      <c r="M14" s="296">
        <f>SUM(K14:L14)</f>
        <v>37</v>
      </c>
      <c r="N14" s="58">
        <f>SUM(N10:N13)</f>
        <v>37</v>
      </c>
    </row>
    <row r="15" spans="1:15" ht="17.100000000000001" customHeight="1" x14ac:dyDescent="0.2">
      <c r="A15" s="56"/>
      <c r="B15" s="205"/>
      <c r="C15" s="205"/>
      <c r="D15" s="206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1:15" ht="17.100000000000001" customHeight="1" x14ac:dyDescent="0.2">
      <c r="A16" s="56"/>
      <c r="B16" s="227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</row>
    <row r="17" spans="1:14" ht="17.100000000000001" customHeight="1" x14ac:dyDescent="0.2">
      <c r="A17" s="209" t="s">
        <v>20</v>
      </c>
      <c r="B17" s="942" t="s">
        <v>527</v>
      </c>
      <c r="C17" s="943"/>
      <c r="D17" s="943"/>
      <c r="E17" s="943"/>
      <c r="F17" s="943"/>
      <c r="G17" s="943"/>
      <c r="H17" s="943"/>
      <c r="I17" s="943"/>
      <c r="J17" s="943"/>
      <c r="K17" s="943"/>
      <c r="L17" s="943"/>
      <c r="M17" s="943"/>
      <c r="N17" s="943"/>
    </row>
    <row r="18" spans="1:14" ht="19.5" customHeight="1" x14ac:dyDescent="0.2">
      <c r="A18" s="209" t="s">
        <v>21</v>
      </c>
      <c r="B18" s="212" t="s">
        <v>23</v>
      </c>
      <c r="C18" s="349">
        <f>'18.m. Önk. rovat+cofog'!S146</f>
        <v>8</v>
      </c>
      <c r="D18" s="216">
        <v>0</v>
      </c>
      <c r="E18" s="217">
        <f>SUM(C18:D18)</f>
        <v>8</v>
      </c>
      <c r="F18" s="212">
        <v>8</v>
      </c>
      <c r="G18" s="212">
        <v>8</v>
      </c>
      <c r="H18" s="212">
        <v>0</v>
      </c>
      <c r="I18" s="217">
        <f>SUM(G18:H18)</f>
        <v>8</v>
      </c>
      <c r="J18" s="212">
        <v>8</v>
      </c>
      <c r="K18" s="212">
        <v>6</v>
      </c>
      <c r="L18" s="212">
        <v>0</v>
      </c>
      <c r="M18" s="217">
        <f>SUM(K18:L18)</f>
        <v>6</v>
      </c>
      <c r="N18" s="212">
        <v>6</v>
      </c>
    </row>
    <row r="21" spans="1:14" ht="16.5" customHeight="1" x14ac:dyDescent="0.2"/>
    <row r="22" spans="1:14" ht="15" customHeight="1" x14ac:dyDescent="0.2"/>
  </sheetData>
  <mergeCells count="10">
    <mergeCell ref="B1:N1"/>
    <mergeCell ref="B3:N3"/>
    <mergeCell ref="B4:N4"/>
    <mergeCell ref="B6:N6"/>
    <mergeCell ref="B17:N17"/>
    <mergeCell ref="B7:B9"/>
    <mergeCell ref="C7:N7"/>
    <mergeCell ref="C8:F8"/>
    <mergeCell ref="G8:J8"/>
    <mergeCell ref="K8:N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workbookViewId="0">
      <selection activeCell="B9" sqref="B9:K23"/>
    </sheetView>
  </sheetViews>
  <sheetFormatPr defaultRowHeight="15" x14ac:dyDescent="0.3"/>
  <cols>
    <col min="1" max="1" width="5" style="40" customWidth="1"/>
    <col min="2" max="2" width="58.28515625" style="40" bestFit="1" customWidth="1"/>
    <col min="3" max="5" width="15.7109375" style="40" customWidth="1"/>
    <col min="6" max="8" width="16.42578125" style="40" customWidth="1"/>
    <col min="9" max="11" width="14.28515625" style="40" customWidth="1"/>
    <col min="12" max="12" width="9.140625" style="40"/>
    <col min="13" max="13" width="9.5703125" style="40" bestFit="1" customWidth="1"/>
    <col min="14" max="16384" width="9.140625" style="40"/>
  </cols>
  <sheetData>
    <row r="1" spans="1:17" s="10" customFormat="1" x14ac:dyDescent="0.3">
      <c r="B1" s="950" t="s">
        <v>856</v>
      </c>
      <c r="C1" s="950"/>
      <c r="D1" s="950"/>
      <c r="E1" s="950"/>
      <c r="F1" s="950"/>
      <c r="G1" s="950"/>
      <c r="H1" s="950"/>
      <c r="I1" s="950"/>
      <c r="J1" s="950"/>
      <c r="K1" s="950"/>
    </row>
    <row r="2" spans="1:17" s="10" customFormat="1" x14ac:dyDescent="0.3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7" s="10" customFormat="1" ht="41.25" customHeight="1" x14ac:dyDescent="0.3">
      <c r="A3" s="9"/>
      <c r="B3" s="951" t="s">
        <v>857</v>
      </c>
      <c r="C3" s="951"/>
      <c r="D3" s="951"/>
      <c r="E3" s="951"/>
      <c r="F3" s="951"/>
      <c r="G3" s="951"/>
      <c r="H3" s="951"/>
      <c r="I3" s="951"/>
      <c r="J3" s="951"/>
      <c r="K3" s="511"/>
    </row>
    <row r="4" spans="1:17" x14ac:dyDescent="0.3">
      <c r="B4" s="952" t="s">
        <v>95</v>
      </c>
      <c r="C4" s="952"/>
      <c r="D4" s="952"/>
      <c r="E4" s="952"/>
      <c r="F4" s="952"/>
      <c r="G4" s="952"/>
      <c r="H4" s="952"/>
      <c r="I4" s="952"/>
      <c r="J4" s="952"/>
      <c r="K4" s="265"/>
      <c r="L4" s="22"/>
      <c r="M4" s="22"/>
      <c r="N4" s="22"/>
      <c r="O4" s="22"/>
      <c r="P4" s="22"/>
      <c r="Q4" s="22"/>
    </row>
    <row r="5" spans="1:17" x14ac:dyDescent="0.3"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2"/>
      <c r="M5" s="22"/>
      <c r="N5" s="22"/>
      <c r="O5" s="22"/>
      <c r="P5" s="22"/>
      <c r="Q5" s="22"/>
    </row>
    <row r="6" spans="1:17" s="269" customFormat="1" ht="12" customHeight="1" x14ac:dyDescent="0.25">
      <c r="A6" s="198"/>
      <c r="B6" s="266"/>
      <c r="C6" s="266"/>
      <c r="D6" s="266"/>
      <c r="E6" s="266"/>
      <c r="F6" s="267"/>
      <c r="G6" s="267"/>
      <c r="H6" s="267"/>
      <c r="I6" s="268"/>
      <c r="J6" s="268"/>
      <c r="K6" s="268"/>
    </row>
    <row r="7" spans="1:17" s="269" customFormat="1" ht="39.75" customHeight="1" x14ac:dyDescent="0.25">
      <c r="A7" s="949" t="s">
        <v>582</v>
      </c>
      <c r="B7" s="949"/>
      <c r="C7" s="949"/>
      <c r="D7" s="949"/>
      <c r="E7" s="949"/>
      <c r="F7" s="949"/>
      <c r="G7" s="949"/>
      <c r="H7" s="949"/>
      <c r="I7" s="949"/>
      <c r="J7" s="949"/>
      <c r="K7" s="949"/>
    </row>
    <row r="8" spans="1:17" s="269" customFormat="1" ht="16.5" customHeight="1" x14ac:dyDescent="0.25">
      <c r="A8" s="270"/>
      <c r="B8" s="270"/>
      <c r="C8" s="374"/>
      <c r="D8" s="374"/>
      <c r="E8" s="374"/>
      <c r="F8" s="374"/>
      <c r="G8" s="374"/>
      <c r="H8" s="374"/>
      <c r="J8" s="395" t="s">
        <v>581</v>
      </c>
      <c r="K8" s="395"/>
    </row>
    <row r="9" spans="1:17" s="269" customFormat="1" ht="25.5" customHeight="1" x14ac:dyDescent="0.25">
      <c r="A9" s="81"/>
      <c r="B9" s="373" t="s">
        <v>566</v>
      </c>
      <c r="C9" s="922" t="s">
        <v>567</v>
      </c>
      <c r="D9" s="947"/>
      <c r="E9" s="948"/>
      <c r="F9" s="922" t="s">
        <v>568</v>
      </c>
      <c r="G9" s="947"/>
      <c r="H9" s="948"/>
      <c r="I9" s="922" t="s">
        <v>524</v>
      </c>
      <c r="J9" s="947"/>
      <c r="K9" s="948"/>
    </row>
    <row r="10" spans="1:17" s="269" customFormat="1" ht="25.5" x14ac:dyDescent="0.25">
      <c r="A10" s="81"/>
      <c r="B10" s="373"/>
      <c r="C10" s="378" t="s">
        <v>673</v>
      </c>
      <c r="D10" s="378" t="s">
        <v>674</v>
      </c>
      <c r="E10" s="378" t="s">
        <v>845</v>
      </c>
      <c r="F10" s="378" t="s">
        <v>673</v>
      </c>
      <c r="G10" s="378" t="s">
        <v>674</v>
      </c>
      <c r="H10" s="378" t="s">
        <v>845</v>
      </c>
      <c r="I10" s="378" t="s">
        <v>673</v>
      </c>
      <c r="J10" s="378" t="s">
        <v>674</v>
      </c>
      <c r="K10" s="378" t="s">
        <v>845</v>
      </c>
    </row>
    <row r="11" spans="1:17" s="269" customFormat="1" ht="20.100000000000001" customHeight="1" x14ac:dyDescent="0.3">
      <c r="A11" s="81" t="s">
        <v>0</v>
      </c>
      <c r="B11" s="274" t="s">
        <v>570</v>
      </c>
      <c r="C11" s="240"/>
      <c r="D11" s="240"/>
      <c r="E11" s="240"/>
      <c r="F11" s="240"/>
      <c r="G11" s="240"/>
      <c r="H11" s="240"/>
      <c r="I11" s="275"/>
      <c r="J11" s="275"/>
      <c r="K11" s="275"/>
    </row>
    <row r="12" spans="1:17" s="269" customFormat="1" ht="20.100000000000001" customHeight="1" x14ac:dyDescent="0.3">
      <c r="A12" s="81" t="s">
        <v>6</v>
      </c>
      <c r="B12" s="271" t="s">
        <v>583</v>
      </c>
      <c r="C12" s="240">
        <v>0</v>
      </c>
      <c r="D12" s="240">
        <v>0</v>
      </c>
      <c r="E12" s="240"/>
      <c r="F12" s="240">
        <v>500000</v>
      </c>
      <c r="G12" s="240">
        <v>500000</v>
      </c>
      <c r="H12" s="240">
        <v>500000</v>
      </c>
      <c r="I12" s="275">
        <f t="shared" ref="I12:K15" si="0">C12+F12</f>
        <v>500000</v>
      </c>
      <c r="J12" s="275">
        <f t="shared" si="0"/>
        <v>500000</v>
      </c>
      <c r="K12" s="275">
        <f t="shared" si="0"/>
        <v>500000</v>
      </c>
    </row>
    <row r="13" spans="1:17" s="268" customFormat="1" ht="20.100000000000001" customHeight="1" x14ac:dyDescent="0.3">
      <c r="A13" s="81" t="s">
        <v>14</v>
      </c>
      <c r="B13" s="271" t="s">
        <v>571</v>
      </c>
      <c r="C13" s="240">
        <v>0</v>
      </c>
      <c r="D13" s="240">
        <v>0</v>
      </c>
      <c r="E13" s="240"/>
      <c r="F13" s="240">
        <v>300000</v>
      </c>
      <c r="G13" s="240">
        <v>500000</v>
      </c>
      <c r="H13" s="240">
        <v>218500</v>
      </c>
      <c r="I13" s="275">
        <f t="shared" si="0"/>
        <v>300000</v>
      </c>
      <c r="J13" s="275">
        <f t="shared" si="0"/>
        <v>500000</v>
      </c>
      <c r="K13" s="275">
        <f t="shared" si="0"/>
        <v>218500</v>
      </c>
    </row>
    <row r="14" spans="1:17" s="269" customFormat="1" ht="19.5" customHeight="1" x14ac:dyDescent="0.3">
      <c r="A14" s="81" t="s">
        <v>17</v>
      </c>
      <c r="B14" s="271" t="s">
        <v>572</v>
      </c>
      <c r="C14" s="240">
        <v>0</v>
      </c>
      <c r="D14" s="240">
        <v>0</v>
      </c>
      <c r="E14" s="240"/>
      <c r="F14" s="240">
        <v>100000</v>
      </c>
      <c r="G14" s="240">
        <v>100000</v>
      </c>
      <c r="H14" s="240">
        <v>0</v>
      </c>
      <c r="I14" s="275">
        <f t="shared" si="0"/>
        <v>100000</v>
      </c>
      <c r="J14" s="275">
        <f t="shared" si="0"/>
        <v>100000</v>
      </c>
      <c r="K14" s="275">
        <f t="shared" si="0"/>
        <v>0</v>
      </c>
    </row>
    <row r="15" spans="1:17" s="269" customFormat="1" ht="20.100000000000001" customHeight="1" thickBot="1" x14ac:dyDescent="0.35">
      <c r="A15" s="81" t="s">
        <v>33</v>
      </c>
      <c r="B15" s="276" t="s">
        <v>541</v>
      </c>
      <c r="C15" s="277"/>
      <c r="D15" s="277"/>
      <c r="E15" s="277"/>
      <c r="F15" s="277"/>
      <c r="G15" s="277"/>
      <c r="H15" s="277"/>
      <c r="I15" s="419">
        <f t="shared" si="0"/>
        <v>0</v>
      </c>
      <c r="J15" s="419">
        <f t="shared" si="0"/>
        <v>0</v>
      </c>
      <c r="K15" s="419">
        <f t="shared" si="0"/>
        <v>0</v>
      </c>
    </row>
    <row r="16" spans="1:17" s="269" customFormat="1" ht="19.5" customHeight="1" x14ac:dyDescent="0.25">
      <c r="A16" s="81" t="s">
        <v>35</v>
      </c>
      <c r="B16" s="278" t="s">
        <v>573</v>
      </c>
      <c r="C16" s="279">
        <f>SUM(C12:C14)</f>
        <v>0</v>
      </c>
      <c r="D16" s="279">
        <f>SUM(D12:D14)</f>
        <v>0</v>
      </c>
      <c r="E16" s="279">
        <f>SUM(E12:E14)</f>
        <v>0</v>
      </c>
      <c r="F16" s="279">
        <f t="shared" ref="F16:K16" si="1">SUM(F12:F15)</f>
        <v>900000</v>
      </c>
      <c r="G16" s="279">
        <f t="shared" si="1"/>
        <v>1100000</v>
      </c>
      <c r="H16" s="279">
        <f t="shared" si="1"/>
        <v>718500</v>
      </c>
      <c r="I16" s="279">
        <f t="shared" si="1"/>
        <v>900000</v>
      </c>
      <c r="J16" s="279">
        <f t="shared" si="1"/>
        <v>1100000</v>
      </c>
      <c r="K16" s="279">
        <f t="shared" si="1"/>
        <v>718500</v>
      </c>
    </row>
    <row r="17" spans="1:13" s="269" customFormat="1" ht="19.5" customHeight="1" x14ac:dyDescent="0.25">
      <c r="A17" s="81"/>
      <c r="B17" s="278"/>
      <c r="C17" s="279"/>
      <c r="D17" s="279"/>
      <c r="E17" s="279"/>
      <c r="F17" s="279"/>
      <c r="G17" s="279"/>
      <c r="H17" s="279"/>
      <c r="I17" s="279"/>
      <c r="J17" s="288"/>
      <c r="K17" s="288"/>
    </row>
    <row r="18" spans="1:13" s="269" customFormat="1" ht="19.5" customHeight="1" x14ac:dyDescent="0.3">
      <c r="A18" s="81" t="s">
        <v>30</v>
      </c>
      <c r="B18" s="274" t="s">
        <v>574</v>
      </c>
      <c r="C18" s="240"/>
      <c r="D18" s="240"/>
      <c r="E18" s="240"/>
      <c r="F18" s="240"/>
      <c r="G18" s="240"/>
      <c r="H18" s="240"/>
      <c r="I18" s="275"/>
      <c r="J18" s="275"/>
      <c r="K18" s="275"/>
    </row>
    <row r="19" spans="1:13" s="269" customFormat="1" ht="19.5" customHeight="1" x14ac:dyDescent="0.3">
      <c r="A19" s="81" t="s">
        <v>18</v>
      </c>
      <c r="B19" s="271" t="s">
        <v>575</v>
      </c>
      <c r="C19" s="240">
        <v>0</v>
      </c>
      <c r="D19" s="240">
        <v>0</v>
      </c>
      <c r="E19" s="240"/>
      <c r="F19" s="240">
        <v>0</v>
      </c>
      <c r="G19" s="240">
        <v>0</v>
      </c>
      <c r="H19" s="240"/>
      <c r="I19" s="275">
        <f t="shared" ref="I19:K20" si="2">C19+F19</f>
        <v>0</v>
      </c>
      <c r="J19" s="275">
        <f t="shared" si="2"/>
        <v>0</v>
      </c>
      <c r="K19" s="275">
        <f t="shared" si="2"/>
        <v>0</v>
      </c>
    </row>
    <row r="20" spans="1:13" s="269" customFormat="1" ht="20.100000000000001" customHeight="1" thickBot="1" x14ac:dyDescent="0.35">
      <c r="A20" s="81" t="s">
        <v>19</v>
      </c>
      <c r="B20" s="276" t="s">
        <v>576</v>
      </c>
      <c r="C20" s="277">
        <v>0</v>
      </c>
      <c r="D20" s="277">
        <v>0</v>
      </c>
      <c r="E20" s="277"/>
      <c r="F20" s="277">
        <v>0</v>
      </c>
      <c r="G20" s="277">
        <v>0</v>
      </c>
      <c r="H20" s="277"/>
      <c r="I20" s="419">
        <f t="shared" si="2"/>
        <v>0</v>
      </c>
      <c r="J20" s="419">
        <f t="shared" si="2"/>
        <v>0</v>
      </c>
      <c r="K20" s="419">
        <f t="shared" si="2"/>
        <v>0</v>
      </c>
    </row>
    <row r="21" spans="1:13" s="269" customFormat="1" ht="20.100000000000001" customHeight="1" x14ac:dyDescent="0.25">
      <c r="A21" s="81" t="s">
        <v>20</v>
      </c>
      <c r="B21" s="279" t="s">
        <v>577</v>
      </c>
      <c r="C21" s="279">
        <f t="shared" ref="C21:K21" si="3">SUM(C19:C20)</f>
        <v>0</v>
      </c>
      <c r="D21" s="279">
        <f t="shared" si="3"/>
        <v>0</v>
      </c>
      <c r="E21" s="279">
        <f t="shared" si="3"/>
        <v>0</v>
      </c>
      <c r="F21" s="279">
        <f t="shared" si="3"/>
        <v>0</v>
      </c>
      <c r="G21" s="279">
        <f t="shared" si="3"/>
        <v>0</v>
      </c>
      <c r="H21" s="279">
        <f t="shared" si="3"/>
        <v>0</v>
      </c>
      <c r="I21" s="280">
        <f t="shared" si="3"/>
        <v>0</v>
      </c>
      <c r="J21" s="280">
        <f t="shared" si="3"/>
        <v>0</v>
      </c>
      <c r="K21" s="280">
        <f t="shared" si="3"/>
        <v>0</v>
      </c>
    </row>
    <row r="22" spans="1:13" s="269" customFormat="1" ht="20.100000000000001" customHeight="1" x14ac:dyDescent="0.25">
      <c r="A22" s="81"/>
      <c r="B22" s="279"/>
      <c r="C22" s="279"/>
      <c r="D22" s="279"/>
      <c r="E22" s="279"/>
      <c r="F22" s="279"/>
      <c r="G22" s="279"/>
      <c r="H22" s="279"/>
      <c r="I22" s="280"/>
      <c r="J22" s="396"/>
      <c r="K22" s="396"/>
    </row>
    <row r="23" spans="1:13" s="269" customFormat="1" ht="33.75" customHeight="1" x14ac:dyDescent="0.25">
      <c r="A23" s="81" t="s">
        <v>21</v>
      </c>
      <c r="B23" s="281" t="s">
        <v>578</v>
      </c>
      <c r="C23" s="282">
        <f t="shared" ref="C23:K23" si="4">C16+C21</f>
        <v>0</v>
      </c>
      <c r="D23" s="282">
        <f t="shared" si="4"/>
        <v>0</v>
      </c>
      <c r="E23" s="282">
        <f t="shared" si="4"/>
        <v>0</v>
      </c>
      <c r="F23" s="282">
        <f t="shared" si="4"/>
        <v>900000</v>
      </c>
      <c r="G23" s="282">
        <f t="shared" si="4"/>
        <v>1100000</v>
      </c>
      <c r="H23" s="282">
        <f t="shared" si="4"/>
        <v>718500</v>
      </c>
      <c r="I23" s="282">
        <f t="shared" si="4"/>
        <v>900000</v>
      </c>
      <c r="J23" s="282">
        <f t="shared" si="4"/>
        <v>1100000</v>
      </c>
      <c r="K23" s="282">
        <f t="shared" si="4"/>
        <v>718500</v>
      </c>
      <c r="M23" s="272"/>
    </row>
    <row r="27" spans="1:13" x14ac:dyDescent="0.3">
      <c r="F27" s="273"/>
      <c r="G27" s="273"/>
      <c r="H27" s="273"/>
    </row>
  </sheetData>
  <mergeCells count="7">
    <mergeCell ref="C9:E9"/>
    <mergeCell ref="F9:H9"/>
    <mergeCell ref="I9:K9"/>
    <mergeCell ref="A7:K7"/>
    <mergeCell ref="B1:K1"/>
    <mergeCell ref="B3:J3"/>
    <mergeCell ref="B4:J4"/>
  </mergeCells>
  <phoneticPr fontId="5" type="noConversion"/>
  <printOptions horizontalCentered="1"/>
  <pageMargins left="0.74803149606299213" right="0.74803149606299213" top="0.19685039370078741" bottom="0.19685039370078741" header="0.51181102362204722" footer="0.51181102362204722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Normal="100" zoomScaleSheetLayoutView="100" workbookViewId="0">
      <selection activeCell="A6" sqref="A6:J14"/>
    </sheetView>
  </sheetViews>
  <sheetFormatPr defaultRowHeight="13.5" x14ac:dyDescent="0.25"/>
  <cols>
    <col min="1" max="1" width="6.85546875" style="548" customWidth="1"/>
    <col min="2" max="2" width="53.42578125" style="548" customWidth="1"/>
    <col min="3" max="3" width="22" style="548" bestFit="1" customWidth="1"/>
    <col min="4" max="4" width="18.7109375" style="548" customWidth="1"/>
    <col min="5" max="5" width="18.85546875" style="548" customWidth="1"/>
    <col min="6" max="6" width="21.85546875" style="548" customWidth="1"/>
    <col min="7" max="7" width="19.85546875" style="548" customWidth="1"/>
    <col min="8" max="8" width="22.7109375" style="548" bestFit="1" customWidth="1"/>
    <col min="9" max="10" width="20.85546875" style="548" customWidth="1"/>
    <col min="11" max="11" width="11" style="548" customWidth="1"/>
    <col min="12" max="16384" width="9.140625" style="548"/>
  </cols>
  <sheetData>
    <row r="1" spans="1:11" ht="15" x14ac:dyDescent="0.25">
      <c r="A1" s="953"/>
      <c r="B1" s="953"/>
      <c r="C1" s="953"/>
      <c r="D1" s="953"/>
      <c r="E1" s="953"/>
      <c r="F1" s="954" t="s">
        <v>858</v>
      </c>
      <c r="G1" s="954"/>
      <c r="H1" s="954"/>
      <c r="I1" s="954"/>
      <c r="J1" s="813"/>
    </row>
    <row r="2" spans="1:11" ht="34.5" customHeight="1" x14ac:dyDescent="0.3">
      <c r="A2" s="549"/>
      <c r="B2" s="549"/>
      <c r="C2" s="955"/>
      <c r="D2" s="955"/>
      <c r="E2" s="955"/>
      <c r="F2" s="550"/>
      <c r="G2" s="550"/>
      <c r="H2" s="550"/>
      <c r="I2" s="550"/>
      <c r="J2" s="550"/>
    </row>
    <row r="3" spans="1:11" ht="24" customHeight="1" x14ac:dyDescent="0.25">
      <c r="A3" s="956" t="s">
        <v>1109</v>
      </c>
      <c r="B3" s="956"/>
      <c r="C3" s="956"/>
      <c r="D3" s="956"/>
      <c r="E3" s="956"/>
      <c r="F3" s="956"/>
      <c r="G3" s="956"/>
      <c r="H3" s="956"/>
      <c r="I3" s="956"/>
      <c r="J3" s="814"/>
      <c r="K3" s="551"/>
    </row>
    <row r="4" spans="1:11" ht="15.75" x14ac:dyDescent="0.25">
      <c r="A4" s="552"/>
      <c r="B4" s="553"/>
      <c r="C4" s="554"/>
      <c r="D4" s="555"/>
      <c r="E4" s="554"/>
      <c r="F4" s="556"/>
      <c r="G4" s="556"/>
      <c r="H4" s="556"/>
      <c r="I4" s="556"/>
      <c r="J4" s="556"/>
    </row>
    <row r="5" spans="1:11" ht="16.5" thickBot="1" x14ac:dyDescent="0.3">
      <c r="A5" s="552"/>
      <c r="B5" s="553"/>
      <c r="C5" s="554"/>
      <c r="D5" s="555"/>
      <c r="E5" s="554"/>
      <c r="F5" s="556"/>
      <c r="G5" s="556"/>
      <c r="H5" s="556"/>
      <c r="J5" s="557" t="s">
        <v>859</v>
      </c>
    </row>
    <row r="6" spans="1:11" ht="93.75" customHeight="1" x14ac:dyDescent="0.25">
      <c r="A6" s="818"/>
      <c r="B6" s="558" t="s">
        <v>1</v>
      </c>
      <c r="C6" s="559" t="s">
        <v>860</v>
      </c>
      <c r="D6" s="559" t="s">
        <v>861</v>
      </c>
      <c r="E6" s="559" t="s">
        <v>862</v>
      </c>
      <c r="F6" s="559" t="s">
        <v>863</v>
      </c>
      <c r="G6" s="559" t="s">
        <v>864</v>
      </c>
      <c r="H6" s="559" t="s">
        <v>865</v>
      </c>
      <c r="I6" s="815" t="s">
        <v>866</v>
      </c>
      <c r="J6" s="560" t="s">
        <v>1110</v>
      </c>
    </row>
    <row r="7" spans="1:11" ht="50.25" customHeight="1" x14ac:dyDescent="0.25">
      <c r="A7" s="819">
        <v>1</v>
      </c>
      <c r="B7" s="561" t="s">
        <v>867</v>
      </c>
      <c r="C7" s="562">
        <v>60648077</v>
      </c>
      <c r="D7" s="562">
        <v>0</v>
      </c>
      <c r="E7" s="562">
        <v>0</v>
      </c>
      <c r="F7" s="562">
        <f t="shared" ref="F7:F13" si="0">C7+D7+E7+G7</f>
        <v>60648077</v>
      </c>
      <c r="G7" s="562">
        <v>0</v>
      </c>
      <c r="H7" s="562">
        <v>60648077</v>
      </c>
      <c r="I7" s="816">
        <f>H7-F7</f>
        <v>0</v>
      </c>
      <c r="J7" s="563">
        <v>253334</v>
      </c>
    </row>
    <row r="8" spans="1:11" ht="24.75" customHeight="1" x14ac:dyDescent="0.25">
      <c r="A8" s="819">
        <v>2</v>
      </c>
      <c r="B8" s="561" t="s">
        <v>868</v>
      </c>
      <c r="C8" s="562">
        <v>42585920</v>
      </c>
      <c r="D8" s="562">
        <v>573510</v>
      </c>
      <c r="E8" s="562">
        <v>495590</v>
      </c>
      <c r="F8" s="562">
        <f t="shared" si="0"/>
        <v>43655020</v>
      </c>
      <c r="G8" s="562">
        <v>0</v>
      </c>
      <c r="H8" s="562">
        <v>43655020</v>
      </c>
      <c r="I8" s="816">
        <f t="shared" ref="I8:I13" si="1">G8</f>
        <v>0</v>
      </c>
      <c r="J8" s="563">
        <v>3297300</v>
      </c>
    </row>
    <row r="9" spans="1:11" ht="37.5" customHeight="1" x14ac:dyDescent="0.25">
      <c r="A9" s="819">
        <v>3</v>
      </c>
      <c r="B9" s="564" t="s">
        <v>1111</v>
      </c>
      <c r="C9" s="562">
        <v>3780000</v>
      </c>
      <c r="D9" s="562">
        <v>0</v>
      </c>
      <c r="E9" s="562">
        <v>0</v>
      </c>
      <c r="F9" s="562">
        <f t="shared" si="0"/>
        <v>3780000</v>
      </c>
      <c r="G9" s="562">
        <v>0</v>
      </c>
      <c r="H9" s="562">
        <v>3780000</v>
      </c>
      <c r="I9" s="816">
        <f t="shared" si="1"/>
        <v>0</v>
      </c>
      <c r="J9" s="563">
        <v>320000</v>
      </c>
    </row>
    <row r="10" spans="1:11" ht="47.25" x14ac:dyDescent="0.25">
      <c r="A10" s="819">
        <v>4</v>
      </c>
      <c r="B10" s="564" t="s">
        <v>1112</v>
      </c>
      <c r="C10" s="562">
        <v>38596184</v>
      </c>
      <c r="D10" s="562">
        <v>4248776</v>
      </c>
      <c r="E10" s="562">
        <v>-2724920</v>
      </c>
      <c r="F10" s="562">
        <f t="shared" si="0"/>
        <v>39906728</v>
      </c>
      <c r="G10" s="562">
        <v>-213312</v>
      </c>
      <c r="H10" s="562">
        <v>39906728</v>
      </c>
      <c r="I10" s="816">
        <f t="shared" si="1"/>
        <v>-213312</v>
      </c>
      <c r="J10" s="563">
        <v>1734700</v>
      </c>
    </row>
    <row r="11" spans="1:11" ht="37.5" customHeight="1" x14ac:dyDescent="0.25">
      <c r="A11" s="819">
        <v>5</v>
      </c>
      <c r="B11" s="564" t="s">
        <v>869</v>
      </c>
      <c r="C11" s="562">
        <v>22457484</v>
      </c>
      <c r="D11" s="562">
        <v>-985245</v>
      </c>
      <c r="E11" s="562">
        <v>6146862</v>
      </c>
      <c r="F11" s="562">
        <f t="shared" si="0"/>
        <v>27355101</v>
      </c>
      <c r="G11" s="562">
        <v>-264000</v>
      </c>
      <c r="H11" s="562">
        <v>27355101</v>
      </c>
      <c r="I11" s="816">
        <f t="shared" si="1"/>
        <v>-264000</v>
      </c>
      <c r="J11" s="563">
        <v>1126400</v>
      </c>
    </row>
    <row r="12" spans="1:11" ht="39.6" customHeight="1" x14ac:dyDescent="0.25">
      <c r="A12" s="819">
        <v>6</v>
      </c>
      <c r="B12" s="564" t="s">
        <v>870</v>
      </c>
      <c r="C12" s="562">
        <v>92340</v>
      </c>
      <c r="D12" s="562">
        <v>16758</v>
      </c>
      <c r="E12" s="562">
        <v>110124</v>
      </c>
      <c r="F12" s="562">
        <f t="shared" si="0"/>
        <v>224694</v>
      </c>
      <c r="G12" s="562">
        <v>5472</v>
      </c>
      <c r="H12" s="562">
        <v>224694</v>
      </c>
      <c r="I12" s="816">
        <f t="shared" si="1"/>
        <v>5472</v>
      </c>
      <c r="J12" s="563">
        <v>0</v>
      </c>
    </row>
    <row r="13" spans="1:11" ht="39.6" customHeight="1" x14ac:dyDescent="0.25">
      <c r="A13" s="819">
        <v>7</v>
      </c>
      <c r="B13" s="565" t="s">
        <v>871</v>
      </c>
      <c r="C13" s="566">
        <v>3435964</v>
      </c>
      <c r="D13" s="566">
        <v>0</v>
      </c>
      <c r="E13" s="566">
        <v>0</v>
      </c>
      <c r="F13" s="562">
        <f t="shared" si="0"/>
        <v>3435964</v>
      </c>
      <c r="G13" s="562">
        <v>0</v>
      </c>
      <c r="H13" s="566">
        <v>3435964</v>
      </c>
      <c r="I13" s="816">
        <f t="shared" si="1"/>
        <v>0</v>
      </c>
      <c r="J13" s="563">
        <v>0</v>
      </c>
    </row>
    <row r="14" spans="1:11" ht="35.25" customHeight="1" thickBot="1" x14ac:dyDescent="0.3">
      <c r="A14" s="820">
        <v>8</v>
      </c>
      <c r="B14" s="567" t="s">
        <v>524</v>
      </c>
      <c r="C14" s="568">
        <f t="shared" ref="C14:J14" si="2">SUM(C7:C13)</f>
        <v>171595969</v>
      </c>
      <c r="D14" s="568">
        <f t="shared" si="2"/>
        <v>3853799</v>
      </c>
      <c r="E14" s="568">
        <f t="shared" si="2"/>
        <v>4027656</v>
      </c>
      <c r="F14" s="568">
        <f t="shared" si="2"/>
        <v>179005584</v>
      </c>
      <c r="G14" s="568">
        <f t="shared" si="2"/>
        <v>-471840</v>
      </c>
      <c r="H14" s="568">
        <f t="shared" si="2"/>
        <v>179005584</v>
      </c>
      <c r="I14" s="817">
        <f t="shared" si="2"/>
        <v>-471840</v>
      </c>
      <c r="J14" s="569">
        <f t="shared" si="2"/>
        <v>6731734</v>
      </c>
    </row>
  </sheetData>
  <mergeCells count="4">
    <mergeCell ref="A1:E1"/>
    <mergeCell ref="F1:I1"/>
    <mergeCell ref="C2:E2"/>
    <mergeCell ref="A3:I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3" orientation="landscape" vertic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Normal="100" zoomScaleSheetLayoutView="100" workbookViewId="0">
      <selection activeCell="B8" sqref="B8:K17"/>
    </sheetView>
  </sheetViews>
  <sheetFormatPr defaultRowHeight="15" x14ac:dyDescent="0.3"/>
  <cols>
    <col min="1" max="5" width="9.140625" style="570"/>
    <col min="6" max="6" width="20.28515625" style="570" customWidth="1"/>
    <col min="7" max="7" width="22.85546875" style="570" bestFit="1" customWidth="1"/>
    <col min="8" max="8" width="19.140625" style="570" bestFit="1" customWidth="1"/>
    <col min="9" max="10" width="20.85546875" style="570" customWidth="1"/>
    <col min="11" max="11" width="22" style="570" bestFit="1" customWidth="1"/>
    <col min="12" max="16384" width="9.140625" style="570"/>
  </cols>
  <sheetData>
    <row r="1" spans="1:11" x14ac:dyDescent="0.3">
      <c r="B1" s="571"/>
      <c r="C1" s="571"/>
      <c r="D1" s="571"/>
      <c r="E1" s="571"/>
      <c r="F1" s="571"/>
      <c r="G1" s="954" t="s">
        <v>872</v>
      </c>
      <c r="H1" s="954"/>
      <c r="I1" s="954"/>
      <c r="J1" s="954"/>
      <c r="K1" s="954"/>
    </row>
    <row r="2" spans="1:11" x14ac:dyDescent="0.3">
      <c r="B2" s="572"/>
      <c r="C2" s="572"/>
      <c r="D2" s="572"/>
      <c r="E2" s="572"/>
      <c r="F2" s="572"/>
      <c r="K2" s="572"/>
    </row>
    <row r="3" spans="1:11" x14ac:dyDescent="0.3">
      <c r="B3" s="572"/>
      <c r="C3" s="572"/>
      <c r="D3" s="572"/>
      <c r="E3" s="572"/>
      <c r="F3" s="572"/>
      <c r="K3" s="572"/>
    </row>
    <row r="4" spans="1:11" ht="18" x14ac:dyDescent="0.3">
      <c r="A4" s="964" t="s">
        <v>873</v>
      </c>
      <c r="B4" s="964"/>
      <c r="C4" s="964"/>
      <c r="D4" s="964"/>
      <c r="E4" s="964"/>
      <c r="F4" s="964"/>
      <c r="G4" s="964"/>
      <c r="H4" s="964"/>
      <c r="I4" s="964"/>
      <c r="J4" s="964"/>
      <c r="K4" s="964"/>
    </row>
    <row r="5" spans="1:11" ht="18" x14ac:dyDescent="0.3">
      <c r="A5" s="965" t="s">
        <v>1108</v>
      </c>
      <c r="B5" s="965"/>
      <c r="C5" s="965"/>
      <c r="D5" s="965"/>
      <c r="E5" s="965"/>
      <c r="F5" s="965"/>
      <c r="G5" s="965"/>
      <c r="H5" s="965"/>
      <c r="I5" s="965"/>
      <c r="J5" s="965"/>
      <c r="K5" s="965"/>
    </row>
    <row r="6" spans="1:11" ht="16.5" x14ac:dyDescent="0.3">
      <c r="A6" s="575"/>
      <c r="B6" s="576"/>
      <c r="C6" s="576"/>
      <c r="D6" s="576"/>
      <c r="E6" s="576"/>
      <c r="F6" s="576"/>
      <c r="G6" s="575"/>
      <c r="H6" s="575"/>
      <c r="I6" s="575"/>
      <c r="J6" s="575"/>
      <c r="K6" s="576"/>
    </row>
    <row r="7" spans="1:11" ht="30" customHeight="1" thickBot="1" x14ac:dyDescent="0.35">
      <c r="A7" s="577"/>
      <c r="B7" s="577"/>
      <c r="C7" s="577"/>
      <c r="D7" s="577"/>
      <c r="E7" s="577"/>
      <c r="F7" s="577"/>
      <c r="G7" s="578"/>
      <c r="H7" s="577"/>
      <c r="I7" s="577"/>
      <c r="J7" s="577"/>
      <c r="K7" s="579" t="s">
        <v>859</v>
      </c>
    </row>
    <row r="8" spans="1:11" ht="63.75" customHeight="1" thickBot="1" x14ac:dyDescent="0.35">
      <c r="A8" s="580" t="s">
        <v>0</v>
      </c>
      <c r="B8" s="966" t="s">
        <v>1</v>
      </c>
      <c r="C8" s="966"/>
      <c r="D8" s="966"/>
      <c r="E8" s="966"/>
      <c r="F8" s="966"/>
      <c r="G8" s="581" t="s">
        <v>66</v>
      </c>
      <c r="H8" s="582" t="s">
        <v>874</v>
      </c>
      <c r="I8" s="582" t="s">
        <v>126</v>
      </c>
      <c r="J8" s="583" t="s">
        <v>875</v>
      </c>
      <c r="K8" s="584" t="s">
        <v>524</v>
      </c>
    </row>
    <row r="9" spans="1:11" ht="39.75" customHeight="1" x14ac:dyDescent="0.3">
      <c r="A9" s="585" t="s">
        <v>6</v>
      </c>
      <c r="B9" s="967" t="s">
        <v>1107</v>
      </c>
      <c r="C9" s="967"/>
      <c r="D9" s="967"/>
      <c r="E9" s="967"/>
      <c r="F9" s="967"/>
      <c r="G9" s="586">
        <v>119341028</v>
      </c>
      <c r="H9" s="587">
        <v>30129</v>
      </c>
      <c r="I9" s="586">
        <v>13312</v>
      </c>
      <c r="J9" s="588">
        <v>14022</v>
      </c>
      <c r="K9" s="589">
        <f>SUM(G9:J9)</f>
        <v>119398491</v>
      </c>
    </row>
    <row r="10" spans="1:11" ht="36" customHeight="1" x14ac:dyDescent="0.3">
      <c r="A10" s="590" t="s">
        <v>14</v>
      </c>
      <c r="B10" s="958" t="s">
        <v>298</v>
      </c>
      <c r="C10" s="958"/>
      <c r="D10" s="958"/>
      <c r="E10" s="958"/>
      <c r="F10" s="958"/>
      <c r="G10" s="591">
        <v>568292235</v>
      </c>
      <c r="H10" s="591">
        <v>44312930</v>
      </c>
      <c r="I10" s="591">
        <v>50000122</v>
      </c>
      <c r="J10" s="592">
        <v>96061059</v>
      </c>
      <c r="K10" s="589">
        <f t="shared" ref="K10:K15" si="0">SUM(G10:J10)</f>
        <v>758666346</v>
      </c>
    </row>
    <row r="11" spans="1:11" ht="35.25" customHeight="1" x14ac:dyDescent="0.3">
      <c r="A11" s="590" t="s">
        <v>17</v>
      </c>
      <c r="B11" s="958" t="s">
        <v>297</v>
      </c>
      <c r="C11" s="958"/>
      <c r="D11" s="958"/>
      <c r="E11" s="958"/>
      <c r="F11" s="958"/>
      <c r="G11" s="591"/>
      <c r="H11" s="591">
        <v>0</v>
      </c>
      <c r="I11" s="591">
        <v>0</v>
      </c>
      <c r="J11" s="592">
        <v>0</v>
      </c>
      <c r="K11" s="589">
        <f t="shared" si="0"/>
        <v>0</v>
      </c>
    </row>
    <row r="12" spans="1:11" ht="35.25" customHeight="1" x14ac:dyDescent="0.3">
      <c r="A12" s="590" t="s">
        <v>33</v>
      </c>
      <c r="B12" s="959" t="s">
        <v>876</v>
      </c>
      <c r="C12" s="960"/>
      <c r="D12" s="960"/>
      <c r="E12" s="960"/>
      <c r="F12" s="961"/>
      <c r="G12" s="591">
        <v>-10836711</v>
      </c>
      <c r="H12" s="591">
        <v>0</v>
      </c>
      <c r="I12" s="591">
        <v>0</v>
      </c>
      <c r="J12" s="592">
        <v>-264231</v>
      </c>
      <c r="K12" s="589">
        <f t="shared" si="0"/>
        <v>-11100942</v>
      </c>
    </row>
    <row r="13" spans="1:11" ht="35.25" customHeight="1" x14ac:dyDescent="0.3">
      <c r="A13" s="590" t="s">
        <v>35</v>
      </c>
      <c r="B13" s="958" t="s">
        <v>877</v>
      </c>
      <c r="C13" s="958"/>
      <c r="D13" s="958"/>
      <c r="E13" s="958"/>
      <c r="F13" s="958"/>
      <c r="G13" s="591">
        <v>380292296</v>
      </c>
      <c r="H13" s="591">
        <v>42831588</v>
      </c>
      <c r="I13" s="591">
        <v>46212721</v>
      </c>
      <c r="J13" s="592">
        <v>95494294</v>
      </c>
      <c r="K13" s="589">
        <f t="shared" si="0"/>
        <v>564830899</v>
      </c>
    </row>
    <row r="14" spans="1:11" ht="40.5" customHeight="1" x14ac:dyDescent="0.3">
      <c r="A14" s="590" t="s">
        <v>30</v>
      </c>
      <c r="B14" s="958" t="s">
        <v>429</v>
      </c>
      <c r="C14" s="958"/>
      <c r="D14" s="958"/>
      <c r="E14" s="958"/>
      <c r="F14" s="958"/>
      <c r="G14" s="591">
        <v>0</v>
      </c>
      <c r="H14" s="591">
        <v>0</v>
      </c>
      <c r="I14" s="591">
        <v>0</v>
      </c>
      <c r="J14" s="592">
        <v>0</v>
      </c>
      <c r="K14" s="589">
        <f t="shared" si="0"/>
        <v>0</v>
      </c>
    </row>
    <row r="15" spans="1:11" ht="33.75" customHeight="1" x14ac:dyDescent="0.3">
      <c r="A15" s="590" t="s">
        <v>18</v>
      </c>
      <c r="B15" s="962" t="s">
        <v>878</v>
      </c>
      <c r="C15" s="962"/>
      <c r="D15" s="962"/>
      <c r="E15" s="962"/>
      <c r="F15" s="962"/>
      <c r="G15" s="591">
        <v>117882028</v>
      </c>
      <c r="H15" s="591">
        <v>30129</v>
      </c>
      <c r="I15" s="591">
        <v>13312</v>
      </c>
      <c r="J15" s="592">
        <v>10522</v>
      </c>
      <c r="K15" s="589">
        <f t="shared" si="0"/>
        <v>117935991</v>
      </c>
    </row>
    <row r="16" spans="1:11" ht="32.25" customHeight="1" thickBot="1" x14ac:dyDescent="0.35">
      <c r="A16" s="593" t="s">
        <v>19</v>
      </c>
      <c r="B16" s="963" t="s">
        <v>879</v>
      </c>
      <c r="C16" s="963"/>
      <c r="D16" s="963"/>
      <c r="E16" s="963"/>
      <c r="F16" s="963"/>
      <c r="G16" s="594">
        <f>G10+G11+G12-G13-G14-G15</f>
        <v>59281200</v>
      </c>
      <c r="H16" s="594">
        <f>H10+H11+H12-H13-H14-H15</f>
        <v>1451213</v>
      </c>
      <c r="I16" s="594">
        <f>I10+I11+I12-I13-I14-I15</f>
        <v>3774089</v>
      </c>
      <c r="J16" s="594">
        <f>J10+J11+J12-J13-J14-J15</f>
        <v>292012</v>
      </c>
      <c r="K16" s="595">
        <f>K10+K11+K12-K13-K14-K15</f>
        <v>64798514</v>
      </c>
    </row>
    <row r="17" spans="1:11" ht="38.25" customHeight="1" thickBot="1" x14ac:dyDescent="0.35">
      <c r="A17" s="580" t="s">
        <v>20</v>
      </c>
      <c r="B17" s="957" t="s">
        <v>880</v>
      </c>
      <c r="C17" s="957"/>
      <c r="D17" s="957"/>
      <c r="E17" s="957"/>
      <c r="F17" s="957"/>
      <c r="G17" s="596">
        <f>G9+G16</f>
        <v>178622228</v>
      </c>
      <c r="H17" s="596">
        <f>H9+H16</f>
        <v>1481342</v>
      </c>
      <c r="I17" s="596">
        <f>I9+I16</f>
        <v>3787401</v>
      </c>
      <c r="J17" s="596">
        <f>J9+J16</f>
        <v>306034</v>
      </c>
      <c r="K17" s="597">
        <f>K9+K16</f>
        <v>184197005</v>
      </c>
    </row>
    <row r="18" spans="1:11" x14ac:dyDescent="0.3">
      <c r="G18" s="598"/>
    </row>
    <row r="19" spans="1:11" x14ac:dyDescent="0.3">
      <c r="K19" s="599"/>
    </row>
    <row r="21" spans="1:11" x14ac:dyDescent="0.3">
      <c r="B21" s="600"/>
      <c r="C21" s="600"/>
      <c r="D21" s="600"/>
      <c r="E21" s="600"/>
      <c r="F21" s="600"/>
      <c r="K21" s="600"/>
    </row>
  </sheetData>
  <mergeCells count="13">
    <mergeCell ref="G1:K1"/>
    <mergeCell ref="A4:K4"/>
    <mergeCell ref="A5:K5"/>
    <mergeCell ref="B8:F8"/>
    <mergeCell ref="B9:F9"/>
    <mergeCell ref="B10:F10"/>
    <mergeCell ref="B17:F17"/>
    <mergeCell ref="B11:F11"/>
    <mergeCell ref="B12:F12"/>
    <mergeCell ref="B13:F13"/>
    <mergeCell ref="B14:F14"/>
    <mergeCell ref="B15:F15"/>
    <mergeCell ref="B16:F16"/>
  </mergeCells>
  <pageMargins left="0.75" right="0.75" top="1" bottom="1" header="0.5" footer="0.5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22</vt:i4>
      </vt:variant>
      <vt:variant>
        <vt:lpstr>Névvel ellátott tartományok</vt:lpstr>
      </vt:variant>
      <vt:variant>
        <vt:i4>8</vt:i4>
      </vt:variant>
    </vt:vector>
  </HeadingPairs>
  <TitlesOfParts>
    <vt:vector size="30" baseType="lpstr">
      <vt:lpstr>1.m. kiemelt bev.</vt:lpstr>
      <vt:lpstr>2.m. kiemelt kiad.</vt:lpstr>
      <vt:lpstr>3.m. ksgv. mérleg</vt:lpstr>
      <vt:lpstr>4.m. felhalm.feladat</vt:lpstr>
      <vt:lpstr>5.m. tartalékok</vt:lpstr>
      <vt:lpstr>6.m. létszámkeret</vt:lpstr>
      <vt:lpstr>7.m. szoc. juttatások</vt:lpstr>
      <vt:lpstr>8.m. normatíva</vt:lpstr>
      <vt:lpstr>9m. pénzeszközök</vt:lpstr>
      <vt:lpstr>10.m. maradvány</vt:lpstr>
      <vt:lpstr>11.m. mérleg</vt:lpstr>
      <vt:lpstr>12.m. eredmény</vt:lpstr>
      <vt:lpstr>13.m. vagyon</vt:lpstr>
      <vt:lpstr>14.m. részesedés</vt:lpstr>
      <vt:lpstr>15.m. adósságot kel. ügyletek</vt:lpstr>
      <vt:lpstr>16.m. közvetett tám.</vt:lpstr>
      <vt:lpstr>17.m. Támogatások</vt:lpstr>
      <vt:lpstr>18.m. Önk. rovat+cofog</vt:lpstr>
      <vt:lpstr>19.m. Óvoda rovat+cofog</vt:lpstr>
      <vt:lpstr>20.m. KÖH rovat+cofog</vt:lpstr>
      <vt:lpstr>21.m. Konyha rovat+cofog</vt:lpstr>
      <vt:lpstr>aládolgozó számítások</vt:lpstr>
      <vt:lpstr>'10.m. maradvány'!Nyomtatási_terület</vt:lpstr>
      <vt:lpstr>'12.m. eredmény'!Nyomtatási_terület</vt:lpstr>
      <vt:lpstr>'14.m. részesedés'!Nyomtatási_terület</vt:lpstr>
      <vt:lpstr>'16.m. közvetett tám.'!Nyomtatási_terület</vt:lpstr>
      <vt:lpstr>'18.m. Önk. rovat+cofog'!Nyomtatási_terület</vt:lpstr>
      <vt:lpstr>'2.m. kiemelt kiad.'!Nyomtatási_terület</vt:lpstr>
      <vt:lpstr>'8.m. normatíva'!Nyomtatási_terület</vt:lpstr>
      <vt:lpstr>'9m. pénzeszközök'!Nyomtatási_terület</vt:lpstr>
    </vt:vector>
  </TitlesOfParts>
  <Company>Polgármesteri Hivatal Békés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Váczi Julianna</dc:creator>
  <cp:lastModifiedBy>user</cp:lastModifiedBy>
  <cp:lastPrinted>2021-04-21T11:35:01Z</cp:lastPrinted>
  <dcterms:created xsi:type="dcterms:W3CDTF">2014-02-02T08:05:39Z</dcterms:created>
  <dcterms:modified xsi:type="dcterms:W3CDTF">2021-05-28T07:37:44Z</dcterms:modified>
</cp:coreProperties>
</file>